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S:\CAHEC Development\Property\4%\GA II\Applications\TEB(1-CompRev) (due 10.6.2023)\Templates\MV Updated\"/>
    </mc:Choice>
  </mc:AlternateContent>
  <xr:revisionPtr revIDLastSave="0" documentId="13_ncr:1_{652A9A71-DCAB-40A8-A5FA-671E8E50217F}" xr6:coauthVersionLast="47" xr6:coauthVersionMax="47" xr10:uidLastSave="{00000000-0000-0000-0000-000000000000}"/>
  <workbookProtection workbookAlgorithmName="SHA-512" workbookHashValue="onWOJ4R9P3eD51qzzS2JTeChDT0NUSiGvMLr5FkD8zyMsdhhjEcHuJFX4m2bRWprZ7kaits1/mwnaezQgr80lw==" workbookSaltValue="FGYdtOhSC1NqB0zigQXqCw==" workbookSpinCount="100000" lockStructure="1"/>
  <bookViews>
    <workbookView xWindow="28680" yWindow="-120" windowWidth="38640" windowHeight="2112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1" i="68" l="1"/>
  <c r="P97" i="102" l="1"/>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O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BF1591" i="103" s="1"/>
  <c r="P171" i="102"/>
  <c r="BF429" i="102" s="1"/>
  <c r="E189" i="102"/>
  <c r="O223" i="102"/>
  <c r="O1374" i="103" s="1"/>
  <c r="AY1585" i="103" s="1"/>
  <c r="P77" i="102"/>
  <c r="D36" i="102"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K813" i="103"/>
  <c r="J813" i="103"/>
  <c r="I813" i="103"/>
  <c r="H813" i="103"/>
  <c r="G813" i="103"/>
  <c r="F813" i="103"/>
  <c r="E813" i="103"/>
  <c r="D813" i="103"/>
  <c r="C813" i="103"/>
  <c r="B813" i="103"/>
  <c r="K782" i="103"/>
  <c r="J782" i="103"/>
  <c r="I782" i="103"/>
  <c r="H782" i="103"/>
  <c r="G782" i="103"/>
  <c r="F782" i="103"/>
  <c r="E782" i="103"/>
  <c r="D782" i="103"/>
  <c r="C782" i="103"/>
  <c r="B782" i="103"/>
  <c r="C750" i="103"/>
  <c r="D750" i="103"/>
  <c r="E750" i="103"/>
  <c r="F750" i="103"/>
  <c r="G750" i="103"/>
  <c r="H750" i="103"/>
  <c r="I750" i="103"/>
  <c r="J750" i="103"/>
  <c r="K750" i="103"/>
  <c r="B750" i="103"/>
  <c r="F831" i="103"/>
  <c r="E831" i="103"/>
  <c r="D831" i="103"/>
  <c r="C831" i="103"/>
  <c r="B831" i="103"/>
  <c r="F830" i="103"/>
  <c r="E830" i="103"/>
  <c r="E837" i="103" s="1"/>
  <c r="D830" i="103"/>
  <c r="D837" i="103" s="1"/>
  <c r="C830" i="103"/>
  <c r="C837" i="103" s="1"/>
  <c r="B830" i="103"/>
  <c r="B837"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C737" i="103"/>
  <c r="D737" i="103"/>
  <c r="E737" i="103"/>
  <c r="F737" i="103"/>
  <c r="G737" i="103"/>
  <c r="H737" i="103"/>
  <c r="I737" i="103"/>
  <c r="J737" i="103"/>
  <c r="K737" i="103"/>
  <c r="B737" i="103"/>
  <c r="C736" i="103"/>
  <c r="C744" i="103" s="1"/>
  <c r="D736" i="103"/>
  <c r="D744" i="103" s="1"/>
  <c r="E736" i="103"/>
  <c r="E744" i="103" s="1"/>
  <c r="F736" i="103"/>
  <c r="F744" i="103" s="1"/>
  <c r="G736" i="103"/>
  <c r="G744" i="103" s="1"/>
  <c r="H736" i="103"/>
  <c r="H744" i="103" s="1"/>
  <c r="I736" i="103"/>
  <c r="I744" i="103" s="1"/>
  <c r="J736" i="103"/>
  <c r="J744" i="103" s="1"/>
  <c r="K736" i="103"/>
  <c r="K744" i="103" s="1"/>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O299" i="102"/>
  <c r="O123" i="102"/>
  <c r="L123" i="102" s="1"/>
  <c r="P123" i="102"/>
  <c r="V176" i="72"/>
  <c r="V177" i="72"/>
  <c r="P1248" i="103"/>
  <c r="O1248" i="103"/>
  <c r="P1245" i="103"/>
  <c r="O1245" i="103"/>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A247" i="103" l="1"/>
  <c r="BB447" i="102"/>
  <c r="BF440" i="102"/>
  <c r="C36" i="102"/>
  <c r="AH449" i="102" s="1"/>
  <c r="AH1600" i="103" s="1"/>
  <c r="M302" i="103"/>
  <c r="U184" i="103"/>
  <c r="R312" i="102"/>
  <c r="O1463" i="103"/>
  <c r="BF432" i="102"/>
  <c r="P1351" i="103"/>
  <c r="BF1583" i="103" s="1"/>
  <c r="E21" i="102"/>
  <c r="E1172" i="103" s="1"/>
  <c r="O1351" i="103"/>
  <c r="D1187" i="103"/>
  <c r="BH449" i="102"/>
  <c r="BH1600" i="103" s="1"/>
  <c r="AJ449" i="102"/>
  <c r="AJ1600" i="103" s="1"/>
  <c r="E34" i="102"/>
  <c r="GD470" i="103"/>
  <c r="DC463" i="103"/>
  <c r="BJ420" i="102"/>
  <c r="BF420" i="102"/>
  <c r="BH420" i="102"/>
  <c r="BI420" i="102"/>
  <c r="BL420" i="102"/>
  <c r="BK420" i="102"/>
  <c r="BG420" i="102"/>
  <c r="BC439" i="102"/>
  <c r="DU459" i="103"/>
  <c r="M248" i="103"/>
  <c r="G257" i="103"/>
  <c r="S257" i="103"/>
  <c r="J295" i="103"/>
  <c r="J296" i="103" s="1"/>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BB449" i="102" s="1"/>
  <c r="BB1600" i="103" s="1"/>
  <c r="O1361" i="103"/>
  <c r="AI449" i="102"/>
  <c r="AI1600" i="103" s="1"/>
  <c r="C1187" i="103"/>
  <c r="O404" i="102"/>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K600" i="103" l="1"/>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M618"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M535" i="103"/>
  <c r="L1330" i="103"/>
  <c r="AZ1581" i="103"/>
  <c r="AY1581" i="103"/>
  <c r="F721" i="103"/>
  <c r="Q610" i="103"/>
  <c r="M529" i="103"/>
  <c r="M523" i="103"/>
  <c r="N526" i="103"/>
  <c r="K613" i="103"/>
  <c r="M517" i="103"/>
  <c r="M526" i="103"/>
  <c r="O6" i="102"/>
  <c r="P6" i="102"/>
  <c r="BF424" i="102"/>
  <c r="BF449" i="102" s="1"/>
  <c r="BF1600" i="103" s="1"/>
  <c r="L179" i="102"/>
  <c r="AZ430" i="102"/>
  <c r="AZ449" i="102" s="1"/>
  <c r="AZ1600" i="103" s="1"/>
  <c r="N144" i="102"/>
  <c r="E19" i="102"/>
  <c r="E1170" i="103" s="1"/>
  <c r="AY430" i="102"/>
  <c r="AY449" i="102" s="1"/>
  <c r="AY1600" i="103" s="1"/>
  <c r="P599" i="103" l="1"/>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F15" i="85"/>
  <c r="C58" i="100"/>
  <c r="C68" i="100"/>
  <c r="C66" i="100"/>
  <c r="C61" i="100"/>
  <c r="C60" i="100"/>
  <c r="C59" i="100"/>
  <c r="B32" i="100"/>
  <c r="C32" i="100"/>
  <c r="B33" i="100"/>
  <c r="C33" i="100"/>
  <c r="C31" i="100"/>
  <c r="B31" i="100"/>
  <c r="C25" i="100"/>
  <c r="D16" i="83" s="1"/>
  <c r="B25" i="100"/>
  <c r="C753" i="103" l="1"/>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85" i="103" s="1"/>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K735" i="103" s="1"/>
  <c r="K743" i="103" s="1"/>
  <c r="C44" i="90"/>
  <c r="H8" i="84"/>
  <c r="C59" i="74"/>
  <c r="C766" i="103" s="1"/>
  <c r="C774" i="103" s="1"/>
  <c r="G28" i="74"/>
  <c r="G735" i="103" s="1"/>
  <c r="G743" i="103" s="1"/>
  <c r="D60" i="74"/>
  <c r="D767" i="103" s="1"/>
  <c r="D775" i="103" s="1"/>
  <c r="C121" i="74"/>
  <c r="C828" i="103" s="1"/>
  <c r="C835" i="103" s="1"/>
  <c r="H26" i="74"/>
  <c r="H733" i="103" s="1"/>
  <c r="K91" i="74"/>
  <c r="K798" i="103" s="1"/>
  <c r="K805" i="103" s="1"/>
  <c r="D120" i="74"/>
  <c r="D827" i="103" s="1"/>
  <c r="F61" i="74"/>
  <c r="O28" i="66"/>
  <c r="A2" i="66"/>
  <c r="N28" i="66"/>
  <c r="N27" i="103" s="1"/>
  <c r="A3" i="79"/>
  <c r="E122" i="74"/>
  <c r="E829" i="103" s="1"/>
  <c r="E836" i="103" s="1"/>
  <c r="K92" i="74"/>
  <c r="K799" i="103" s="1"/>
  <c r="K806" i="103" s="1"/>
  <c r="G92" i="74"/>
  <c r="G799" i="103" s="1"/>
  <c r="G806" i="103" s="1"/>
  <c r="C92" i="74"/>
  <c r="C799" i="103" s="1"/>
  <c r="C806" i="103" s="1"/>
  <c r="K60" i="74"/>
  <c r="K767" i="103" s="1"/>
  <c r="K775" i="103" s="1"/>
  <c r="G60" i="74"/>
  <c r="G767" i="103" s="1"/>
  <c r="G775" i="103" s="1"/>
  <c r="C60" i="74"/>
  <c r="C767" i="103" s="1"/>
  <c r="C775" i="103" s="1"/>
  <c r="J28" i="74"/>
  <c r="J735" i="103" s="1"/>
  <c r="J743" i="103" s="1"/>
  <c r="F28" i="74"/>
  <c r="F735" i="103" s="1"/>
  <c r="F743" i="103" s="1"/>
  <c r="B28" i="74"/>
  <c r="B735" i="103" s="1"/>
  <c r="B743" i="103" s="1"/>
  <c r="C122" i="74"/>
  <c r="C829" i="103" s="1"/>
  <c r="C836" i="103" s="1"/>
  <c r="E92" i="74"/>
  <c r="E799" i="103" s="1"/>
  <c r="E806" i="103" s="1"/>
  <c r="I60" i="74"/>
  <c r="I767" i="103" s="1"/>
  <c r="I775" i="103" s="1"/>
  <c r="H28" i="74"/>
  <c r="H735" i="103" s="1"/>
  <c r="H743" i="103" s="1"/>
  <c r="D28" i="74"/>
  <c r="D735" i="103" s="1"/>
  <c r="D743" i="103" s="1"/>
  <c r="D122" i="74"/>
  <c r="J92" i="74"/>
  <c r="J799" i="103" s="1"/>
  <c r="J806" i="103" s="1"/>
  <c r="F92" i="74"/>
  <c r="F799" i="103" s="1"/>
  <c r="F806" i="103" s="1"/>
  <c r="B92" i="74"/>
  <c r="B799" i="103" s="1"/>
  <c r="B806" i="103" s="1"/>
  <c r="J60" i="74"/>
  <c r="J767" i="103" s="1"/>
  <c r="J775" i="103" s="1"/>
  <c r="F60" i="74"/>
  <c r="F767" i="103" s="1"/>
  <c r="F775" i="103" s="1"/>
  <c r="B60" i="74"/>
  <c r="B767" i="103" s="1"/>
  <c r="B775" i="103" s="1"/>
  <c r="I28" i="74"/>
  <c r="I735" i="103" s="1"/>
  <c r="I743" i="103" s="1"/>
  <c r="E28" i="74"/>
  <c r="E735" i="103" s="1"/>
  <c r="E743" i="103" s="1"/>
  <c r="I92" i="74"/>
  <c r="I799" i="103" s="1"/>
  <c r="I806" i="103" s="1"/>
  <c r="E60" i="74"/>
  <c r="E767" i="103" s="1"/>
  <c r="E775" i="103" s="1"/>
  <c r="F122" i="74"/>
  <c r="F829" i="103" s="1"/>
  <c r="F836" i="103" s="1"/>
  <c r="B122" i="74"/>
  <c r="B829" i="103" s="1"/>
  <c r="B836" i="103" s="1"/>
  <c r="H92" i="74"/>
  <c r="H799" i="103" s="1"/>
  <c r="H806" i="103" s="1"/>
  <c r="D92" i="74"/>
  <c r="D799" i="103" s="1"/>
  <c r="D806" i="103" s="1"/>
  <c r="H60" i="74"/>
  <c r="H767" i="103" s="1"/>
  <c r="H775" i="103" s="1"/>
  <c r="C28" i="74"/>
  <c r="C735" i="103" s="1"/>
  <c r="C743" i="103" s="1"/>
  <c r="C61" i="74"/>
  <c r="K93" i="74"/>
  <c r="I26" i="74"/>
  <c r="I733" i="103" s="1"/>
  <c r="K29" i="74"/>
  <c r="J58" i="74"/>
  <c r="J765" i="103" s="1"/>
  <c r="B120" i="74"/>
  <c r="B827" i="103" s="1"/>
  <c r="J29" i="74"/>
  <c r="B123" i="74"/>
  <c r="B26" i="74"/>
  <c r="H27" i="74"/>
  <c r="H734" i="103" s="1"/>
  <c r="H742" i="103" s="1"/>
  <c r="H29" i="74"/>
  <c r="I61" i="74"/>
  <c r="A2" i="67"/>
  <c r="B43" i="74"/>
  <c r="B42" i="74"/>
  <c r="B749" i="103" s="1"/>
  <c r="M16" i="75"/>
  <c r="M14" i="75"/>
  <c r="C43" i="74"/>
  <c r="C42" i="74"/>
  <c r="C749" i="103" s="1"/>
  <c r="D43" i="74"/>
  <c r="D42" i="74"/>
  <c r="D749" i="103" s="1"/>
  <c r="E43" i="74"/>
  <c r="E42" i="74"/>
  <c r="E749" i="103" s="1"/>
  <c r="F43" i="74"/>
  <c r="F42" i="74"/>
  <c r="F749" i="103" s="1"/>
  <c r="G43" i="74"/>
  <c r="G42" i="74"/>
  <c r="G749" i="103" s="1"/>
  <c r="H43" i="74"/>
  <c r="H42" i="74"/>
  <c r="H749" i="103" s="1"/>
  <c r="I43" i="74"/>
  <c r="I42" i="74"/>
  <c r="I749" i="103" s="1"/>
  <c r="J43" i="74"/>
  <c r="J42" i="74"/>
  <c r="J749" i="103" s="1"/>
  <c r="K43" i="74"/>
  <c r="B75" i="74"/>
  <c r="K42" i="74"/>
  <c r="K749" i="103" s="1"/>
  <c r="C75" i="74"/>
  <c r="B74" i="74"/>
  <c r="B781" i="103" s="1"/>
  <c r="D75" i="74"/>
  <c r="C74" i="74"/>
  <c r="C781" i="103" s="1"/>
  <c r="E75" i="74"/>
  <c r="D74" i="74"/>
  <c r="D781" i="103" s="1"/>
  <c r="F75" i="74"/>
  <c r="E74" i="74"/>
  <c r="E781" i="103" s="1"/>
  <c r="G75" i="74"/>
  <c r="F74" i="74"/>
  <c r="F781" i="103" s="1"/>
  <c r="H75" i="74"/>
  <c r="G74" i="74"/>
  <c r="G781" i="103" s="1"/>
  <c r="I75" i="74"/>
  <c r="H74" i="74"/>
  <c r="H781" i="103" s="1"/>
  <c r="B59" i="82"/>
  <c r="J75" i="74"/>
  <c r="I74" i="74"/>
  <c r="I781" i="103" s="1"/>
  <c r="K75" i="74"/>
  <c r="J74" i="74"/>
  <c r="J781" i="103" s="1"/>
  <c r="B106" i="74"/>
  <c r="K74" i="74"/>
  <c r="K781" i="103" s="1"/>
  <c r="C106" i="74"/>
  <c r="B105" i="74"/>
  <c r="B812" i="103" s="1"/>
  <c r="D106" i="74"/>
  <c r="C105" i="74"/>
  <c r="C812" i="103" s="1"/>
  <c r="E106" i="74"/>
  <c r="D105" i="74"/>
  <c r="D812" i="103" s="1"/>
  <c r="F106" i="74"/>
  <c r="E105" i="74"/>
  <c r="E812" i="103" s="1"/>
  <c r="G106" i="74"/>
  <c r="F105" i="74"/>
  <c r="F812" i="103" s="1"/>
  <c r="H106" i="74"/>
  <c r="G105" i="74"/>
  <c r="G812" i="103" s="1"/>
  <c r="I106" i="74"/>
  <c r="H105" i="74"/>
  <c r="H812" i="103" s="1"/>
  <c r="J106" i="74"/>
  <c r="I105" i="74"/>
  <c r="I812" i="103" s="1"/>
  <c r="K106" i="74"/>
  <c r="J105" i="74"/>
  <c r="J812" i="103" s="1"/>
  <c r="B136" i="74"/>
  <c r="K105" i="74"/>
  <c r="K812" i="103" s="1"/>
  <c r="C136" i="74"/>
  <c r="B135" i="74"/>
  <c r="B842" i="103" s="1"/>
  <c r="D136" i="74"/>
  <c r="C135" i="74"/>
  <c r="C842" i="103" s="1"/>
  <c r="E136" i="74"/>
  <c r="D135" i="74"/>
  <c r="D842" i="103" s="1"/>
  <c r="F136" i="74"/>
  <c r="E135" i="74"/>
  <c r="E842" i="103"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842" i="103" s="1"/>
  <c r="A58" i="26"/>
  <c r="G58" i="26"/>
  <c r="A1" i="25"/>
  <c r="A50" i="25"/>
  <c r="A1" i="26"/>
  <c r="B32" i="82"/>
  <c r="B35" i="82" s="1"/>
  <c r="B36" i="82" s="1"/>
  <c r="I60" i="68"/>
  <c r="J290" i="103" s="1"/>
  <c r="J291" i="103" s="1"/>
  <c r="J293" i="103" s="1"/>
  <c r="P45" i="68"/>
  <c r="P88" i="103" s="1"/>
  <c r="H76" i="74"/>
  <c r="H783" i="103" s="1"/>
  <c r="I76" i="74"/>
  <c r="I783" i="103" s="1"/>
  <c r="J76" i="74"/>
  <c r="J783" i="103" s="1"/>
  <c r="K76" i="74"/>
  <c r="K783" i="103" s="1"/>
  <c r="B733" i="103" l="1"/>
  <c r="D129" i="74"/>
  <c r="D829" i="103"/>
  <c r="D836" i="103" s="1"/>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K59" i="74"/>
  <c r="B31" i="87"/>
  <c r="B37" i="87"/>
  <c r="I69" i="74"/>
  <c r="B38" i="87"/>
  <c r="J99" i="74"/>
  <c r="B16" i="87"/>
  <c r="F99" i="74"/>
  <c r="B14" i="87"/>
  <c r="C128" i="74"/>
  <c r="E41" i="87"/>
  <c r="E21" i="87"/>
  <c r="F84" i="92"/>
  <c r="G36" i="74"/>
  <c r="B29" i="87"/>
  <c r="H68" i="74"/>
  <c r="I36" i="74"/>
  <c r="D36" i="74"/>
  <c r="C68" i="74"/>
  <c r="B43" i="87"/>
  <c r="E130" i="74"/>
  <c r="B23" i="87"/>
  <c r="B25" i="87"/>
  <c r="B10" i="87"/>
  <c r="B17" i="87"/>
  <c r="D99" i="74"/>
  <c r="B68" i="74"/>
  <c r="H36" i="74"/>
  <c r="G68" i="74"/>
  <c r="B42" i="87"/>
  <c r="B12" i="87"/>
  <c r="B27" i="87"/>
  <c r="B44" i="87"/>
  <c r="B13" i="87"/>
  <c r="H99" i="74"/>
  <c r="E39" i="87"/>
  <c r="B32" i="87"/>
  <c r="B41" i="87"/>
  <c r="B40" i="87"/>
  <c r="B28" i="87"/>
  <c r="B129" i="74"/>
  <c r="J68" i="74"/>
  <c r="E99" i="74"/>
  <c r="F69" i="74"/>
  <c r="B33" i="87"/>
  <c r="D68" i="74"/>
  <c r="E16" i="87"/>
  <c r="B35" i="87"/>
  <c r="B22" i="87"/>
  <c r="B26"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F55" i="78"/>
  <c r="B5" i="92"/>
  <c r="J21" i="75"/>
  <c r="J468" i="103" s="1"/>
  <c r="L468" i="103" s="1"/>
  <c r="M468" i="103" s="1"/>
  <c r="M496" i="103" s="1"/>
  <c r="M497" i="103" s="1"/>
  <c r="F40" i="78"/>
  <c r="F38" i="78"/>
  <c r="J23" i="75"/>
  <c r="J470" i="103" s="1"/>
  <c r="L470" i="103" s="1"/>
  <c r="M470" i="103" s="1"/>
  <c r="C21" i="90"/>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5" i="82"/>
  <c r="K67" i="74"/>
  <c r="B130" i="74"/>
  <c r="I59" i="74"/>
  <c r="D27" i="74"/>
  <c r="C91" i="74"/>
  <c r="G91" i="74"/>
  <c r="H35" i="74"/>
  <c r="K100" i="74"/>
  <c r="I91" i="74"/>
  <c r="E59" i="74"/>
  <c r="I27" i="74"/>
  <c r="F59" i="74"/>
  <c r="J177" i="78"/>
  <c r="E91" i="74"/>
  <c r="H59" i="74"/>
  <c r="K27" i="74"/>
  <c r="F91" i="74"/>
  <c r="B27" i="74"/>
  <c r="C75" i="100" s="1"/>
  <c r="I32" i="86"/>
  <c r="D32" i="86"/>
  <c r="F12" i="86"/>
  <c r="H91" i="74"/>
  <c r="D59" i="74"/>
  <c r="G27" i="74"/>
  <c r="G59" i="74"/>
  <c r="D121" i="74"/>
  <c r="F121" i="74"/>
  <c r="D91" i="74"/>
  <c r="C27" i="74"/>
  <c r="J27" i="74"/>
  <c r="E27" i="74"/>
  <c r="C99" i="74"/>
  <c r="E32" i="86"/>
  <c r="J59" i="74"/>
  <c r="F27" i="74"/>
  <c r="J91" i="74"/>
  <c r="E64" i="74"/>
  <c r="B121" i="74"/>
  <c r="E121" i="74"/>
  <c r="B59" i="74"/>
  <c r="B91" i="74"/>
  <c r="K99" i="74"/>
  <c r="H52" i="86"/>
  <c r="B36" i="74"/>
  <c r="B53" i="82"/>
  <c r="D16" i="86"/>
  <c r="G56" i="86"/>
  <c r="F56" i="86"/>
  <c r="C129" i="74"/>
  <c r="K98" i="74"/>
  <c r="D52" i="86"/>
  <c r="I68" i="74"/>
  <c r="F36" i="86"/>
  <c r="E36" i="86"/>
  <c r="G99" i="74"/>
  <c r="H32" i="86"/>
  <c r="F68" i="74"/>
  <c r="E68" i="74"/>
  <c r="F32" i="86"/>
  <c r="E12" i="86"/>
  <c r="D12" i="86"/>
  <c r="D130" i="74"/>
  <c r="E56" i="86"/>
  <c r="I36" i="86"/>
  <c r="F129" i="74"/>
  <c r="B99" i="74"/>
  <c r="E52" i="86"/>
  <c r="H12" i="86"/>
  <c r="C29" i="84"/>
  <c r="K26" i="84" s="1"/>
  <c r="G36" i="86"/>
  <c r="H56" i="86"/>
  <c r="C56" i="86"/>
  <c r="K68" i="74"/>
  <c r="C67" i="74"/>
  <c r="C36" i="86"/>
  <c r="H36" i="86"/>
  <c r="D36" i="86"/>
  <c r="G12" i="86"/>
  <c r="C31" i="74"/>
  <c r="C738" i="103" s="1"/>
  <c r="H16" i="86"/>
  <c r="I16" i="86"/>
  <c r="D64" i="74"/>
  <c r="C52" i="86"/>
  <c r="G52" i="86"/>
  <c r="F64" i="74"/>
  <c r="F52" i="86"/>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P95" i="103" l="1"/>
  <c r="P94" i="103"/>
  <c r="P96" i="103" s="1"/>
  <c r="I105" i="103"/>
  <c r="D739" i="103"/>
  <c r="J739" i="103"/>
  <c r="B739" i="103"/>
  <c r="B44" i="74"/>
  <c r="B751" i="103" s="1"/>
  <c r="F771" i="103"/>
  <c r="C739" i="103"/>
  <c r="C44" i="74"/>
  <c r="C751" i="103" s="1"/>
  <c r="E771" i="103"/>
  <c r="E739" i="103"/>
  <c r="G739" i="103"/>
  <c r="F739" i="103"/>
  <c r="K739" i="103"/>
  <c r="C771" i="103"/>
  <c r="D771" i="103"/>
  <c r="B771" i="103"/>
  <c r="D14" i="86"/>
  <c r="H739" i="103"/>
  <c r="I739" i="103"/>
  <c r="C77" i="100"/>
  <c r="G75" i="100"/>
  <c r="G77" i="100" s="1"/>
  <c r="I75" i="100"/>
  <c r="I77" i="100" s="1"/>
  <c r="E75" i="100"/>
  <c r="E77" i="100" s="1"/>
  <c r="K75" i="100"/>
  <c r="K77" i="100" s="1"/>
  <c r="J798" i="103"/>
  <c r="J805" i="103" s="1"/>
  <c r="D828" i="103"/>
  <c r="G766" i="103"/>
  <c r="G774" i="103" s="1"/>
  <c r="D766" i="103"/>
  <c r="D774" i="103" s="1"/>
  <c r="F766" i="103"/>
  <c r="F774" i="103" s="1"/>
  <c r="B39" i="87"/>
  <c r="B20" i="87"/>
  <c r="I734" i="103"/>
  <c r="C40" i="74"/>
  <c r="C747" i="103" s="1"/>
  <c r="D734" i="103"/>
  <c r="D742" i="103" s="1"/>
  <c r="E766" i="103"/>
  <c r="E774" i="103" s="1"/>
  <c r="I766" i="103"/>
  <c r="I774" i="103" s="1"/>
  <c r="J766" i="103"/>
  <c r="H798" i="103"/>
  <c r="H805" i="103" s="1"/>
  <c r="B798" i="103"/>
  <c r="B805" i="103" s="1"/>
  <c r="I798" i="103"/>
  <c r="I805" i="103" s="1"/>
  <c r="B766" i="103"/>
  <c r="B774" i="103" s="1"/>
  <c r="E734" i="103"/>
  <c r="E742" i="103" s="1"/>
  <c r="E828" i="103"/>
  <c r="E835" i="103" s="1"/>
  <c r="J734" i="103"/>
  <c r="J742" i="103" s="1"/>
  <c r="E798" i="103"/>
  <c r="E805" i="103" s="1"/>
  <c r="G734" i="103"/>
  <c r="G742" i="103" s="1"/>
  <c r="B828" i="103"/>
  <c r="C734" i="103"/>
  <c r="C742" i="103" s="1"/>
  <c r="B734" i="103"/>
  <c r="B742" i="103" s="1"/>
  <c r="B41" i="74"/>
  <c r="B36" i="87"/>
  <c r="B11" i="87"/>
  <c r="K766" i="103"/>
  <c r="K774" i="103" s="1"/>
  <c r="K733" i="103"/>
  <c r="H766" i="103"/>
  <c r="H774" i="103" s="1"/>
  <c r="D798" i="103"/>
  <c r="D805" i="103" s="1"/>
  <c r="F798" i="103"/>
  <c r="F805" i="103" s="1"/>
  <c r="G798" i="103"/>
  <c r="G805" i="103" s="1"/>
  <c r="B30" i="87"/>
  <c r="B34" i="87"/>
  <c r="J797" i="103"/>
  <c r="F734" i="103"/>
  <c r="F742" i="103" s="1"/>
  <c r="F828" i="103"/>
  <c r="F835" i="103" s="1"/>
  <c r="K734" i="103"/>
  <c r="K742" i="103" s="1"/>
  <c r="C798" i="103"/>
  <c r="C805" i="103" s="1"/>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L35" i="68" l="1"/>
  <c r="D44" i="74"/>
  <c r="D10" i="86"/>
  <c r="B748" i="103"/>
  <c r="C11" i="86"/>
  <c r="I742" i="103"/>
  <c r="C41" i="74"/>
  <c r="D11" i="86" s="1"/>
  <c r="B835" i="103"/>
  <c r="D40" i="74"/>
  <c r="D747" i="103" s="1"/>
  <c r="J774" i="103"/>
  <c r="D835" i="103"/>
  <c r="C81" i="100"/>
  <c r="C80" i="100"/>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B728" i="103" l="1"/>
  <c r="B746" i="103" s="1"/>
  <c r="B39" i="74"/>
  <c r="H7" i="100"/>
  <c r="E27" i="89" s="1"/>
  <c r="D751" i="103"/>
  <c r="E44" i="74"/>
  <c r="E10" i="86"/>
  <c r="E40" i="74"/>
  <c r="E747" i="103" s="1"/>
  <c r="C748" i="103"/>
  <c r="D41" i="74"/>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626" i="103"/>
  <c r="P626" i="103" s="1"/>
  <c r="L67" i="75"/>
  <c r="O67" i="75"/>
  <c r="M67" i="75"/>
  <c r="N67" i="75"/>
  <c r="P53" i="68"/>
  <c r="P65" i="75"/>
  <c r="D21" i="74"/>
  <c r="C21" i="74"/>
  <c r="E13" i="84"/>
  <c r="G14" i="74"/>
  <c r="F24" i="74"/>
  <c r="K168" i="75"/>
  <c r="P168" i="75" s="1"/>
  <c r="P166" i="75"/>
  <c r="F21" i="74"/>
  <c r="O19" i="86"/>
  <c r="O23" i="86" s="1"/>
  <c r="O25" i="86" s="1"/>
  <c r="O31" i="86" s="1"/>
  <c r="G21" i="86"/>
  <c r="F22" i="86"/>
  <c r="E728" i="103" l="1"/>
  <c r="E746" i="103" s="1"/>
  <c r="E39" i="74"/>
  <c r="C728" i="103"/>
  <c r="C746" i="103" s="1"/>
  <c r="C39" i="74"/>
  <c r="F728" i="103"/>
  <c r="F746" i="103" s="1"/>
  <c r="F39" i="74"/>
  <c r="D728" i="103"/>
  <c r="D746" i="103" s="1"/>
  <c r="D39" i="74"/>
  <c r="P280" i="103"/>
  <c r="P281" i="103" s="1"/>
  <c r="P283" i="103" s="1"/>
  <c r="E751" i="103"/>
  <c r="F44" i="74"/>
  <c r="D748" i="103"/>
  <c r="E41" i="74"/>
  <c r="E11" i="86"/>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15" i="74"/>
  <c r="G722" i="103" s="1"/>
  <c r="G21" i="74"/>
  <c r="P167" i="78"/>
  <c r="P168" i="78" s="1"/>
  <c r="P170" i="78" s="1"/>
  <c r="H21" i="86"/>
  <c r="G22" i="86"/>
  <c r="G728" i="103" l="1"/>
  <c r="G746" i="103" s="1"/>
  <c r="G39" i="74"/>
  <c r="J284" i="103"/>
  <c r="F751" i="103"/>
  <c r="G44" i="74"/>
  <c r="E748" i="103"/>
  <c r="F41" i="74"/>
  <c r="F11" i="86"/>
  <c r="Q243" i="75"/>
  <c r="Q681" i="103" s="1"/>
  <c r="Q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N235" i="75"/>
  <c r="C66" i="84"/>
  <c r="E66" i="84" s="1"/>
  <c r="L103" i="72"/>
  <c r="L113" i="72"/>
  <c r="L378" i="72"/>
  <c r="K225" i="72"/>
  <c r="Q247" i="75"/>
  <c r="B23" i="74"/>
  <c r="B730" i="103" s="1"/>
  <c r="P48" i="78"/>
  <c r="J48" i="78"/>
  <c r="J57" i="78"/>
  <c r="H31" i="74"/>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I14" i="74"/>
  <c r="H16" i="74"/>
  <c r="H723" i="103" s="1"/>
  <c r="H15" i="74"/>
  <c r="H722" i="103" s="1"/>
  <c r="H21" i="74"/>
  <c r="I21" i="86"/>
  <c r="I22" i="86" s="1"/>
  <c r="H22" i="86"/>
  <c r="H728" i="103" l="1"/>
  <c r="H746" i="103" s="1"/>
  <c r="H39" i="74"/>
  <c r="H53" i="82"/>
  <c r="H738" i="103"/>
  <c r="E174" i="90"/>
  <c r="E175" i="90" s="1"/>
  <c r="N682" i="103"/>
  <c r="AD238" i="103"/>
  <c r="AF238" i="103" s="1"/>
  <c r="Q694" i="103"/>
  <c r="G751" i="103"/>
  <c r="H44" i="74"/>
  <c r="F748" i="103"/>
  <c r="G41" i="74"/>
  <c r="G11" i="86"/>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K74" i="75"/>
  <c r="K75" i="75" s="1"/>
  <c r="N74" i="75"/>
  <c r="N75" i="75" s="1"/>
  <c r="L74" i="75"/>
  <c r="L75" i="75" s="1"/>
  <c r="M74" i="75"/>
  <c r="M75" i="75" s="1"/>
  <c r="O74" i="75"/>
  <c r="O75" i="75" s="1"/>
  <c r="N86" i="75"/>
  <c r="N87" i="75" s="1"/>
  <c r="P86" i="75"/>
  <c r="P87" i="75" s="1"/>
  <c r="K86" i="75"/>
  <c r="L86" i="75"/>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E23" i="74"/>
  <c r="E730" i="103" s="1"/>
  <c r="B20" i="74"/>
  <c r="G66" i="84"/>
  <c r="K66" i="8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724" i="103" s="1"/>
  <c r="C54" i="84"/>
  <c r="C56" i="84" s="1"/>
  <c r="C64" i="84" s="1"/>
  <c r="C70" i="84" s="1"/>
  <c r="C72" i="84" s="1"/>
  <c r="K6" i="74"/>
  <c r="K713" i="103" s="1"/>
  <c r="L4" i="95"/>
  <c r="K8" i="74"/>
  <c r="K715" i="103" s="1"/>
  <c r="J4" i="91"/>
  <c r="D17" i="74"/>
  <c r="D724" i="103" s="1"/>
  <c r="K53" i="84"/>
  <c r="K54" i="84" s="1"/>
  <c r="K56" i="84" s="1"/>
  <c r="K64" i="84" s="1"/>
  <c r="G53" i="84"/>
  <c r="G54" i="84" s="1"/>
  <c r="E17" i="74"/>
  <c r="E724" i="103" s="1"/>
  <c r="E53" i="84"/>
  <c r="E54" i="84" s="1"/>
  <c r="E56" i="84" s="1"/>
  <c r="E64" i="84" s="1"/>
  <c r="E70" i="84" s="1"/>
  <c r="E76" i="84" s="1"/>
  <c r="E73" i="84" s="1"/>
  <c r="F17" i="74"/>
  <c r="F724" i="103" s="1"/>
  <c r="P97" i="72"/>
  <c r="O87" i="75"/>
  <c r="K87" i="75"/>
  <c r="L87" i="75"/>
  <c r="P75" i="75"/>
  <c r="AF125" i="78"/>
  <c r="AH125" i="78" s="1"/>
  <c r="H19" i="84"/>
  <c r="AF122" i="78"/>
  <c r="C19" i="84"/>
  <c r="H17" i="74"/>
  <c r="H724" i="103" s="1"/>
  <c r="I53" i="82"/>
  <c r="J31" i="74"/>
  <c r="J738" i="103" s="1"/>
  <c r="I24" i="74"/>
  <c r="J14" i="74"/>
  <c r="I16" i="74"/>
  <c r="I723" i="103" s="1"/>
  <c r="I15" i="74"/>
  <c r="I722" i="103" s="1"/>
  <c r="I21" i="74"/>
  <c r="I728" i="103" l="1"/>
  <c r="I746" i="103" s="1"/>
  <c r="I39" i="74"/>
  <c r="H751" i="103"/>
  <c r="I44" i="74"/>
  <c r="G748" i="103"/>
  <c r="H41" i="74"/>
  <c r="I11" i="86"/>
  <c r="H11" i="86"/>
  <c r="G20" i="74"/>
  <c r="G727" i="103" s="1"/>
  <c r="G732" i="103" s="1"/>
  <c r="B25" i="74"/>
  <c r="B727" i="103"/>
  <c r="B732" i="103" s="1"/>
  <c r="E56" i="100"/>
  <c r="E64" i="100" s="1"/>
  <c r="E70" i="100" s="1"/>
  <c r="K56" i="100"/>
  <c r="K64" i="100" s="1"/>
  <c r="K70" i="100" s="1"/>
  <c r="I70" i="84"/>
  <c r="I76" i="84" s="1"/>
  <c r="I73" i="84" s="1"/>
  <c r="I56" i="100"/>
  <c r="I64" i="100" s="1"/>
  <c r="I70" i="100" s="1"/>
  <c r="C76" i="100"/>
  <c r="C73" i="100" s="1"/>
  <c r="C72" i="100"/>
  <c r="G56" i="100"/>
  <c r="G64" i="100" s="1"/>
  <c r="G70" i="100" s="1"/>
  <c r="G13" i="86"/>
  <c r="K70" i="84"/>
  <c r="K72" i="84" s="1"/>
  <c r="E127" i="78"/>
  <c r="AH122" i="78"/>
  <c r="P89" i="72"/>
  <c r="O89" i="72"/>
  <c r="D13" i="86"/>
  <c r="F13" i="86"/>
  <c r="E13" i="86"/>
  <c r="C30" i="86"/>
  <c r="I13" i="86"/>
  <c r="C20" i="74"/>
  <c r="H13" i="86"/>
  <c r="C33" i="86"/>
  <c r="C20" i="84"/>
  <c r="H20" i="84"/>
  <c r="J40" i="74"/>
  <c r="J747" i="103" s="1"/>
  <c r="E20" i="74"/>
  <c r="E727" i="103" s="1"/>
  <c r="E732" i="103" s="1"/>
  <c r="D20" i="74"/>
  <c r="D727" i="103" s="1"/>
  <c r="D732" i="103" s="1"/>
  <c r="G56" i="84"/>
  <c r="G64" i="84" s="1"/>
  <c r="G70" i="84" s="1"/>
  <c r="G76" i="84" s="1"/>
  <c r="G73" i="84" s="1"/>
  <c r="C76" i="84"/>
  <c r="C73" i="84" s="1"/>
  <c r="F20" i="74"/>
  <c r="F727" i="103" s="1"/>
  <c r="F732" i="103" s="1"/>
  <c r="E72" i="84"/>
  <c r="K31" i="74"/>
  <c r="K738" i="103" s="1"/>
  <c r="J53" i="82"/>
  <c r="K14" i="74"/>
  <c r="J24" i="74"/>
  <c r="J15" i="74"/>
  <c r="J722" i="103" s="1"/>
  <c r="J16" i="74"/>
  <c r="J723" i="103" s="1"/>
  <c r="J21" i="74"/>
  <c r="J23" i="74"/>
  <c r="J730" i="103" s="1"/>
  <c r="I17" i="74"/>
  <c r="I724" i="103" s="1"/>
  <c r="H20" i="74"/>
  <c r="H727" i="103" s="1"/>
  <c r="H732" i="103" s="1"/>
  <c r="J728" i="103" l="1"/>
  <c r="J746" i="103" s="1"/>
  <c r="J39" i="74"/>
  <c r="E740" i="103"/>
  <c r="E745" i="103"/>
  <c r="E741" i="103"/>
  <c r="B740" i="103"/>
  <c r="B745" i="103"/>
  <c r="B741" i="103"/>
  <c r="D740" i="103"/>
  <c r="D741" i="103"/>
  <c r="D745" i="103"/>
  <c r="G740" i="103"/>
  <c r="G741" i="103"/>
  <c r="G745" i="103"/>
  <c r="G25" i="74"/>
  <c r="B34" i="74"/>
  <c r="B38" i="74"/>
  <c r="H740" i="103"/>
  <c r="H741" i="103"/>
  <c r="H745" i="103"/>
  <c r="B33" i="74"/>
  <c r="C9" i="86" s="1"/>
  <c r="C17" i="86" s="1"/>
  <c r="C18" i="86" s="1"/>
  <c r="C20" i="86" s="1"/>
  <c r="C24" i="86" s="1"/>
  <c r="K6" i="86" s="1"/>
  <c r="G66" i="86" s="1"/>
  <c r="N92" i="85" s="1"/>
  <c r="F740" i="103"/>
  <c r="F741" i="103"/>
  <c r="F745" i="103"/>
  <c r="B44" i="82"/>
  <c r="B51" i="82" s="1"/>
  <c r="I751" i="103"/>
  <c r="J44" i="74"/>
  <c r="H748" i="103"/>
  <c r="I41" i="74"/>
  <c r="C25" i="74"/>
  <c r="C44" i="82" s="1"/>
  <c r="C46" i="82"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G72" i="84"/>
  <c r="D25" i="74"/>
  <c r="F25" i="74"/>
  <c r="G44" i="82"/>
  <c r="G51" i="82" s="1"/>
  <c r="J178" i="78"/>
  <c r="J180" i="78" s="1"/>
  <c r="G33" i="74"/>
  <c r="I20" i="74"/>
  <c r="I727" i="103" s="1"/>
  <c r="I732" i="103" s="1"/>
  <c r="K24" i="74"/>
  <c r="B46" i="74"/>
  <c r="K15" i="74"/>
  <c r="K722" i="103" s="1"/>
  <c r="K16" i="74"/>
  <c r="K723" i="103" s="1"/>
  <c r="K21" i="74"/>
  <c r="K23" i="74"/>
  <c r="K730" i="103" s="1"/>
  <c r="H25" i="74"/>
  <c r="D33" i="86"/>
  <c r="B63" i="74"/>
  <c r="B770" i="103" s="1"/>
  <c r="K53" i="82"/>
  <c r="J17" i="74"/>
  <c r="J724" i="103" s="1"/>
  <c r="K728" i="103" l="1"/>
  <c r="K746" i="103" s="1"/>
  <c r="K39" i="74"/>
  <c r="C33" i="74"/>
  <c r="S22" i="74" s="1"/>
  <c r="S21" i="74"/>
  <c r="B46" i="82"/>
  <c r="F34" i="74"/>
  <c r="F38" i="74"/>
  <c r="H38" i="74"/>
  <c r="H34" i="74"/>
  <c r="C740" i="103"/>
  <c r="C741" i="103"/>
  <c r="C745" i="103"/>
  <c r="D34" i="74"/>
  <c r="D38" i="74"/>
  <c r="C34" i="74"/>
  <c r="C38" i="74"/>
  <c r="I740" i="103"/>
  <c r="I741" i="103"/>
  <c r="I745" i="103"/>
  <c r="E34" i="74"/>
  <c r="E38" i="74"/>
  <c r="G34" i="74"/>
  <c r="G38" i="74"/>
  <c r="J751" i="103"/>
  <c r="K44" i="74"/>
  <c r="I748" i="103"/>
  <c r="J41" i="74"/>
  <c r="C31" i="86"/>
  <c r="E30" i="86"/>
  <c r="E33" i="74"/>
  <c r="F9" i="86" s="1"/>
  <c r="F17" i="86" s="1"/>
  <c r="F18" i="86" s="1"/>
  <c r="F20" i="86" s="1"/>
  <c r="F24" i="86" s="1"/>
  <c r="K9" i="86" s="1"/>
  <c r="D44" i="82"/>
  <c r="D46" i="82" s="1"/>
  <c r="B15" i="82"/>
  <c r="J183" i="78"/>
  <c r="M189" i="78" s="1"/>
  <c r="B72" i="74"/>
  <c r="B779" i="103" s="1"/>
  <c r="E44" i="82"/>
  <c r="E46" i="82" s="1"/>
  <c r="D33" i="74"/>
  <c r="D9" i="86"/>
  <c r="D17" i="86" s="1"/>
  <c r="D18" i="86" s="1"/>
  <c r="D20" i="86" s="1"/>
  <c r="D24" i="86" s="1"/>
  <c r="K7" i="86" s="1"/>
  <c r="G46" i="82"/>
  <c r="F44" i="82"/>
  <c r="F33" i="74"/>
  <c r="H9" i="86"/>
  <c r="H17" i="86" s="1"/>
  <c r="H18" i="86" s="1"/>
  <c r="H20" i="86" s="1"/>
  <c r="H24" i="86" s="1"/>
  <c r="K11" i="86" s="1"/>
  <c r="I25" i="74"/>
  <c r="C51" i="82"/>
  <c r="J20" i="74"/>
  <c r="J727" i="103" s="1"/>
  <c r="J732" i="103" s="1"/>
  <c r="H44" i="82"/>
  <c r="H33" i="74"/>
  <c r="K17" i="74"/>
  <c r="K724" i="103" s="1"/>
  <c r="C46" i="74"/>
  <c r="B56" i="74"/>
  <c r="B48" i="74"/>
  <c r="B755" i="103" s="1"/>
  <c r="B47" i="74"/>
  <c r="B754" i="103" s="1"/>
  <c r="B53" i="74"/>
  <c r="B55" i="74"/>
  <c r="B762" i="103" s="1"/>
  <c r="C63" i="74"/>
  <c r="C770" i="103" s="1"/>
  <c r="B73" i="82"/>
  <c r="E33" i="86"/>
  <c r="B760" i="103" l="1"/>
  <c r="B778" i="103" s="1"/>
  <c r="B71" i="74"/>
  <c r="J740" i="103"/>
  <c r="J741" i="103"/>
  <c r="J745" i="103"/>
  <c r="I34" i="74"/>
  <c r="I38" i="74"/>
  <c r="K751" i="103"/>
  <c r="B76" i="74"/>
  <c r="J748" i="103"/>
  <c r="K41" i="74"/>
  <c r="D31" i="86"/>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770" i="103" s="1"/>
  <c r="C48" i="74"/>
  <c r="C755" i="103" s="1"/>
  <c r="C56" i="74"/>
  <c r="D46" i="74"/>
  <c r="C47" i="74"/>
  <c r="C754" i="103" s="1"/>
  <c r="C53" i="74"/>
  <c r="C55" i="74"/>
  <c r="C762" i="103" s="1"/>
  <c r="B49" i="74"/>
  <c r="B756" i="103" s="1"/>
  <c r="I9" i="86"/>
  <c r="S27" i="74"/>
  <c r="H51" i="82"/>
  <c r="H46" i="82"/>
  <c r="F33" i="86"/>
  <c r="K20" i="74"/>
  <c r="K727" i="103" s="1"/>
  <c r="K732" i="103" s="1"/>
  <c r="C760" i="103" l="1"/>
  <c r="C778" i="103" s="1"/>
  <c r="C71" i="74"/>
  <c r="K740" i="103"/>
  <c r="K745" i="103"/>
  <c r="K741" i="103"/>
  <c r="J34" i="74"/>
  <c r="J38" i="74"/>
  <c r="B783" i="103"/>
  <c r="C76" i="74"/>
  <c r="K748" i="103"/>
  <c r="B73" i="74"/>
  <c r="F31" i="86" s="1"/>
  <c r="E31" i="86"/>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63" i="74"/>
  <c r="E770" i="103" s="1"/>
  <c r="D73" i="82"/>
  <c r="G33" i="86"/>
  <c r="K25" i="74"/>
  <c r="B52" i="74"/>
  <c r="B759" i="103" s="1"/>
  <c r="B764" i="103" s="1"/>
  <c r="C49" i="74"/>
  <c r="C756" i="103" s="1"/>
  <c r="D760" i="103" l="1"/>
  <c r="D778" i="103" s="1"/>
  <c r="D71" i="74"/>
  <c r="K34" i="74"/>
  <c r="K38" i="74"/>
  <c r="B772" i="103"/>
  <c r="B777" i="103"/>
  <c r="B773" i="103"/>
  <c r="C783" i="103"/>
  <c r="D76" i="74"/>
  <c r="B780" i="103"/>
  <c r="C73" i="74"/>
  <c r="H30" i="86"/>
  <c r="E72" i="74"/>
  <c r="E779" i="103" s="1"/>
  <c r="J51" i="82"/>
  <c r="S29" i="74"/>
  <c r="D29" i="86"/>
  <c r="D37" i="86" s="1"/>
  <c r="D38" i="86" s="1"/>
  <c r="D40" i="86" s="1"/>
  <c r="D44" i="86" s="1"/>
  <c r="K14" i="86" s="1"/>
  <c r="C52" i="74"/>
  <c r="C759" i="103" s="1"/>
  <c r="C764" i="103" s="1"/>
  <c r="E73" i="82"/>
  <c r="F63" i="74"/>
  <c r="F770" i="103" s="1"/>
  <c r="D49" i="74"/>
  <c r="D756" i="103" s="1"/>
  <c r="B57" i="74"/>
  <c r="K44" i="82"/>
  <c r="K33" i="74"/>
  <c r="E47" i="74"/>
  <c r="E754" i="103" s="1"/>
  <c r="E56" i="74"/>
  <c r="F46" i="74"/>
  <c r="E48" i="74"/>
  <c r="E755" i="103" s="1"/>
  <c r="E53" i="74"/>
  <c r="E55" i="74"/>
  <c r="E762" i="103" s="1"/>
  <c r="H33" i="86"/>
  <c r="E760" i="103" l="1"/>
  <c r="E778" i="103" s="1"/>
  <c r="E71" i="74"/>
  <c r="B70" i="74"/>
  <c r="B66" i="74"/>
  <c r="C772" i="103"/>
  <c r="C773" i="103"/>
  <c r="C777" i="103"/>
  <c r="D783" i="103"/>
  <c r="E76" i="74"/>
  <c r="C780" i="103"/>
  <c r="D73" i="74"/>
  <c r="H31" i="86" s="1"/>
  <c r="G31" i="86"/>
  <c r="I30" i="86"/>
  <c r="F72" i="74"/>
  <c r="F779" i="103" s="1"/>
  <c r="C57" i="74"/>
  <c r="D52" i="74"/>
  <c r="D759" i="103" s="1"/>
  <c r="D764" i="103" s="1"/>
  <c r="F56" i="74"/>
  <c r="F48" i="74"/>
  <c r="F755" i="103" s="1"/>
  <c r="F47" i="74"/>
  <c r="F754" i="103" s="1"/>
  <c r="G46" i="74"/>
  <c r="F53" i="74"/>
  <c r="F55" i="74"/>
  <c r="F762" i="103" s="1"/>
  <c r="E49" i="74"/>
  <c r="E756" i="103" s="1"/>
  <c r="E29" i="86"/>
  <c r="S30" i="74"/>
  <c r="F73" i="82"/>
  <c r="G63" i="74"/>
  <c r="G770" i="103" s="1"/>
  <c r="K51" i="82"/>
  <c r="K46" i="82"/>
  <c r="B25" i="82" s="1"/>
  <c r="I33" i="86"/>
  <c r="B64" i="82"/>
  <c r="B65" i="74"/>
  <c r="F760" i="103" l="1"/>
  <c r="F778" i="103" s="1"/>
  <c r="F71" i="74"/>
  <c r="D772" i="103"/>
  <c r="D773" i="103"/>
  <c r="D777" i="103"/>
  <c r="C70" i="74"/>
  <c r="C66" i="74"/>
  <c r="E783" i="103"/>
  <c r="F76" i="74"/>
  <c r="D780" i="103"/>
  <c r="E73" i="74"/>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754" i="103" s="1"/>
  <c r="G53" i="74"/>
  <c r="G55" i="74"/>
  <c r="G762" i="103" s="1"/>
  <c r="G760" i="103" l="1"/>
  <c r="G778" i="103" s="1"/>
  <c r="G71" i="74"/>
  <c r="D66" i="74"/>
  <c r="D70" i="74"/>
  <c r="E772" i="103"/>
  <c r="E777" i="103"/>
  <c r="E773" i="103"/>
  <c r="F783" i="103"/>
  <c r="G76" i="74"/>
  <c r="G783" i="103" s="1"/>
  <c r="E780" i="103"/>
  <c r="F73" i="74"/>
  <c r="I31" i="86"/>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H760" i="103" l="1"/>
  <c r="H778" i="103" s="1"/>
  <c r="H71" i="74"/>
  <c r="E66" i="74"/>
  <c r="E70" i="74"/>
  <c r="F772" i="103"/>
  <c r="F777" i="103"/>
  <c r="F773" i="103"/>
  <c r="F780" i="103"/>
  <c r="G73" i="74"/>
  <c r="C51" i="86"/>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I760" i="103" l="1"/>
  <c r="I778" i="103" s="1"/>
  <c r="I71" i="74"/>
  <c r="F66" i="74"/>
  <c r="F70" i="74"/>
  <c r="G772" i="103"/>
  <c r="G773" i="103"/>
  <c r="G777" i="103"/>
  <c r="G780" i="103"/>
  <c r="H73" i="74"/>
  <c r="D51" i="86"/>
  <c r="D57" i="86" s="1"/>
  <c r="D58" i="86" s="1"/>
  <c r="D60" i="86" s="1"/>
  <c r="D64" i="86" s="1"/>
  <c r="K21"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J760" i="103" l="1"/>
  <c r="J778" i="103" s="1"/>
  <c r="J71" i="74"/>
  <c r="G66" i="74"/>
  <c r="G70" i="74"/>
  <c r="H772" i="103"/>
  <c r="H773" i="103"/>
  <c r="H777" i="103"/>
  <c r="H780" i="103"/>
  <c r="I73" i="74"/>
  <c r="E51" i="86"/>
  <c r="E57" i="86" s="1"/>
  <c r="E58" i="86" s="1"/>
  <c r="E60" i="86" s="1"/>
  <c r="E64" i="86" s="1"/>
  <c r="K22" i="86" s="1"/>
  <c r="G50" i="86"/>
  <c r="K72" i="74"/>
  <c r="K779" i="103" s="1"/>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K760" i="103" l="1"/>
  <c r="K778" i="103" s="1"/>
  <c r="K71" i="74"/>
  <c r="I772" i="103"/>
  <c r="I773" i="103"/>
  <c r="I777" i="103"/>
  <c r="H66" i="74"/>
  <c r="H70" i="74"/>
  <c r="I780" i="103"/>
  <c r="J73" i="74"/>
  <c r="F51" i="86"/>
  <c r="F57" i="86" s="1"/>
  <c r="F58" i="86" s="1"/>
  <c r="F60" i="86" s="1"/>
  <c r="F64" i="86" s="1"/>
  <c r="K23" i="86" s="1"/>
  <c r="B103" i="74"/>
  <c r="B810" i="103" s="1"/>
  <c r="L100" i="85"/>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B792" i="103" l="1"/>
  <c r="B809" i="103" s="1"/>
  <c r="B102" i="74"/>
  <c r="J772" i="103"/>
  <c r="J773" i="103"/>
  <c r="J777" i="103"/>
  <c r="I70" i="74"/>
  <c r="I66" i="74"/>
  <c r="J780" i="103"/>
  <c r="K73" i="74"/>
  <c r="G51" i="86"/>
  <c r="G57" i="86" s="1"/>
  <c r="G58" i="86" s="1"/>
  <c r="G60" i="86" s="1"/>
  <c r="G64" i="86" s="1"/>
  <c r="K24"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C792" i="103" l="1"/>
  <c r="C809" i="103" s="1"/>
  <c r="C102" i="74"/>
  <c r="K772" i="103"/>
  <c r="K773" i="103"/>
  <c r="K777" i="103"/>
  <c r="J66" i="74"/>
  <c r="J70" i="74"/>
  <c r="K780" i="103"/>
  <c r="B104" i="74"/>
  <c r="O8" i="86"/>
  <c r="O14" i="86" s="1"/>
  <c r="O33" i="86" s="1"/>
  <c r="H63" i="86" s="1"/>
  <c r="H51" i="86"/>
  <c r="H57" i="86" s="1"/>
  <c r="H58" i="86" s="1"/>
  <c r="H60" i="86" s="1"/>
  <c r="H64" i="86" s="1"/>
  <c r="K25" i="86" s="1"/>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D792" i="103" l="1"/>
  <c r="D809" i="103" s="1"/>
  <c r="D102" i="74"/>
  <c r="B803" i="103"/>
  <c r="B804" i="103"/>
  <c r="B808" i="103"/>
  <c r="K66" i="74"/>
  <c r="K70" i="74"/>
  <c r="B811" i="103"/>
  <c r="C104" i="74"/>
  <c r="E103" i="74"/>
  <c r="E810" i="103" s="1"/>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E792" i="103" l="1"/>
  <c r="E809" i="103" s="1"/>
  <c r="E102" i="74"/>
  <c r="C803" i="103"/>
  <c r="C808" i="103"/>
  <c r="C804" i="103"/>
  <c r="B97" i="74"/>
  <c r="B101" i="74"/>
  <c r="C811" i="103"/>
  <c r="D104" i="74"/>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F792" i="103" l="1"/>
  <c r="F809" i="103" s="1"/>
  <c r="F102" i="74"/>
  <c r="C97" i="74"/>
  <c r="C101" i="74"/>
  <c r="D803" i="103"/>
  <c r="D804" i="103"/>
  <c r="D808" i="103"/>
  <c r="D811" i="103"/>
  <c r="E104" i="74"/>
  <c r="G103" i="74"/>
  <c r="G810" i="103" s="1"/>
  <c r="C96" i="74"/>
  <c r="E84" i="74"/>
  <c r="E791" i="103" s="1"/>
  <c r="E796" i="103" s="1"/>
  <c r="G79" i="74"/>
  <c r="G786" i="103" s="1"/>
  <c r="G88" i="74"/>
  <c r="G80" i="74"/>
  <c r="G787" i="103" s="1"/>
  <c r="H78" i="74"/>
  <c r="G85" i="74"/>
  <c r="G87" i="74"/>
  <c r="G794" i="103" s="1"/>
  <c r="K75" i="82"/>
  <c r="K76" i="82" s="1"/>
  <c r="H95" i="74"/>
  <c r="H802" i="103" s="1"/>
  <c r="F81" i="74"/>
  <c r="F788" i="103" s="1"/>
  <c r="D89" i="74"/>
  <c r="G792" i="103" l="1"/>
  <c r="G809" i="103" s="1"/>
  <c r="G102" i="74"/>
  <c r="D97" i="74"/>
  <c r="D101" i="74"/>
  <c r="E803" i="103"/>
  <c r="E804" i="103"/>
  <c r="E808" i="103"/>
  <c r="E811" i="103"/>
  <c r="F104" i="74"/>
  <c r="H103" i="74"/>
  <c r="H810" i="103" s="1"/>
  <c r="D96" i="74"/>
  <c r="E89" i="74"/>
  <c r="F84" i="74"/>
  <c r="F791" i="103" s="1"/>
  <c r="F796" i="103" s="1"/>
  <c r="H88" i="74"/>
  <c r="H80" i="74"/>
  <c r="H787" i="103" s="1"/>
  <c r="H79" i="74"/>
  <c r="H786" i="103" s="1"/>
  <c r="I78" i="74"/>
  <c r="H85" i="74"/>
  <c r="H87" i="74"/>
  <c r="H794" i="103" s="1"/>
  <c r="G81" i="74"/>
  <c r="G788" i="103" s="1"/>
  <c r="I95" i="74"/>
  <c r="I802" i="103" s="1"/>
  <c r="H792" i="103" l="1"/>
  <c r="H809" i="103" s="1"/>
  <c r="H102" i="74"/>
  <c r="F803" i="103"/>
  <c r="F804" i="103"/>
  <c r="F808" i="103"/>
  <c r="E97" i="74"/>
  <c r="E101" i="74"/>
  <c r="F811" i="103"/>
  <c r="G104" i="74"/>
  <c r="I103" i="74"/>
  <c r="I810" i="103" s="1"/>
  <c r="E96" i="74"/>
  <c r="F89" i="74"/>
  <c r="G84" i="74"/>
  <c r="G791" i="103" s="1"/>
  <c r="G796" i="103" s="1"/>
  <c r="I88" i="74"/>
  <c r="I79" i="74"/>
  <c r="I786" i="103" s="1"/>
  <c r="J78" i="74"/>
  <c r="I80" i="74"/>
  <c r="I787" i="103" s="1"/>
  <c r="I85" i="74"/>
  <c r="I87" i="74"/>
  <c r="I794" i="103" s="1"/>
  <c r="H81" i="74"/>
  <c r="H788" i="103" s="1"/>
  <c r="J95" i="74"/>
  <c r="J802" i="103" s="1"/>
  <c r="I792" i="103" l="1"/>
  <c r="I809" i="103" s="1"/>
  <c r="I102" i="74"/>
  <c r="G803" i="103"/>
  <c r="G804" i="103"/>
  <c r="G808" i="103"/>
  <c r="F97" i="74"/>
  <c r="F101" i="74"/>
  <c r="G811" i="103"/>
  <c r="H104" i="74"/>
  <c r="J103" i="74"/>
  <c r="J810" i="103" s="1"/>
  <c r="F96" i="74"/>
  <c r="J80" i="74"/>
  <c r="J787" i="103" s="1"/>
  <c r="K78" i="74"/>
  <c r="J79" i="74"/>
  <c r="J786" i="103" s="1"/>
  <c r="J88" i="74"/>
  <c r="J85" i="74"/>
  <c r="J87" i="74"/>
  <c r="J794" i="103" s="1"/>
  <c r="I81" i="74"/>
  <c r="I788" i="103" s="1"/>
  <c r="K95" i="74"/>
  <c r="K802" i="103" s="1"/>
  <c r="G89" i="74"/>
  <c r="H84" i="74"/>
  <c r="H791" i="103" s="1"/>
  <c r="H796" i="103" s="1"/>
  <c r="J792" i="103" l="1"/>
  <c r="J809" i="103" s="1"/>
  <c r="J102" i="74"/>
  <c r="H803" i="103"/>
  <c r="H804" i="103"/>
  <c r="H808" i="103"/>
  <c r="G97" i="74"/>
  <c r="G101" i="74"/>
  <c r="H811" i="103"/>
  <c r="I104" i="74"/>
  <c r="K103" i="74"/>
  <c r="K810" i="103" s="1"/>
  <c r="G96" i="74"/>
  <c r="H89" i="74"/>
  <c r="J81" i="74"/>
  <c r="J788" i="103" s="1"/>
  <c r="B125" i="74"/>
  <c r="B832" i="103" s="1"/>
  <c r="K80" i="74"/>
  <c r="K787" i="103" s="1"/>
  <c r="B108" i="74"/>
  <c r="K88" i="74"/>
  <c r="K79" i="74"/>
  <c r="K786" i="103" s="1"/>
  <c r="K85" i="74"/>
  <c r="K87" i="74"/>
  <c r="K794" i="103" s="1"/>
  <c r="I84" i="74"/>
  <c r="I791" i="103" s="1"/>
  <c r="I796" i="103" s="1"/>
  <c r="K792" i="103" l="1"/>
  <c r="K809" i="103" s="1"/>
  <c r="K102" i="74"/>
  <c r="I803" i="103"/>
  <c r="I804" i="103"/>
  <c r="I808" i="103"/>
  <c r="H101" i="74"/>
  <c r="H97" i="74"/>
  <c r="I811" i="103"/>
  <c r="J104" i="74"/>
  <c r="B133" i="74"/>
  <c r="B840" i="103" s="1"/>
  <c r="H96" i="74"/>
  <c r="J84" i="74"/>
  <c r="J791" i="103" s="1"/>
  <c r="J796" i="103" s="1"/>
  <c r="K81" i="74"/>
  <c r="K788" i="103" s="1"/>
  <c r="C125" i="74"/>
  <c r="C832" i="103" s="1"/>
  <c r="I89" i="74"/>
  <c r="B109" i="74"/>
  <c r="B816" i="103" s="1"/>
  <c r="C108" i="74"/>
  <c r="B110" i="74"/>
  <c r="B817" i="103" s="1"/>
  <c r="B118" i="74"/>
  <c r="B115" i="74"/>
  <c r="B117" i="74"/>
  <c r="B824" i="103" s="1"/>
  <c r="B822" i="103" l="1"/>
  <c r="B839" i="103" s="1"/>
  <c r="B132" i="74"/>
  <c r="J803" i="103"/>
  <c r="J804" i="103"/>
  <c r="J808" i="103"/>
  <c r="I97" i="74"/>
  <c r="I101" i="74"/>
  <c r="J811" i="103"/>
  <c r="K104" i="74"/>
  <c r="C133" i="74"/>
  <c r="C840" i="103" s="1"/>
  <c r="I96" i="74"/>
  <c r="J89" i="74"/>
  <c r="K84" i="74"/>
  <c r="K791" i="103" s="1"/>
  <c r="K796" i="103" s="1"/>
  <c r="D108" i="74"/>
  <c r="C109" i="74"/>
  <c r="C816" i="103" s="1"/>
  <c r="C118" i="74"/>
  <c r="C110" i="74"/>
  <c r="C817" i="103" s="1"/>
  <c r="C115" i="74"/>
  <c r="C117" i="74"/>
  <c r="C824" i="103" s="1"/>
  <c r="D125" i="74"/>
  <c r="D832" i="103" s="1"/>
  <c r="B111" i="74"/>
  <c r="B818" i="103" s="1"/>
  <c r="C822" i="103" l="1"/>
  <c r="C839" i="103" s="1"/>
  <c r="C132" i="74"/>
  <c r="J97" i="74"/>
  <c r="J101" i="74"/>
  <c r="K803" i="103"/>
  <c r="K804" i="103"/>
  <c r="K808" i="103"/>
  <c r="K811" i="103"/>
  <c r="B134" i="74"/>
  <c r="D133" i="74"/>
  <c r="D840" i="103" s="1"/>
  <c r="K89" i="74"/>
  <c r="J96" i="74"/>
  <c r="B114" i="74"/>
  <c r="B821" i="103" s="1"/>
  <c r="B826" i="103" s="1"/>
  <c r="C111" i="74"/>
  <c r="C818" i="103" s="1"/>
  <c r="E125" i="74"/>
  <c r="E832" i="103" s="1"/>
  <c r="D118" i="74"/>
  <c r="D109" i="74"/>
  <c r="D816" i="103" s="1"/>
  <c r="E108" i="74"/>
  <c r="D110" i="74"/>
  <c r="D817" i="103" s="1"/>
  <c r="D115" i="74"/>
  <c r="D117" i="74"/>
  <c r="D824" i="103" s="1"/>
  <c r="D822" i="103" l="1"/>
  <c r="D839" i="103" s="1"/>
  <c r="D132" i="74"/>
  <c r="B833" i="103"/>
  <c r="B834" i="103"/>
  <c r="B838" i="103"/>
  <c r="K97" i="74"/>
  <c r="K101" i="74"/>
  <c r="B841" i="103"/>
  <c r="C134" i="74"/>
  <c r="E133" i="74"/>
  <c r="E840" i="103" s="1"/>
  <c r="K96" i="74"/>
  <c r="B119" i="74"/>
  <c r="C114" i="74"/>
  <c r="C821" i="103" s="1"/>
  <c r="C826" i="103" s="1"/>
  <c r="F125" i="74"/>
  <c r="F832" i="103" s="1"/>
  <c r="F108" i="74"/>
  <c r="E109" i="74"/>
  <c r="E816" i="103" s="1"/>
  <c r="E118" i="74"/>
  <c r="E110" i="74"/>
  <c r="E817" i="103" s="1"/>
  <c r="E115" i="74"/>
  <c r="E117" i="74"/>
  <c r="E824" i="103" s="1"/>
  <c r="D111" i="74"/>
  <c r="D818" i="103" s="1"/>
  <c r="E822" i="103" l="1"/>
  <c r="E839" i="103" s="1"/>
  <c r="E132" i="74"/>
  <c r="C833" i="103"/>
  <c r="C834" i="103"/>
  <c r="C838" i="103"/>
  <c r="B127" i="74"/>
  <c r="B131" i="74"/>
  <c r="C841" i="103"/>
  <c r="D134" i="74"/>
  <c r="F133" i="74"/>
  <c r="F840" i="103" s="1"/>
  <c r="B126" i="74"/>
  <c r="C119" i="74"/>
  <c r="E111" i="74"/>
  <c r="E818" i="103" s="1"/>
  <c r="F118" i="74"/>
  <c r="F110" i="74"/>
  <c r="F817" i="103" s="1"/>
  <c r="F109" i="74"/>
  <c r="F816" i="103" s="1"/>
  <c r="F115" i="74"/>
  <c r="F117" i="74"/>
  <c r="F824" i="103" s="1"/>
  <c r="D114" i="74"/>
  <c r="D821" i="103" s="1"/>
  <c r="D826" i="103" s="1"/>
  <c r="F822" i="103" l="1"/>
  <c r="F839" i="103" s="1"/>
  <c r="F132" i="74"/>
  <c r="C127" i="74"/>
  <c r="C131" i="74"/>
  <c r="D833" i="103"/>
  <c r="D834" i="103"/>
  <c r="D838" i="103"/>
  <c r="D841" i="103"/>
  <c r="E134" i="74"/>
  <c r="C126" i="74"/>
  <c r="E114" i="74"/>
  <c r="E821" i="103" s="1"/>
  <c r="E826" i="103" s="1"/>
  <c r="F111" i="74"/>
  <c r="F818" i="103" s="1"/>
  <c r="D119" i="74"/>
  <c r="D127" i="74" l="1"/>
  <c r="D131" i="74"/>
  <c r="E833" i="103"/>
  <c r="E834" i="103"/>
  <c r="E838" i="103"/>
  <c r="E841" i="103"/>
  <c r="F134" i="74"/>
  <c r="F841" i="103" s="1"/>
  <c r="D126" i="74"/>
  <c r="E119" i="74"/>
  <c r="F114" i="74"/>
  <c r="F821" i="103" s="1"/>
  <c r="F826" i="103" s="1"/>
  <c r="E127" i="74" l="1"/>
  <c r="E131" i="74"/>
  <c r="F833" i="103"/>
  <c r="F834" i="103"/>
  <c r="F838" i="103"/>
  <c r="E126" i="74"/>
  <c r="F119" i="74"/>
  <c r="F127" i="74" l="1"/>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<sst xmlns="http://schemas.openxmlformats.org/spreadsheetml/2006/main" count="19371" uniqueCount="7172">
  <si>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</si>
  <si>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</si>
  <si>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</si>
  <si>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</si>
  <si>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</si>
  <si>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</si>
  <si>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</si>
  <si>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</si>
  <si>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</si>
  <si>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</si>
  <si>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</si>
  <si>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</si>
  <si>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</si>
  <si>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</si>
  <si>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</si>
  <si>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</si>
  <si>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</si>
  <si>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</si>
  <si>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</si>
  <si>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</si>
  <si>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</si>
  <si>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</si>
  <si>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</si>
  <si>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</si>
  <si>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</si>
  <si>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</si>
  <si>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</si>
  <si>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</si>
  <si>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</si>
  <si>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</si>
  <si>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</si>
  <si>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</si>
  <si>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</si>
  <si>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</si>
  <si>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</si>
  <si>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</si>
  <si>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</si>
  <si>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</si>
  <si>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</si>
  <si>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</si>
  <si>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</si>
  <si>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</si>
  <si>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</si>
  <si>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</si>
  <si>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</si>
  <si>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</si>
  <si>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</si>
  <si>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</si>
  <si>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</si>
  <si>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</si>
  <si>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</si>
  <si>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</si>
  <si>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</si>
  <si>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</si>
  <si>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</si>
  <si>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</si>
  <si>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</si>
  <si>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</si>
  <si>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</si>
  <si>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</si>
  <si>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</si>
  <si>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</si>
  <si>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</si>
  <si>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</si>
  <si>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</si>
  <si>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</si>
  <si>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</si>
  <si>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</si>
  <si>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</si>
  <si>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</si>
  <si>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</si>
  <si>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</si>
  <si>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</si>
  <si>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</si>
  <si>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</si>
  <si>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</si>
  <si>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</si>
  <si>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</si>
  <si>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</si>
  <si>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</si>
  <si>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</si>
  <si>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</si>
  <si>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</si>
  <si>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</si>
  <si>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</si>
  <si>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</si>
  <si>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</si>
  <si>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</si>
  <si>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</si>
  <si>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</si>
  <si>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</si>
  <si>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</si>
  <si>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</si>
  <si>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</si>
  <si>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</si>
  <si>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</si>
  <si>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</si>
  <si>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</si>
  <si>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</si>
  <si>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</si>
  <si>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</si>
  <si>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</si>
  <si>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</si>
  <si>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</si>
  <si>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</si>
  <si>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</si>
  <si>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</si>
  <si>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</si>
  <si>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</si>
  <si>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</si>
  <si>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</si>
  <si>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</si>
  <si>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</si>
  <si>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</si>
  <si>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</si>
  <si>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</si>
  <si>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</si>
  <si>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</si>
  <si>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</si>
  <si>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</si>
  <si>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</si>
  <si>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</si>
  <si>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</si>
  <si>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</si>
  <si>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</si>
  <si>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</si>
  <si>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</si>
  <si>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</si>
  <si>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</si>
  <si>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</si>
  <si>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</si>
  <si>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</si>
  <si>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</si>
  <si>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</si>
  <si>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</si>
  <si>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</si>
  <si>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</si>
  <si>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</si>
  <si>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</si>
  <si>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</si>
  <si>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</si>
  <si>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</si>
  <si>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</si>
  <si>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</si>
  <si>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</si>
  <si>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</si>
  <si>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</si>
  <si>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</si>
  <si>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</si>
  <si>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</si>
  <si>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</si>
  <si>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</si>
  <si>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</si>
  <si>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</si>
  <si>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</si>
  <si>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</si>
  <si>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</si>
  <si>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</si>
  <si>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</si>
  <si>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</si>
  <si>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</si>
  <si>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</si>
  <si>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</si>
  <si>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</si>
  <si>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</si>
  <si>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</si>
  <si>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</si>
  <si>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</si>
  <si>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</si>
  <si>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</si>
  <si>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</si>
  <si>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</si>
  <si>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</si>
  <si>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</si>
  <si>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</si>
  <si>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</si>
  <si>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</si>
  <si>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</si>
  <si>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</si>
  <si>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</si>
  <si>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</si>
  <si>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</si>
  <si>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</si>
  <si>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</si>
  <si>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</si>
  <si>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</si>
  <si>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</si>
  <si>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</si>
  <si>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</si>
  <si>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</si>
  <si>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</si>
  <si>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</si>
  <si>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</si>
  <si>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</si>
  <si>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</si>
  <si>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</si>
  <si>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</si>
  <si>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</si>
  <si>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</si>
  <si>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</si>
  <si>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</si>
  <si>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</si>
  <si>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</si>
  <si>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</si>
  <si>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</si>
  <si>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</si>
  <si>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</si>
  <si>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</si>
  <si>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</si>
  <si>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</si>
  <si>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</si>
  <si>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</si>
  <si>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</si>
  <si>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</si>
  <si>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</si>
  <si>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</si>
  <si>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</si>
  <si>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</si>
  <si>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</si>
  <si>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</si>
  <si>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</si>
  <si>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</si>
  <si>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</si>
  <si>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</si>
  <si>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</si>
  <si>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</si>
  <si>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</si>
  <si>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</si>
  <si>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</si>
  <si>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</si>
  <si>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</si>
  <si>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</si>
  <si>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</si>
  <si>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</si>
  <si>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</si>
  <si>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</si>
  <si>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</si>
  <si>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</si>
  <si>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</si>
  <si>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</si>
  <si>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</si>
  <si>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</si>
  <si>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</si>
  <si>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</si>
  <si>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</si>
  <si>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</si>
  <si>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</si>
  <si>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</si>
  <si>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</si>
  <si>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</si>
  <si>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</si>
  <si>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</si>
  <si>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</si>
  <si>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</si>
  <si>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</si>
  <si>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</si>
  <si>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</si>
  <si>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</si>
  <si>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</si>
  <si>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</si>
  <si>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</si>
  <si>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</si>
  <si>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</si>
  <si>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</si>
  <si>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</si>
  <si>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</si>
  <si>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</si>
  <si>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</si>
  <si>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</si>
  <si>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</si>
  <si>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</si>
  <si>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</si>
  <si>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</si>
  <si>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</si>
  <si>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</si>
  <si>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</si>
  <si>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</si>
  <si>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</si>
  <si>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</si>
  <si>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</si>
  <si>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</si>
  <si>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</si>
  <si>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</si>
  <si>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</si>
  <si>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</si>
  <si>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</si>
  <si>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</si>
  <si>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</si>
  <si>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</si>
  <si>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</si>
  <si>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</si>
  <si>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</si>
  <si>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</si>
  <si>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</si>
  <si>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</si>
  <si>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</si>
  <si>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</si>
  <si>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</si>
  <si>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</si>
  <si>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</si>
  <si>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</si>
  <si>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</si>
  <si>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</si>
  <si>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</si>
  <si>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</si>
  <si>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</si>
  <si>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</si>
  <si>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</si>
  <si>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</si>
  <si>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</si>
  <si>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</si>
  <si>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</si>
  <si>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</si>
  <si>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</si>
  <si>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</si>
  <si>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</si>
  <si>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</si>
  <si>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</si>
  <si>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</si>
  <si>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</si>
  <si>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</si>
  <si>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</si>
  <si>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</si>
  <si>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</si>
  <si>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</si>
  <si>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</si>
  <si>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</si>
  <si>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</si>
  <si>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</si>
  <si>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</si>
  <si>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</si>
  <si>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</si>
  <si>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</si>
  <si>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</si>
  <si>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</si>
  <si>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</si>
  <si>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</si>
  <si>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</si>
  <si>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</si>
  <si>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</si>
  <si>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</si>
  <si>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</si>
  <si>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</si>
  <si>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</si>
  <si>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</si>
  <si>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</si>
  <si>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</si>
  <si>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</si>
  <si>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</si>
  <si>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</si>
  <si>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</si>
  <si>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</si>
  <si>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</si>
  <si>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</si>
  <si>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</si>
  <si>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</si>
  <si>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</si>
  <si>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</si>
  <si>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</si>
  <si>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</si>
  <si>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</si>
  <si>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</si>
  <si>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</si>
  <si>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</si>
  <si>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</si>
  <si>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</si>
  <si>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</si>
  <si>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</si>
  <si>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</si>
  <si>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</si>
  <si>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</si>
  <si>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</si>
  <si>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</si>
  <si>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</si>
  <si>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</si>
  <si>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</si>
  <si>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</si>
  <si>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</si>
  <si>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</si>
  <si>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</si>
  <si>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</si>
  <si>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</si>
  <si>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</si>
  <si>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</si>
  <si>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</si>
  <si>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</si>
  <si>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</si>
  <si>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</si>
  <si>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</si>
  <si>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</si>
  <si>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</si>
  <si>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</si>
  <si>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</si>
  <si>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</si>
  <si>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</si>
  <si>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</si>
  <si>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</si>
  <si>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</si>
  <si>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</si>
  <si>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</si>
  <si>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</si>
  <si>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</si>
  <si>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</si>
  <si>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</si>
  <si>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</si>
  <si>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</si>
  <si>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</si>
  <si>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</si>
  <si>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</si>
  <si>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</si>
  <si>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</si>
  <si>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</si>
  <si>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</si>
  <si>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</si>
  <si>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</si>
  <si>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</si>
  <si>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</si>
  <si>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</si>
  <si>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</si>
  <si>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</si>
  <si>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</si>
  <si>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</si>
  <si>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</si>
  <si>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</si>
  <si>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</si>
  <si>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</si>
  <si>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</si>
  <si>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</si>
  <si>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</si>
  <si>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</si>
  <si>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</si>
  <si>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</si>
  <si>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</si>
  <si>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</si>
  <si>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</si>
  <si>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</si>
  <si>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</si>
  <si>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</si>
  <si>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</si>
  <si>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</si>
  <si>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</si>
  <si>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</si>
  <si>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</si>
  <si>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</si>
  <si>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</si>
  <si>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</si>
  <si>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</si>
  <si>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</si>
  <si>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</si>
  <si>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</si>
  <si>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</si>
  <si>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</si>
  <si>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</si>
  <si>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</si>
  <si>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</si>
  <si>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</si>
  <si>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</si>
  <si>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</si>
  <si>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</si>
  <si>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</si>
  <si>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</si>
  <si>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</si>
  <si>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</si>
  <si>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</si>
  <si>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</si>
  <si>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</si>
  <si>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</si>
  <si>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</si>
  <si>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</si>
  <si>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</si>
  <si>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</si>
  <si>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</si>
  <si>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</si>
  <si>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</si>
  <si>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</si>
  <si>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</si>
  <si>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</si>
  <si>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</si>
  <si>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</si>
  <si>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</si>
  <si>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</si>
  <si>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</si>
  <si>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</si>
  <si>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</si>
  <si>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</si>
  <si>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</si>
  <si>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</si>
  <si>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</si>
  <si>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</si>
  <si>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</si>
  <si>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</si>
  <si>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</si>
  <si>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</si>
  <si>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</si>
  <si>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</si>
  <si>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</si>
  <si>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</si>
  <si>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</si>
  <si>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</si>
  <si>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</si>
  <si>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</si>
  <si>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</si>
  <si>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</si>
  <si>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</si>
  <si>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</si>
  <si>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</si>
  <si>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</si>
  <si>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</si>
  <si>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</si>
  <si>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</si>
  <si>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</si>
  <si>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</si>
  <si>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</si>
  <si>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</si>
  <si>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</si>
  <si>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</si>
  <si>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</si>
  <si>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</si>
  <si>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</si>
  <si>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</si>
  <si>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</si>
  <si>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</si>
  <si>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</si>
  <si>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</si>
  <si>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</si>
  <si>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</si>
  <si>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</si>
  <si>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</si>
  <si>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</si>
  <si>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</si>
  <si>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</si>
  <si>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</si>
  <si>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</si>
  <si>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</si>
  <si>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</si>
  <si>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</si>
  <si>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</si>
  <si>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</si>
  <si>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</si>
  <si>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</si>
  <si>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</si>
  <si>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</si>
  <si>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</si>
  <si>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</si>
  <si>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</si>
  <si>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</si>
  <si>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</si>
  <si>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</si>
  <si>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</si>
  <si>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</si>
  <si>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</si>
  <si>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</si>
  <si>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</si>
  <si>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</si>
  <si>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</si>
  <si>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</si>
  <si>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</si>
  <si>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</si>
  <si>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</si>
  <si>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</si>
  <si>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</si>
  <si>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</si>
  <si>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</si>
  <si>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</si>
  <si>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</si>
  <si>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</si>
  <si>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</si>
  <si>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</si>
  <si>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</si>
  <si>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</si>
  <si>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</si>
  <si>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</si>
  <si>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</si>
  <si>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</si>
  <si>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</si>
  <si>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</si>
  <si>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</si>
  <si>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</si>
  <si>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</si>
  <si>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</si>
  <si>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</si>
  <si>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</si>
  <si>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</si>
  <si>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</si>
  <si>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</si>
  <si>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</si>
  <si>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</si>
  <si>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</si>
  <si>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</si>
  <si>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</si>
  <si>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</si>
  <si>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</si>
  <si>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</si>
  <si>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</si>
  <si>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</si>
  <si>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</si>
  <si>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</si>
  <si>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</si>
  <si>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</si>
  <si>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</si>
  <si>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</si>
  <si>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</si>
  <si>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</si>
  <si>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</si>
  <si>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</si>
  <si>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</si>
  <si>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</si>
  <si>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</si>
  <si>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</si>
  <si>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</si>
  <si>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</si>
  <si>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</si>
  <si>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</si>
  <si>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</si>
  <si>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</si>
  <si>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</si>
  <si>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</si>
  <si>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</si>
  <si>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</si>
  <si>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</si>
  <si>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</si>
  <si>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</si>
  <si>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</si>
  <si>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</si>
  <si>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</si>
  <si>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</si>
  <si>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</si>
  <si>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</si>
  <si>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</si>
  <si>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</si>
  <si>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</si>
  <si>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</si>
  <si>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</si>
  <si>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</si>
  <si>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</si>
  <si>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</si>
  <si>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</si>
  <si>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</si>
  <si>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</si>
  <si>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</si>
  <si>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</si>
  <si>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</si>
  <si>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</si>
  <si>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</si>
  <si>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</si>
  <si>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</si>
  <si>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</si>
  <si>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</si>
  <si>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</si>
  <si>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</si>
  <si>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</si>
  <si>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</si>
  <si>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</si>
  <si>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</si>
  <si>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</si>
  <si>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</si>
  <si>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</si>
  <si>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</si>
  <si>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</si>
  <si>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</si>
  <si>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</si>
  <si>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</si>
  <si>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</si>
  <si>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</si>
  <si>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</si>
  <si>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</si>
  <si>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</si>
  <si>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</si>
  <si>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</si>
  <si>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</si>
  <si>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</si>
  <si>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</si>
  <si>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</si>
  <si>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</si>
  <si>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</si>
  <si>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</si>
  <si>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</si>
  <si>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</si>
  <si>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</si>
  <si>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</si>
  <si>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</si>
  <si>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</si>
  <si>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</si>
  <si>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</si>
  <si>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</si>
  <si>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</si>
  <si>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</si>
  <si>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</si>
  <si>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</si>
  <si>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</si>
  <si>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</si>
  <si>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</si>
  <si>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</si>
  <si>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</si>
  <si>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</si>
  <si>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</si>
  <si>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</si>
  <si>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</si>
  <si>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</si>
  <si>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</si>
  <si>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</si>
  <si>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</si>
  <si>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</si>
  <si>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</si>
  <si>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</si>
  <si>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</si>
  <si>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</si>
  <si>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</si>
  <si>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</si>
  <si>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</si>
  <si>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</si>
  <si>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</si>
  <si>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</si>
  <si>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</si>
  <si>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</si>
  <si>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</si>
  <si>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</si>
  <si>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</si>
  <si>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</si>
  <si>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</si>
  <si>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</si>
  <si>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</si>
  <si>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</si>
  <si>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</si>
  <si>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</si>
  <si>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</si>
  <si>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</si>
  <si>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</si>
  <si>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</si>
  <si>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</si>
  <si>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</si>
  <si>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</si>
  <si>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</si>
  <si>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</si>
  <si>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</si>
  <si>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</si>
  <si>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</si>
  <si>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</si>
  <si>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</si>
  <si>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</si>
  <si>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</si>
  <si>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</si>
  <si>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</si>
  <si>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</si>
  <si>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</si>
  <si>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</si>
  <si>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</si>
  <si>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</si>
  <si>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</si>
  <si>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</si>
  <si>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</si>
  <si>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</si>
  <si>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</si>
  <si>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</si>
  <si>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</si>
  <si>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</si>
  <si>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</si>
  <si>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</si>
  <si>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</si>
  <si>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</si>
  <si>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</si>
  <si>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</si>
  <si>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</si>
  <si>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</si>
  <si>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</si>
  <si>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</si>
  <si>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</si>
  <si>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</si>
  <si>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</si>
  <si>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</si>
  <si>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</si>
  <si>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</si>
  <si>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</si>
  <si>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</si>
  <si>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</si>
  <si>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</si>
  <si>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</si>
  <si>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</si>
  <si>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</si>
  <si>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</si>
  <si>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</si>
  <si>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</si>
  <si>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</si>
  <si>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</si>
  <si>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</si>
  <si>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</si>
  <si>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</si>
  <si>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</si>
  <si>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</si>
  <si>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</si>
  <si>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</si>
  <si>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</si>
  <si>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</si>
  <si>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</si>
  <si>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</si>
  <si>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</si>
  <si>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</si>
  <si>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</si>
  <si>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</si>
  <si>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</si>
  <si>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</si>
  <si>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</si>
  <si>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</si>
  <si>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</si>
  <si>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</si>
  <si>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</si>
  <si>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</si>
  <si>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</si>
  <si>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</si>
  <si>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</si>
  <si>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</si>
  <si>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</si>
  <si>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</si>
  <si>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</si>
  <si>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</si>
  <si>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</si>
  <si>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</si>
  <si>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</si>
  <si>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</si>
  <si>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</si>
  <si>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</si>
  <si>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</si>
  <si>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</si>
  <si>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</si>
  <si>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</si>
  <si>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</si>
  <si>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</si>
  <si>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</si>
  <si>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</si>
  <si>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</si>
  <si>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</si>
  <si>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</si>
  <si>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</si>
  <si>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</si>
  <si>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</si>
  <si>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</si>
  <si>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</si>
  <si>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</si>
  <si>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</si>
  <si>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</si>
  <si>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</si>
  <si>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</si>
  <si>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</si>
  <si>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</si>
  <si>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</si>
  <si>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</si>
  <si>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</si>
  <si>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</si>
  <si>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</si>
  <si>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</si>
  <si>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</si>
  <si>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</si>
  <si>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</si>
  <si>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</si>
  <si>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</si>
  <si>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</si>
  <si>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</si>
  <si>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</si>
  <si>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</si>
  <si>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</si>
  <si>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</si>
  <si>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</si>
  <si>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</si>
  <si>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</si>
  <si>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</si>
  <si>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</si>
  <si>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</si>
  <si>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</si>
  <si>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</si>
  <si>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</si>
  <si>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</si>
  <si>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</si>
  <si>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</si>
  <si>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</si>
  <si>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</si>
  <si>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</si>
  <si>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</si>
  <si>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</si>
  <si>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</si>
  <si>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</si>
  <si>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</si>
  <si>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</si>
  <si>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</si>
  <si>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</si>
  <si>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</si>
  <si>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</si>
  <si>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</si>
  <si>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</si>
  <si>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</si>
  <si>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</si>
  <si>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</si>
  <si>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</si>
  <si>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</si>
  <si>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</si>
  <si>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</si>
  <si>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</si>
  <si>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</si>
  <si>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</si>
  <si>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</si>
  <si>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</si>
  <si>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</si>
  <si>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</si>
  <si>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</si>
  <si>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</si>
  <si>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</si>
  <si>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</si>
  <si>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</si>
  <si>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</si>
  <si>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</si>
  <si>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</si>
  <si>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</si>
  <si>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</si>
  <si>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</si>
  <si>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</si>
  <si>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</si>
  <si>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</si>
  <si>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</si>
  <si>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</si>
  <si>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</si>
  <si>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</si>
  <si>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</si>
  <si>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</si>
  <si>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</si>
  <si>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</si>
  <si>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</si>
  <si>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</si>
  <si>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</si>
  <si>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</si>
  <si>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</si>
  <si>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</si>
  <si>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</si>
  <si>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</si>
  <si>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</si>
  <si>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</si>
  <si>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</si>
  <si>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</si>
  <si>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</si>
  <si>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</si>
  <si>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</si>
  <si>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</si>
  <si>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</si>
  <si>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</si>
  <si>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</si>
  <si>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</si>
  <si>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</si>
  <si>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</si>
  <si>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</si>
  <si>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</si>
  <si>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</si>
  <si>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</si>
  <si>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</si>
  <si>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</si>
  <si>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</si>
  <si>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</si>
  <si>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</si>
  <si>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</si>
  <si>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</si>
  <si>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</si>
  <si>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</si>
  <si>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</si>
  <si>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</si>
  <si>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</si>
  <si>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</si>
  <si>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</si>
  <si>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</si>
  <si>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</si>
  <si>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</si>
  <si>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</si>
  <si>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</si>
  <si>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</si>
  <si>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</si>
  <si>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</si>
  <si>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</si>
  <si>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</si>
  <si>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</si>
  <si>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</si>
  <si>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</si>
  <si>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</si>
  <si>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</si>
  <si>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</si>
  <si>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</si>
  <si>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</si>
  <si>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</si>
  <si>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</si>
  <si>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</si>
  <si>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</si>
  <si>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</si>
  <si>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</si>
  <si>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</si>
  <si>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</si>
  <si>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</si>
  <si>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</si>
  <si>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</si>
  <si>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</si>
  <si>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</si>
  <si>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</si>
  <si>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</si>
  <si>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</si>
  <si>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</si>
  <si>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</si>
  <si>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</si>
  <si>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</si>
  <si>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</si>
  <si>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</si>
  <si>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</si>
  <si>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</si>
  <si>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</si>
  <si>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</si>
  <si>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</si>
  <si>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</si>
  <si>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</si>
  <si>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</si>
  <si>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</si>
  <si>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</si>
  <si>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</si>
  <si>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</si>
  <si>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</si>
  <si>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</si>
  <si>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</si>
  <si>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</si>
  <si>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</si>
  <si>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</si>
  <si>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</si>
  <si>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</si>
  <si>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</si>
  <si>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</si>
  <si>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</si>
  <si>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</si>
  <si>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</si>
  <si>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</si>
  <si>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</si>
  <si>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</si>
  <si>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</si>
  <si>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</si>
  <si>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</si>
  <si>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</si>
  <si>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</si>
  <si>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</si>
  <si>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</si>
  <si>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</si>
  <si>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</si>
  <si>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</si>
  <si>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</si>
  <si>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</si>
  <si>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</si>
  <si>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</si>
  <si>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</si>
  <si>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</si>
  <si>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</si>
  <si>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</si>
  <si>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</si>
  <si>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</si>
  <si>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</si>
  <si>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</si>
  <si>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</si>
  <si>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</si>
  <si>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</si>
  <si>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</si>
  <si>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</si>
  <si>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</si>
  <si>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</si>
  <si>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</si>
  <si>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</si>
  <si>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</si>
  <si>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</si>
  <si>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</si>
  <si>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</si>
  <si>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</si>
  <si>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</si>
  <si>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</si>
  <si>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</si>
  <si>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</si>
  <si>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</si>
  <si>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</si>
  <si>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</si>
  <si>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</si>
  <si>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</si>
  <si>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</si>
  <si>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</si>
  <si>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</si>
  <si>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</si>
  <si>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</si>
  <si>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</si>
  <si>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</si>
  <si>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</si>
  <si>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</si>
  <si>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</si>
  <si>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</si>
  <si>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</si>
  <si>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</si>
  <si>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</si>
  <si>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</si>
  <si>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</si>
  <si>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</si>
  <si>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</si>
  <si>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</si>
  <si>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</si>
  <si>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</si>
  <si>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</si>
  <si>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</si>
  <si>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</si>
  <si>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</si>
  <si>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</si>
  <si>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</si>
  <si>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</si>
  <si>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</si>
  <si>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</si>
  <si>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</si>
  <si>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</si>
  <si>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</si>
  <si>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</si>
  <si>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</si>
  <si>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</si>
  <si>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</si>
  <si>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</si>
  <si>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</si>
  <si>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</si>
  <si>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</si>
  <si>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</si>
  <si>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</si>
  <si>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</si>
  <si>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</si>
  <si>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</si>
  <si>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</si>
  <si>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</si>
  <si>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</si>
  <si>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</si>
  <si>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</si>
  <si>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</si>
  <si>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</si>
  <si>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</si>
  <si>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</si>
  <si>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</si>
  <si>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</si>
  <si>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</si>
  <si>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</si>
  <si>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</si>
  <si>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</si>
  <si>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</si>
  <si>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</si>
  <si>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</si>
  <si>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</si>
  <si>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</si>
  <si>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</si>
  <si>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</si>
  <si>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</si>
  <si>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</si>
  <si>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</si>
  <si>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</si>
  <si>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</si>
  <si>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</si>
  <si>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</si>
  <si>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</si>
  <si>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</si>
  <si>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</si>
  <si>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</si>
  <si>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</si>
  <si>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</si>
  <si>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</si>
  <si>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</si>
  <si>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</si>
  <si>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</si>
  <si>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</si>
  <si>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</si>
  <si>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</si>
  <si>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</si>
  <si>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</si>
  <si>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</si>
  <si>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</si>
  <si>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</si>
  <si>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</si>
  <si>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</si>
  <si>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</si>
  <si>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</si>
  <si>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</si>
  <si>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</si>
  <si>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</si>
  <si>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</si>
  <si>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</si>
  <si>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</si>
  <si>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</si>
  <si>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</si>
  <si>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</si>
  <si>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</si>
  <si>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</si>
  <si>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</si>
  <si>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</si>
  <si>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</si>
  <si>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</si>
  <si>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</si>
  <si>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</si>
  <si>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</si>
  <si>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</si>
  <si>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</si>
  <si>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</si>
  <si>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</si>
  <si>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</si>
  <si>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</si>
  <si>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</si>
  <si>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</si>
  <si>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</si>
  <si>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</si>
  <si>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</si>
  <si>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</si>
  <si>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</si>
  <si>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</si>
  <si>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</si>
  <si>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</si>
  <si>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</si>
  <si>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</si>
  <si>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</si>
  <si>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</si>
  <si>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</si>
  <si>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</si>
  <si>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</si>
  <si>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</si>
  <si>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</si>
  <si>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</si>
  <si>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</si>
  <si>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</si>
  <si>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</si>
  <si>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</si>
  <si>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</si>
  <si>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</si>
  <si>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</si>
  <si>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</si>
  <si>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</si>
  <si>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</si>
  <si>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</si>
  <si>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</si>
  <si>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</si>
  <si>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</si>
  <si>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</si>
  <si>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</si>
  <si>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</si>
  <si>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</si>
  <si>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</si>
  <si>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</si>
  <si>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</si>
  <si>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</si>
  <si>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</si>
  <si>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</si>
  <si>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</si>
  <si>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</si>
  <si>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</si>
  <si>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</si>
  <si>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</si>
  <si>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</si>
  <si>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</si>
  <si>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</si>
  <si>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</si>
  <si>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</si>
  <si>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</si>
  <si>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</si>
  <si>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</si>
  <si>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</si>
  <si>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</si>
  <si>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</si>
  <si>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</si>
  <si>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</si>
  <si>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</si>
  <si>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</si>
  <si>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</si>
  <si>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</si>
  <si>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</si>
  <si>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</si>
  <si>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</si>
  <si>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</si>
  <si>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</si>
  <si>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</si>
  <si>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</si>
  <si>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</si>
  <si>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</si>
  <si>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</si>
  <si>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</si>
  <si>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</si>
  <si>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</si>
  <si>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</si>
  <si>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</si>
  <si>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</si>
  <si>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</si>
  <si>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</si>
  <si>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</si>
  <si>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</si>
  <si>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</si>
  <si>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</si>
  <si>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</si>
  <si>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</si>
  <si>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</si>
  <si>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</si>
  <si>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</si>
  <si>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</si>
  <si>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</si>
  <si>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</si>
  <si>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</si>
  <si>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</si>
  <si>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</si>
  <si>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</si>
  <si>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</si>
  <si>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</si>
  <si>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</si>
  <si>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</si>
  <si>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</si>
  <si>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</si>
  <si>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</si>
  <si>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</si>
  <si>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</si>
  <si>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</si>
  <si>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</si>
  <si>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</si>
  <si>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</si>
  <si>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</si>
  <si>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</si>
  <si>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</si>
  <si>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</si>
  <si>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</si>
  <si>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</si>
  <si>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</si>
  <si>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</si>
  <si>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</si>
  <si>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</si>
  <si>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</si>
  <si>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</si>
  <si>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</si>
  <si>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</si>
  <si>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</si>
  <si>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</si>
  <si>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</si>
  <si>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</si>
  <si>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</si>
  <si>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</si>
  <si>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</si>
  <si>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</si>
  <si>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</si>
  <si>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</si>
  <si>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</si>
  <si>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</si>
  <si>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</si>
  <si>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</si>
  <si>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</si>
  <si>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</si>
  <si>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</si>
  <si>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</si>
  <si>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</si>
  <si>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</si>
  <si>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</si>
  <si>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</si>
  <si>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</si>
  <si>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</si>
  <si>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</si>
  <si>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</si>
  <si>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</si>
  <si>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</si>
  <si>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</si>
  <si>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</si>
  <si>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</si>
  <si>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</si>
  <si>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</si>
  <si>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</si>
  <si>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</si>
  <si>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</si>
  <si>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</si>
  <si>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</si>
  <si>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</si>
  <si>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</si>
  <si>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</si>
  <si>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</si>
  <si>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</si>
  <si>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</si>
  <si>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</si>
  <si>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</si>
  <si>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</si>
  <si>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</si>
  <si>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</si>
  <si>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</si>
  <si>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</si>
  <si>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</si>
  <si>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</si>
  <si>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</si>
  <si>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</si>
  <si>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</si>
  <si>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</si>
  <si>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</si>
  <si>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</si>
  <si>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</si>
  <si>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</si>
  <si>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</si>
  <si>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</si>
  <si>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</si>
  <si>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</si>
  <si>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</si>
  <si>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</si>
  <si>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</si>
  <si>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</si>
  <si>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</si>
  <si>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</si>
  <si>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</si>
  <si>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</si>
  <si>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</si>
  <si>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</si>
  <si>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</si>
  <si>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</si>
  <si>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</si>
  <si>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</si>
  <si>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</si>
  <si>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</si>
  <si>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</si>
  <si>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</si>
  <si>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</si>
  <si>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</si>
  <si>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</si>
  <si>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</si>
  <si>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</si>
  <si>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</si>
  <si>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</si>
  <si>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</si>
  <si>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</si>
  <si>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</si>
  <si>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</si>
  <si>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</si>
  <si>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</si>
  <si>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</si>
  <si>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</si>
  <si>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</si>
  <si>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</si>
  <si>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</si>
  <si>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</si>
  <si>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</si>
  <si>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</si>
  <si>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</si>
  <si>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</si>
  <si>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</si>
  <si>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</si>
  <si>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</si>
  <si>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</si>
  <si>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</si>
  <si>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</si>
  <si>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</si>
  <si>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</si>
  <si>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</si>
  <si>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</si>
  <si>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</si>
  <si>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</si>
  <si>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</si>
  <si>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</si>
  <si>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</si>
  <si>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</si>
  <si>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</si>
  <si>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</si>
  <si>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</si>
  <si>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</si>
  <si>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</si>
  <si>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</si>
  <si>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</si>
  <si>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</si>
  <si>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</si>
  <si>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</si>
  <si>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</si>
  <si>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</si>
  <si>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</si>
  <si>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</si>
  <si>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</si>
  <si>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</si>
  <si>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</si>
  <si>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</si>
  <si>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</si>
  <si>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</si>
  <si>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</si>
  <si>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</si>
  <si>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</si>
  <si>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</si>
  <si>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</si>
  <si>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</si>
  <si>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</si>
  <si>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</si>
  <si>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</si>
  <si>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</si>
  <si>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</si>
  <si>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</si>
  <si>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</si>
  <si>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</si>
  <si>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</si>
  <si>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</si>
  <si>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</si>
  <si>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</si>
  <si>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</si>
  <si>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</si>
  <si>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</si>
  <si>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</si>
  <si>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</si>
  <si>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</si>
  <si>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</si>
  <si>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</si>
  <si>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</si>
  <si>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</si>
  <si>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</si>
  <si>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</si>
  <si>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</si>
  <si>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</si>
  <si>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</si>
  <si>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</si>
  <si>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</si>
  <si>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</si>
  <si>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</si>
  <si>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</si>
  <si>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</si>
  <si>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</si>
  <si>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</si>
  <si>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</si>
  <si>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</si>
  <si>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</si>
  <si>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</si>
  <si>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</si>
  <si>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</si>
  <si>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</si>
  <si>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</si>
  <si>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</si>
  <si>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</si>
  <si>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</si>
  <si>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</si>
  <si>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</si>
  <si>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</si>
  <si>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</si>
  <si>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</si>
  <si>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</si>
  <si>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</si>
  <si>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</si>
  <si>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</si>
  <si>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</si>
  <si>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</si>
  <si>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</si>
  <si>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</si>
  <si>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</si>
  <si>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</si>
  <si>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</si>
  <si>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</si>
  <si>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</si>
  <si>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</si>
  <si>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</si>
  <si>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</si>
  <si>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</si>
  <si>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</si>
  <si>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</si>
  <si>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</si>
  <si>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</si>
  <si>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</si>
  <si>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</si>
  <si>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</si>
  <si>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</si>
  <si>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</si>
  <si>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</si>
  <si>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</si>
  <si>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</si>
  <si>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</si>
  <si>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</si>
  <si>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</si>
  <si>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</si>
  <si>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</si>
  <si>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</si>
  <si>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</si>
  <si>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</si>
  <si>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</si>
  <si>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</si>
  <si>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</si>
  <si>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</si>
  <si>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</si>
  <si>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</si>
  <si>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</si>
  <si>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</si>
  <si>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</si>
  <si>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</si>
  <si>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</si>
  <si>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</si>
  <si>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</si>
  <si>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</si>
  <si>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</si>
  <si>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</si>
  <si>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</si>
  <si>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</si>
  <si>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</si>
  <si>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</si>
  <si>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</si>
  <si>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</si>
  <si>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</si>
  <si>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</si>
  <si>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</si>
  <si>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</si>
  <si>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</si>
  <si>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</si>
  <si>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</si>
  <si>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</si>
  <si>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</si>
  <si>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</si>
  <si>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</si>
  <si>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</si>
  <si>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</si>
  <si>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</si>
  <si>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</si>
  <si>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</si>
  <si>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</si>
  <si>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</si>
  <si>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</si>
  <si>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</si>
  <si>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</si>
  <si>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</si>
  <si>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</si>
  <si>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</si>
  <si>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</si>
  <si>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</si>
  <si>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</si>
  <si>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</si>
  <si>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</si>
  <si>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</si>
  <si>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</si>
  <si>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</si>
  <si>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</si>
  <si>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</si>
  <si>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</si>
  <si>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</si>
  <si>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</si>
  <si>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</si>
  <si>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</si>
  <si>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</si>
  <si>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</si>
  <si>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</si>
  <si>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</si>
  <si>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</si>
  <si>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</si>
  <si>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</si>
  <si>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</si>
  <si>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</si>
  <si>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</si>
  <si>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</si>
  <si>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</si>
  <si>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</si>
  <si>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</si>
  <si>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</si>
  <si>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</si>
  <si>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</si>
  <si>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</si>
  <si>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</si>
  <si>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</si>
  <si>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</si>
  <si>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</si>
  <si>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</si>
  <si>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</si>
  <si>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</si>
  <si>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</si>
  <si>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</si>
  <si>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</si>
  <si>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</si>
  <si>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</si>
  <si>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</si>
  <si>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</si>
  <si>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</si>
  <si>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</si>
  <si>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</si>
  <si>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</si>
  <si>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</si>
  <si>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</si>
  <si>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</si>
  <si>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</si>
  <si>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</si>
  <si>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</si>
  <si>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</si>
  <si>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</si>
  <si>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</si>
  <si>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</si>
  <si>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</si>
  <si>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</si>
  <si>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</si>
  <si>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</si>
  <si>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</si>
  <si>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</si>
  <si>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</si>
  <si>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</si>
  <si>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</si>
  <si>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</si>
  <si>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</si>
  <si>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</si>
  <si>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</si>
  <si>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</si>
  <si>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</si>
  <si>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</si>
  <si>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</si>
  <si>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</si>
  <si>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</si>
  <si>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</si>
  <si>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</si>
  <si>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</si>
  <si>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</si>
  <si>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</si>
  <si>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</si>
  <si>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</si>
  <si>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</si>
  <si>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</si>
  <si>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</si>
  <si>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</si>
  <si>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</si>
  <si>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</si>
  <si>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</si>
  <si>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</si>
  <si>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</si>
  <si>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</si>
  <si>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</si>
  <si>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</si>
  <si>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</si>
  <si>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</si>
  <si>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</si>
  <si>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</si>
  <si>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</si>
  <si>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</si>
  <si>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</si>
  <si>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</si>
  <si>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</si>
  <si>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</si>
  <si>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</si>
  <si>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</si>
  <si>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</si>
  <si>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</si>
  <si>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</si>
  <si>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</si>
  <si>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</si>
  <si>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</si>
  <si>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</si>
  <si>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</si>
  <si>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</si>
  <si>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</si>
  <si>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</si>
  <si>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</si>
  <si>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</si>
  <si>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</si>
  <si>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</si>
  <si>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</si>
  <si>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</si>
  <si>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</si>
  <si>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</si>
  <si>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</si>
  <si>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</si>
  <si>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</si>
  <si>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</si>
  <si>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</si>
  <si>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</si>
  <si>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</si>
  <si>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</si>
  <si>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</si>
  <si>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</si>
  <si>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</si>
  <si>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</si>
  <si>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</si>
  <si>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</si>
  <si>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</si>
  <si>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</si>
  <si>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</si>
  <si>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</si>
  <si>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</si>
  <si>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</si>
  <si>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</si>
  <si>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</si>
  <si>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</si>
  <si>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</si>
  <si>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</si>
  <si>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</si>
  <si>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</si>
  <si>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</si>
  <si>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</si>
  <si>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</si>
  <si>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</si>
  <si>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</si>
  <si>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</si>
  <si>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</si>
  <si>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</si>
  <si>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</si>
  <si>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</si>
  <si>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</si>
  <si>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</si>
  <si>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</si>
  <si>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</si>
  <si>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</si>
  <si>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</si>
  <si>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</si>
  <si>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</si>
  <si>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</si>
  <si>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</si>
  <si>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</si>
  <si>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</si>
  <si>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</si>
  <si>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</si>
  <si>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</si>
  <si>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</si>
  <si>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</si>
  <si>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</si>
  <si>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</si>
  <si>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</si>
  <si>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</si>
  <si>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</si>
  <si>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</si>
  <si>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</si>
  <si>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</si>
  <si>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</si>
  <si>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</si>
  <si>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</si>
  <si>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</si>
  <si>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</si>
  <si>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</si>
  <si>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</si>
  <si>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</si>
  <si>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</si>
  <si>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</si>
  <si>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</si>
  <si>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</si>
  <si>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</si>
  <si>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</si>
  <si>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</si>
  <si>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</si>
  <si>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</si>
  <si>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</si>
  <si>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</si>
  <si>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</si>
  <si>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</si>
  <si>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</si>
  <si>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</si>
  <si>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</si>
  <si>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</si>
  <si>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</si>
  <si>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</si>
  <si>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</si>
  <si>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</si>
  <si>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</si>
  <si>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</si>
  <si>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</si>
  <si>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</si>
  <si>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</si>
  <si>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</si>
  <si>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</si>
  <si>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</si>
  <si>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</si>
  <si>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</si>
  <si>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</si>
  <si>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</si>
  <si>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</si>
  <si>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</si>
  <si>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</si>
  <si>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</si>
  <si>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</si>
  <si>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</si>
  <si>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</si>
  <si>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</si>
  <si>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</si>
  <si>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</si>
  <si>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</si>
  <si>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</si>
  <si>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</si>
  <si>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</si>
  <si>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</si>
  <si>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</si>
  <si>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</si>
  <si>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</si>
  <si>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</si>
  <si>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</si>
  <si>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</si>
  <si>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</si>
  <si>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</si>
  <si>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</si>
  <si>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</si>
  <si>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</si>
  <si>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</si>
  <si>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</si>
  <si>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</si>
  <si>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</si>
  <si>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</si>
  <si>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</si>
  <si>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</si>
  <si>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</si>
  <si>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</si>
  <si>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</si>
  <si>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</si>
  <si>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</si>
  <si>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</si>
  <si>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</si>
  <si>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</si>
  <si>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</si>
  <si>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</si>
  <si>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</si>
  <si>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</si>
  <si>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</si>
  <si>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</si>
  <si>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</si>
  <si>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</si>
  <si>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</si>
  <si>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</si>
  <si>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</si>
  <si>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</si>
  <si>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</si>
  <si>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</si>
  <si>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</si>
  <si>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</si>
  <si>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</si>
  <si>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</si>
  <si>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</si>
  <si>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</si>
  <si>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</si>
  <si>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</si>
  <si>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</si>
  <si>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</si>
  <si>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</si>
  <si>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</si>
  <si>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</si>
  <si>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</si>
  <si>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</si>
  <si>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</si>
  <si>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</si>
  <si>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</si>
  <si>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</si>
  <si>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</si>
  <si>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</si>
  <si>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</si>
  <si>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</si>
  <si>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</si>
  <si>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</si>
  <si>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</si>
  <si>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</si>
  <si>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</si>
  <si>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</si>
  <si>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</si>
  <si>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</si>
  <si>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</si>
  <si>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</si>
  <si>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</si>
  <si>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</si>
  <si>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</si>
  <si>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</si>
  <si>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</si>
  <si>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</si>
  <si>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</si>
  <si>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</si>
  <si>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</si>
  <si>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</si>
  <si>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</si>
  <si>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</si>
  <si>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</si>
  <si>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</si>
  <si>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</si>
  <si>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</si>
  <si>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</si>
  <si>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</si>
  <si>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</si>
  <si>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</si>
  <si>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</si>
  <si>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</si>
  <si>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</si>
  <si>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</si>
  <si>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</si>
  <si>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</si>
  <si>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</si>
  <si>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</si>
  <si>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</si>
  <si>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</si>
  <si>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</si>
  <si>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</si>
  <si>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</si>
  <si>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</si>
  <si>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</si>
  <si>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</si>
  <si>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</si>
  <si>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</si>
  <si>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</si>
  <si>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</si>
  <si>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</si>
  <si>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</si>
  <si>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</si>
  <si>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</si>
  <si>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</si>
  <si>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</si>
  <si>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</si>
  <si>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</si>
  <si>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</si>
  <si>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</si>
  <si>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</si>
  <si>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</si>
  <si>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</si>
  <si>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</si>
  <si>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</si>
  <si>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</si>
  <si>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</si>
  <si>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</si>
  <si>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</si>
  <si>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</si>
  <si>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</si>
  <si>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</si>
  <si>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</si>
  <si>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</si>
  <si>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</si>
  <si>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</si>
  <si>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</si>
  <si>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</si>
  <si>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</si>
  <si>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</si>
  <si>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</si>
  <si>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</si>
  <si>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</si>
  <si>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</si>
  <si>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</si>
  <si>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</si>
  <si>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</si>
  <si>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</si>
  <si>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</si>
  <si>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</si>
  <si>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</si>
  <si>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</si>
  <si>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</si>
  <si>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</si>
  <si>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</si>
  <si>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</si>
  <si>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</si>
  <si>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</si>
  <si>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</si>
  <si>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</si>
  <si>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</si>
  <si>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</si>
  <si>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</si>
  <si>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</si>
  <si>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</si>
  <si>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</si>
  <si>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</si>
  <si>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</si>
  <si>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</si>
  <si>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</si>
  <si>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</si>
  <si>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</si>
  <si>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</si>
  <si>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</si>
  <si>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</si>
  <si>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</si>
  <si>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</si>
  <si>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</si>
  <si>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</si>
  <si>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</si>
  <si>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</si>
  <si>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</si>
  <si>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</si>
  <si>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</si>
  <si>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</si>
  <si>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</si>
  <si>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</si>
  <si>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</si>
  <si>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</si>
  <si>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</si>
  <si>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</si>
  <si>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</si>
  <si>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</si>
  <si>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</si>
  <si>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</si>
  <si>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</si>
  <si>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</si>
  <si>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</si>
  <si>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</si>
  <si>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</si>
  <si>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</si>
  <si>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</si>
  <si>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</si>
  <si>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</si>
  <si>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</si>
  <si>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</si>
  <si>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</si>
  <si>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</si>
  <si>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</si>
  <si>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</si>
  <si>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</si>
  <si>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</si>
  <si>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</si>
  <si>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</si>
  <si>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</si>
  <si>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</si>
  <si>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</si>
  <si>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</si>
  <si>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</si>
  <si>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</si>
  <si>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</si>
  <si>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</si>
  <si>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</si>
  <si>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</si>
  <si>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</si>
  <si>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</si>
  <si>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</si>
  <si>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</si>
  <si>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</si>
  <si>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</si>
  <si>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</si>
  <si>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</si>
  <si>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</si>
  <si>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</si>
  <si>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</si>
  <si>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</si>
  <si>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</si>
  <si>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</si>
  <si>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</si>
  <si>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</si>
  <si>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</si>
  <si>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</si>
  <si>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</si>
  <si>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</si>
  <si>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</si>
  <si>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</si>
  <si>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</si>
  <si>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</si>
  <si>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</si>
  <si>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</si>
  <si>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</si>
  <si>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</si>
  <si>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</si>
  <si>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</si>
  <si>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</si>
  <si>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</si>
  <si>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</si>
  <si>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</si>
  <si>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</si>
  <si>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</si>
  <si>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</si>
  <si>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</si>
  <si>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</si>
  <si>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</si>
  <si>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</si>
  <si>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</si>
  <si>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</si>
  <si>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</si>
  <si>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</si>
  <si>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</si>
  <si>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</si>
  <si>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</si>
  <si>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</si>
  <si>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</si>
  <si>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</si>
  <si>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</si>
  <si>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</si>
  <si>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</si>
  <si>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</si>
  <si>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</si>
  <si>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</si>
  <si>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</si>
  <si>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</si>
  <si>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</si>
  <si>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</si>
  <si>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</si>
  <si>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</si>
  <si>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</si>
  <si>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</si>
  <si>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</si>
  <si>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</si>
  <si>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</si>
  <si>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</si>
  <si>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</si>
  <si>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</si>
  <si>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</si>
  <si>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</si>
  <si>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</si>
  <si>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</si>
  <si>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</si>
  <si>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</si>
  <si>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</si>
  <si>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</si>
  <si>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</si>
  <si>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</si>
  <si>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</si>
  <si>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</si>
  <si>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</si>
  <si>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</si>
  <si>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</si>
  <si>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</si>
  <si>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</si>
  <si>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</si>
  <si>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</si>
  <si>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</si>
  <si>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</si>
  <si>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</si>
  <si>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</si>
  <si>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</si>
  <si>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</si>
  <si>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</si>
  <si>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</si>
  <si>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</si>
  <si>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</si>
  <si>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</si>
  <si>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</si>
  <si>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</si>
  <si>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</si>
  <si>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</si>
  <si>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</si>
  <si>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</si>
  <si>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</si>
  <si>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</si>
  <si>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</si>
  <si>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</si>
  <si>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</si>
  <si>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</si>
  <si>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</si>
  <si>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</si>
  <si>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</si>
  <si>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</si>
  <si>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</si>
  <si>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</si>
  <si>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</si>
  <si>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</si>
  <si>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</si>
  <si>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</si>
  <si>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</si>
  <si>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</si>
  <si>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</si>
  <si>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</si>
  <si>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</si>
  <si>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</si>
  <si>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</si>
  <si>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</si>
  <si>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</si>
  <si>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</si>
  <si>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</si>
  <si>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</si>
  <si>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</si>
  <si>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</si>
  <si>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</si>
  <si>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</si>
  <si>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</si>
  <si>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</si>
  <si>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</si>
  <si>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</si>
  <si>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</si>
  <si>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</si>
  <si>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</si>
  <si>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</si>
  <si>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</si>
  <si>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</si>
  <si>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</si>
  <si>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</si>
  <si>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</si>
  <si>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</si>
  <si>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</si>
  <si>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</si>
  <si>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</si>
  <si>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</si>
  <si>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</si>
  <si>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</si>
  <si>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</si>
  <si>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</si>
  <si>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</si>
  <si>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</si>
  <si>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</si>
  <si>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</si>
  <si>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</si>
  <si>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</si>
  <si>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</si>
  <si>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</si>
  <si>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</si>
  <si>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</si>
  <si>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</si>
  <si>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</si>
  <si>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</si>
  <si>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</si>
  <si>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</si>
  <si>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</si>
  <si>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</si>
  <si>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</si>
  <si>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</si>
  <si>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</si>
  <si>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</si>
  <si>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</si>
  <si>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</si>
  <si>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</si>
  <si>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</si>
  <si>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</si>
  <si>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</si>
  <si>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</si>
  <si>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</si>
  <si>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</si>
  <si>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</si>
  <si>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</si>
  <si>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</si>
  <si>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</si>
  <si>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</si>
  <si>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</si>
  <si>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</si>
  <si>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</si>
  <si>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</si>
  <si>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</si>
  <si>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</si>
  <si>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</si>
  <si>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</si>
  <si>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</si>
  <si>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</si>
  <si>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</si>
  <si>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</si>
  <si>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</si>
  <si>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</si>
  <si>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</si>
  <si>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</si>
  <si>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</si>
  <si>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</si>
  <si>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</si>
  <si>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</si>
  <si>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</si>
  <si>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</si>
  <si>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</si>
  <si>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</si>
  <si>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</si>
  <si>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</si>
  <si>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</si>
  <si>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</si>
  <si>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</si>
  <si>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</si>
  <si>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</si>
  <si>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</si>
  <si>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</si>
  <si>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</si>
  <si>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</si>
  <si>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</si>
  <si>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</si>
  <si>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</si>
  <si>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</si>
  <si>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</si>
  <si>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</si>
  <si>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</si>
  <si>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</si>
  <si>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</si>
  <si>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</si>
  <si>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</si>
  <si>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</si>
  <si>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</si>
  <si>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</si>
  <si>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</si>
  <si>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</si>
  <si>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</si>
  <si>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</si>
  <si>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</si>
  <si>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</si>
  <si>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</si>
  <si>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</si>
  <si>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</si>
  <si>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</si>
  <si>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</si>
  <si>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</si>
  <si>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</si>
  <si>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</si>
  <si>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</si>
  <si>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</si>
  <si>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</si>
  <si>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</si>
  <si>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</si>
  <si>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</si>
  <si>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</si>
  <si>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</si>
  <si>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</si>
  <si>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</si>
  <si>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</si>
  <si>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</si>
  <si>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</si>
  <si>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</si>
  <si>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</si>
  <si>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</si>
  <si>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</si>
  <si>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</si>
  <si>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</si>
  <si>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</si>
  <si>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</si>
  <si>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</si>
  <si>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</si>
  <si>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</si>
  <si>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</si>
  <si>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</si>
  <si>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</si>
  <si>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</si>
  <si>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</si>
  <si>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</si>
  <si>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</si>
  <si>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</si>
  <si>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</si>
  <si>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</si>
  <si>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</si>
  <si>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</si>
  <si>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</si>
  <si>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</si>
  <si>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</si>
  <si>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</si>
  <si>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</si>
  <si>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</si>
  <si>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</si>
  <si>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</si>
  <si>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</si>
  <si>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</si>
  <si>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</si>
  <si>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</si>
  <si>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</si>
  <si>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</si>
  <si>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</si>
  <si>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</si>
  <si>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</si>
  <si>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</si>
  <si>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</si>
  <si>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</si>
  <si>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</si>
  <si>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</si>
  <si>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</si>
  <si>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</si>
  <si>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</si>
  <si>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</si>
  <si>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</si>
  <si>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</si>
  <si>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</si>
  <si>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</si>
  <si>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</si>
  <si>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</si>
  <si>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</si>
  <si>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</si>
  <si>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</si>
  <si>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</si>
  <si>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</si>
  <si>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</si>
  <si>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</si>
  <si>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</si>
  <si>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</si>
  <si>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</si>
  <si>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</si>
  <si>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</si>
  <si>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</si>
  <si>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</si>
  <si>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</si>
  <si>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</si>
  <si>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</si>
  <si>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</si>
  <si>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</si>
  <si>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</si>
  <si>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</si>
  <si>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</si>
  <si>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</si>
  <si>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</si>
  <si>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</si>
  <si>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</si>
  <si>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</si>
  <si>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</si>
  <si>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</si>
  <si>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</si>
  <si>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</si>
  <si>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</si>
  <si>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</si>
  <si>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</si>
  <si>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</si>
  <si>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</si>
  <si>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</si>
  <si>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</si>
  <si>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</si>
  <si>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</si>
  <si>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</si>
  <si>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</si>
  <si>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</si>
  <si>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</si>
  <si>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</si>
  <si>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</si>
  <si>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</si>
  <si>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</si>
  <si>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</si>
  <si>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</si>
  <si>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</si>
  <si>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</si>
  <si>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</si>
  <si>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</si>
  <si>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</si>
  <si>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</si>
  <si>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</si>
  <si>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</si>
  <si>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</si>
  <si>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</si>
  <si>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</si>
  <si>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</si>
  <si>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</si>
  <si>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</si>
  <si>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</si>
  <si>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</si>
  <si>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</si>
  <si>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</si>
  <si>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</si>
  <si>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</si>
  <si>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</si>
  <si>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</si>
  <si>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</si>
  <si>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</si>
  <si>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</si>
  <si>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</si>
  <si>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</si>
  <si>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</si>
  <si>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</si>
  <si>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</si>
  <si>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</si>
  <si>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</si>
  <si>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</si>
  <si>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</si>
  <si>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</si>
  <si>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</si>
  <si>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</si>
  <si>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</si>
  <si>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</si>
  <si>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</si>
  <si>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</si>
  <si>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</si>
  <si>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</si>
  <si>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</si>
  <si>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</si>
  <si>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</si>
  <si>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</si>
  <si>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</si>
  <si>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</si>
  <si>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</si>
  <si>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</si>
  <si>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</si>
  <si>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</si>
  <si>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</si>
  <si>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</si>
  <si>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</si>
  <si>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</si>
  <si>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</si>
  <si>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</si>
  <si>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</si>
  <si>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</si>
  <si>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</si>
  <si>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</si>
  <si>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</si>
  <si>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</si>
  <si>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</si>
  <si>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</si>
  <si>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</si>
  <si>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</si>
  <si>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</si>
  <si>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</si>
  <si>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</si>
  <si>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</si>
  <si>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</si>
  <si>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</si>
  <si>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</si>
  <si>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</si>
  <si>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</si>
  <si>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</si>
  <si>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</si>
  <si>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</si>
  <si>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</si>
  <si>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</si>
  <si>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</si>
  <si>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</si>
  <si>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</si>
  <si>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</si>
  <si>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</si>
  <si>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</si>
  <si>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</si>
  <si>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</si>
  <si>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</si>
  <si>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</si>
  <si>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</si>
  <si>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</si>
  <si>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</si>
  <si>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</si>
  <si>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</si>
  <si>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</si>
  <si>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</si>
  <si>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</si>
  <si>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</si>
  <si>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</si>
  <si>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</si>
  <si>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</si>
  <si>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</si>
  <si>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</si>
  <si>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</si>
  <si>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</si>
  <si>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</si>
  <si>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</si>
  <si>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</si>
  <si>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</si>
  <si>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</si>
  <si>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</si>
  <si>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</si>
  <si>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</si>
  <si>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</si>
  <si>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</si>
  <si>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</si>
  <si>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</si>
  <si>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</si>
  <si>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</si>
  <si>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</si>
  <si>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</si>
  <si>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</si>
  <si>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</si>
  <si>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</si>
  <si>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</si>
  <si>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</si>
  <si>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</si>
  <si>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</si>
  <si>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</si>
  <si>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</si>
  <si>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</si>
  <si>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</si>
  <si>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</si>
  <si>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</si>
  <si>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</si>
  <si>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</si>
  <si>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</si>
  <si>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</si>
  <si>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</si>
  <si>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</si>
  <si>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</si>
  <si>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</si>
  <si>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</si>
  <si>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</si>
  <si>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</si>
  <si>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</si>
  <si>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</si>
  <si>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</si>
  <si>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</si>
  <si>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</si>
  <si>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</si>
  <si>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</si>
  <si>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</si>
  <si>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</si>
  <si>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</si>
  <si>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</si>
  <si>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</si>
  <si>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</si>
  <si>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</si>
  <si>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</si>
  <si>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</si>
  <si>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</si>
  <si>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</si>
  <si>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</si>
  <si>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</si>
  <si>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</si>
  <si>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</si>
  <si>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</si>
  <si>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</si>
  <si>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</si>
  <si>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</si>
  <si>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</si>
  <si>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</si>
  <si>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</si>
  <si>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</si>
  <si>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</si>
  <si>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</si>
  <si>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</si>
  <si>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</si>
  <si>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</si>
  <si>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</si>
  <si>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</si>
  <si>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</si>
  <si>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</si>
  <si>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</si>
  <si>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</si>
  <si>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</si>
  <si>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</si>
  <si>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</si>
  <si>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</si>
  <si>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</si>
  <si>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</si>
  <si>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</si>
  <si>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</si>
  <si>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</si>
  <si>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</si>
  <si>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</si>
  <si>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</si>
  <si>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</si>
  <si>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</si>
  <si>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</si>
  <si>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</si>
  <si>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</si>
  <si>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</si>
  <si>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</si>
  <si>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</si>
  <si>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</si>
  <si>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</si>
  <si>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</si>
  <si>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</si>
  <si>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</si>
  <si>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</si>
  <si>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</si>
  <si>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</si>
  <si>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</si>
  <si>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</si>
  <si>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</si>
  <si>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</si>
  <si>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</si>
  <si>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</si>
  <si>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</si>
  <si>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</si>
  <si>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</si>
  <si>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</si>
  <si>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</si>
  <si>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</si>
  <si>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</si>
  <si>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</si>
  <si>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</si>
  <si>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</si>
  <si>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</si>
  <si>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</si>
  <si>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</si>
  <si>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</si>
  <si>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</si>
  <si>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</si>
  <si>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</si>
  <si>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</si>
  <si>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</si>
  <si>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</si>
  <si>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</si>
  <si>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</si>
  <si>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</si>
  <si>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</si>
  <si>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</si>
  <si>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</si>
  <si>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</si>
  <si>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</si>
  <si>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</si>
  <si>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</si>
  <si>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</si>
  <si>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</si>
  <si>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</si>
  <si>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</si>
  <si>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</si>
  <si>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</si>
  <si>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</si>
  <si>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</si>
  <si>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</si>
  <si>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</si>
  <si>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</si>
  <si>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</si>
  <si>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</si>
  <si>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</si>
  <si>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</si>
  <si>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</si>
  <si>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</si>
  <si>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</si>
  <si>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</si>
  <si>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</si>
  <si>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</si>
  <si>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</si>
  <si>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</si>
  <si>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</si>
  <si>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</si>
  <si>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</si>
  <si>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</si>
  <si>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</si>
  <si>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</si>
  <si>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</si>
  <si>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</si>
  <si>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</si>
  <si>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</si>
  <si>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</si>
  <si>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</si>
  <si>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</si>
  <si>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</si>
  <si>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</si>
  <si>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</si>
  <si>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</si>
  <si>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</si>
  <si>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</si>
  <si>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</si>
  <si>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</si>
  <si>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</si>
  <si>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</si>
  <si>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</si>
  <si>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</si>
  <si>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</si>
  <si>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</si>
  <si>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</si>
  <si>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</si>
  <si>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</si>
  <si>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</si>
  <si>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</si>
  <si>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</si>
  <si>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</si>
  <si>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</si>
  <si>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</si>
  <si>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</si>
  <si>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</si>
  <si>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</si>
  <si>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</si>
  <si>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</si>
  <si>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</si>
  <si>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</si>
  <si>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</si>
  <si>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</si>
  <si>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</si>
  <si>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</si>
  <si>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</si>
  <si>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</si>
  <si>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</si>
  <si>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</si>
  <si>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</si>
  <si>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</si>
  <si>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</si>
  <si>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</si>
  <si>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</si>
  <si>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</si>
  <si>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</si>
  <si>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</si>
  <si>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</si>
  <si>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</si>
  <si>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</si>
  <si>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</si>
  <si>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</si>
  <si>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</si>
  <si>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</si>
  <si>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</si>
  <si>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</si>
  <si>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</si>
  <si>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</si>
  <si>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</si>
  <si>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</si>
  <si>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</si>
  <si>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</si>
  <si>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</si>
  <si>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</si>
  <si>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</si>
  <si>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</si>
  <si>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</si>
  <si>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</si>
  <si>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</si>
  <si>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</si>
  <si>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</si>
  <si>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</si>
  <si>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</si>
  <si>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</si>
  <si>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</si>
  <si>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</si>
  <si>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</si>
  <si>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</si>
  <si>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</si>
  <si>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</si>
  <si>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</si>
  <si>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</si>
  <si>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</si>
  <si>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</si>
  <si>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</si>
  <si>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</si>
  <si>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</si>
  <si>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</si>
  <si>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</si>
  <si>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</si>
  <si>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</si>
  <si>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</si>
  <si>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</si>
  <si>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</si>
  <si>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</si>
  <si>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</si>
  <si>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</si>
  <si>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</si>
  <si>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</si>
  <si>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</si>
  <si>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</si>
  <si>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</si>
  <si>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</si>
  <si>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</si>
  <si>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</si>
  <si>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</si>
  <si>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</si>
  <si>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</si>
  <si>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</si>
  <si>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</si>
  <si>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</si>
  <si>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</si>
  <si>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</si>
  <si>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</si>
  <si>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</si>
  <si>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</si>
  <si>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</si>
  <si>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</si>
  <si>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</si>
  <si>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</si>
  <si>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</si>
  <si>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</si>
  <si>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</si>
  <si>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</si>
  <si>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</si>
  <si>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</si>
  <si>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</si>
  <si>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</si>
  <si>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</si>
  <si>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</si>
  <si>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</si>
  <si>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</si>
  <si>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</si>
  <si>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</si>
  <si>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</si>
  <si>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</si>
  <si>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</si>
  <si>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</si>
  <si>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</si>
  <si>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</si>
  <si>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</si>
  <si>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</si>
  <si>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</si>
  <si>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</si>
  <si>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</si>
  <si>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</si>
  <si>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</si>
  <si>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</si>
  <si>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</si>
  <si>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</si>
  <si>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</si>
  <si>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</si>
  <si>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</si>
  <si>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</si>
  <si>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</si>
  <si>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</si>
  <si>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</si>
  <si>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</si>
  <si>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</si>
  <si>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</si>
  <si>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</si>
  <si>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</si>
  <si>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</si>
  <si>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</si>
  <si>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</si>
  <si>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</si>
  <si>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</si>
  <si>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</si>
  <si>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</si>
  <si>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</si>
  <si>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</si>
  <si>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</si>
  <si>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</si>
  <si>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</si>
  <si>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</si>
  <si>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</si>
  <si>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</si>
  <si>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</si>
  <si>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</si>
  <si>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</si>
  <si>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</si>
  <si>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</si>
  <si>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</si>
  <si>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</si>
  <si>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</si>
  <si>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</si>
  <si>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</si>
  <si>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</si>
  <si>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</si>
  <si>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</si>
  <si>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</si>
  <si>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</si>
  <si>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</si>
  <si>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</si>
  <si>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</si>
  <si>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</si>
  <si>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</si>
  <si>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</si>
  <si>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</si>
  <si>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</si>
  <si>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</si>
  <si>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</si>
  <si>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</si>
  <si>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</si>
  <si>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</si>
  <si>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</si>
  <si>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</si>
  <si>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</si>
  <si>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</si>
  <si>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</si>
  <si>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</si>
  <si>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</si>
  <si>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</si>
  <si>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</si>
  <si>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</si>
  <si>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</si>
  <si>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</si>
  <si>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</si>
  <si>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</si>
  <si>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</si>
  <si>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</si>
  <si>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</si>
  <si>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</si>
  <si>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</si>
  <si>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</si>
  <si>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</si>
  <si>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</si>
  <si>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</si>
  <si>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</si>
  <si>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</si>
  <si>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</si>
  <si>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</si>
  <si>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</si>
  <si>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</si>
  <si>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</si>
  <si>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</si>
  <si>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</si>
  <si>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</si>
  <si>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</si>
  <si>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</si>
  <si>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</si>
  <si>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</si>
  <si>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</si>
  <si>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</si>
  <si>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</si>
  <si>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</si>
  <si>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</si>
  <si>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</si>
  <si>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</si>
  <si>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</si>
  <si>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</si>
  <si>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</si>
  <si>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</si>
  <si>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</si>
  <si>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</si>
  <si>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</si>
  <si>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</si>
  <si>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</si>
  <si>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</si>
  <si>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</si>
  <si>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</si>
  <si>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</si>
  <si>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</si>
  <si>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</si>
  <si>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</si>
  <si>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</si>
  <si>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</si>
  <si>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</si>
  <si>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</si>
  <si>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</si>
  <si>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</si>
  <si>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</si>
  <si>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</si>
  <si>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</si>
  <si>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</si>
  <si>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</si>
  <si>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</si>
  <si>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</si>
  <si>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</si>
  <si>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</si>
  <si>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</si>
  <si>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</si>
  <si>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</si>
  <si>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</si>
  <si>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</si>
  <si>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</si>
  <si>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</si>
  <si>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</si>
  <si>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</si>
  <si>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</si>
  <si>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</si>
  <si>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</si>
  <si>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</si>
  <si>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</si>
  <si>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</si>
  <si>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</si>
  <si>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</si>
  <si>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</si>
  <si>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</si>
  <si>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</si>
  <si>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</si>
  <si>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</si>
  <si>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</si>
  <si>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</si>
  <si>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</si>
  <si>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</si>
  <si>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</si>
  <si>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</si>
  <si>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</si>
  <si>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</si>
  <si>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</si>
  <si>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</si>
  <si>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</si>
  <si>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</si>
  <si>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</si>
  <si>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</si>
  <si>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</si>
  <si>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</si>
  <si>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</si>
  <si>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</si>
  <si>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</si>
  <si>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</si>
  <si>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</si>
  <si>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</si>
  <si>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</si>
  <si>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</si>
  <si>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</si>
  <si>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</si>
  <si>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</si>
  <si>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</si>
  <si>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</si>
  <si>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</si>
  <si>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</si>
  <si>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</si>
  <si>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</si>
  <si>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</si>
  <si>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</si>
  <si>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</si>
  <si>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</si>
  <si>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</si>
  <si>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</si>
  <si>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</si>
  <si>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</si>
  <si>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</si>
  <si>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</si>
  <si>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</si>
  <si>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</si>
  <si>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</si>
  <si>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</si>
  <si>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</si>
  <si>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</si>
  <si>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</si>
  <si>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</si>
  <si>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</si>
  <si>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</si>
  <si>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</si>
  <si>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</si>
  <si>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</si>
  <si>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</si>
  <si>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</si>
  <si>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</si>
  <si>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</si>
  <si>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</si>
  <si>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</si>
  <si>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</si>
  <si>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</si>
  <si>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</si>
  <si>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</si>
  <si>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</si>
  <si>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</si>
  <si>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</si>
  <si>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</si>
  <si>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</si>
  <si>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</si>
  <si>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</si>
  <si>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</si>
  <si>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</si>
  <si>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</si>
  <si>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</si>
  <si>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</si>
  <si>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</si>
  <si>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</si>
  <si>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</si>
  <si>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</si>
  <si>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</si>
  <si>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</si>
  <si>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</si>
  <si>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</si>
  <si>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</si>
  <si>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</si>
  <si>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</si>
  <si>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</si>
  <si>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</si>
  <si>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</si>
  <si>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</si>
  <si>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</si>
  <si>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</si>
  <si>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</si>
  <si>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</si>
  <si>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</si>
  <si>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</si>
  <si>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</si>
  <si>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</si>
  <si>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</si>
  <si>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</si>
  <si>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</si>
  <si>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</si>
  <si>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</si>
  <si>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</si>
  <si>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</si>
  <si>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</si>
  <si>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</si>
  <si>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</si>
  <si>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</si>
  <si>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</si>
  <si>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</si>
  <si>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</si>
  <si>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</si>
  <si>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</si>
  <si>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</si>
  <si>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</si>
  <si>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</si>
  <si>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</si>
  <si>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</si>
  <si>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</si>
  <si>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</si>
  <si>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</si>
  <si>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</si>
  <si>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</si>
  <si>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</si>
  <si>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</si>
  <si>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</si>
  <si>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</si>
  <si>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</si>
  <si>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</si>
  <si>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</si>
  <si>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</si>
  <si>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</si>
  <si>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</si>
  <si>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</si>
  <si>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</si>
  <si>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</si>
  <si>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</si>
  <si>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</si>
  <si>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</si>
  <si>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</si>
  <si>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</si>
  <si>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</si>
  <si>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</si>
  <si>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</si>
  <si>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</si>
  <si>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</si>
  <si>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</si>
  <si>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</si>
  <si>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</si>
  <si>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</si>
  <si>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</si>
  <si>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</si>
  <si>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</si>
  <si>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</si>
  <si>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</si>
  <si>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</si>
  <si>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</si>
  <si>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</si>
  <si>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</si>
  <si>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</si>
  <si>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</si>
  <si>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</si>
  <si>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</si>
  <si>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</si>
  <si>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</si>
  <si>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</si>
  <si>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</si>
  <si>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</si>
  <si>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</si>
  <si>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</si>
  <si>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</si>
  <si>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</si>
  <si>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</si>
  <si>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</si>
  <si>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</si>
  <si>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</si>
  <si>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</si>
  <si>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</si>
  <si>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</si>
  <si>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</si>
  <si>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</si>
  <si>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</si>
  <si>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</si>
  <si>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</si>
  <si>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</si>
  <si>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</si>
  <si>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</si>
  <si>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</si>
  <si>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</si>
  <si>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</si>
  <si>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</si>
  <si>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</si>
  <si>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</si>
  <si>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</si>
  <si>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</si>
  <si>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</si>
  <si>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</si>
  <si>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</si>
  <si>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</si>
  <si>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</si>
  <si>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</si>
  <si>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</si>
  <si>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</si>
  <si>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</si>
  <si>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</si>
  <si>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</si>
  <si>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</si>
  <si>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</si>
  <si>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</si>
  <si>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</si>
  <si>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</si>
  <si>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</si>
  <si>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</si>
  <si>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</si>
  <si>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</si>
  <si>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</si>
  <si>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</si>
  <si>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</si>
  <si>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</si>
  <si>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</si>
  <si>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</si>
  <si>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</si>
  <si>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</si>
  <si>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</si>
  <si>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</si>
  <si>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</si>
  <si>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</si>
  <si>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</si>
  <si>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</si>
  <si>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</si>
  <si>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</si>
  <si>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</si>
  <si>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</si>
  <si>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</si>
  <si>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</si>
  <si>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</si>
  <si>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</si>
  <si>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</si>
  <si>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</si>
  <si>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</si>
  <si>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</si>
  <si>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</si>
  <si>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</si>
  <si>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</si>
  <si>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</si>
  <si>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</si>
  <si>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</si>
  <si>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</si>
  <si>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</si>
  <si>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</si>
  <si>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</si>
  <si>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</si>
  <si>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</si>
  <si>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</si>
  <si>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</si>
  <si>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</si>
  <si>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</si>
  <si>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</si>
  <si>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</si>
  <si>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</si>
  <si>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</si>
  <si>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</si>
  <si>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</si>
  <si>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</si>
  <si>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</si>
  <si>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</si>
  <si>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</si>
  <si>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</si>
  <si>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</si>
  <si>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</si>
  <si>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</si>
  <si>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</si>
  <si>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</si>
  <si>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</si>
  <si>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</si>
  <si>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</si>
  <si>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</si>
  <si>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</si>
  <si>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</si>
  <si>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</si>
  <si>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</si>
  <si>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</si>
  <si>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</si>
  <si>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</si>
  <si>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</si>
  <si>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</si>
  <si>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</si>
  <si>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</si>
  <si>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</si>
  <si>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</si>
  <si>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</si>
  <si>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</si>
  <si>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</si>
  <si>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</si>
  <si>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</si>
  <si>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</si>
  <si>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</si>
  <si>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</si>
  <si>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</si>
  <si>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</si>
  <si>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</si>
  <si>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</si>
  <si>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</si>
  <si>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</si>
  <si>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</si>
  <si>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</si>
  <si>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</si>
  <si>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</si>
  <si>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</si>
  <si>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</si>
  <si>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</si>
  <si>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</si>
  <si>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</si>
  <si>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</si>
  <si>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</si>
  <si>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</si>
  <si>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</si>
  <si>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</si>
  <si>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</si>
  <si>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</si>
  <si>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</si>
  <si>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</si>
  <si>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</si>
  <si>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</si>
  <si>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</si>
  <si>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</si>
  <si>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</si>
  <si>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</si>
  <si>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</si>
  <si>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</si>
  <si>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</si>
  <si>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</si>
  <si>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</si>
  <si>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</si>
  <si>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</si>
  <si>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</si>
  <si>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</si>
  <si>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</si>
  <si>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</si>
  <si>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</si>
  <si>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</si>
  <si>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</si>
  <si>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</si>
  <si>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</si>
  <si>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</si>
  <si>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</si>
  <si>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</si>
  <si>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</si>
  <si>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</si>
  <si>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</si>
  <si>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</si>
  <si>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</si>
  <si>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</si>
  <si>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</si>
  <si>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</si>
  <si>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</si>
  <si>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</si>
  <si>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</si>
  <si>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</si>
  <si>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</si>
  <si>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</si>
  <si>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</si>
  <si>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</si>
  <si>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</si>
  <si>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</si>
  <si>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</si>
  <si>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</si>
  <si>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</si>
  <si>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</si>
  <si>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</si>
  <si>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</si>
  <si>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</si>
  <si>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</si>
  <si>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</si>
  <si>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</si>
  <si>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</si>
  <si>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</si>
  <si>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</si>
  <si>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</si>
  <si>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</si>
  <si>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</si>
  <si>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</si>
  <si>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</si>
  <si>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</si>
  <si>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</si>
  <si>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</si>
  <si>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</si>
  <si>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</si>
  <si>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</si>
  <si>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</si>
  <si>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</si>
  <si>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</si>
  <si>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</si>
  <si>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</si>
  <si>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</si>
  <si>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</si>
  <si>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</si>
  <si>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</si>
  <si>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</si>
  <si>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</si>
  <si>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</si>
  <si>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</si>
  <si>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</si>
  <si>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</si>
  <si>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</si>
  <si>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</si>
  <si>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</si>
  <si>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</si>
  <si>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</si>
  <si>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</si>
  <si>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</si>
  <si>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</si>
  <si>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</si>
  <si>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</si>
  <si>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</si>
  <si>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</si>
  <si>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</si>
  <si>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</si>
  <si>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</si>
  <si>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</si>
  <si>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</si>
  <si>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</si>
  <si>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</si>
  <si>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</si>
  <si>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</si>
  <si>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</si>
  <si>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</si>
  <si>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</si>
  <si>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</si>
  <si>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</si>
  <si>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</si>
  <si>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</si>
  <si>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</si>
  <si>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</si>
  <si>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</si>
  <si>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</si>
  <si>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</si>
  <si>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</si>
  <si>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</si>
  <si>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</si>
  <si>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</si>
  <si>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</si>
  <si>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</si>
  <si>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</si>
  <si>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</si>
  <si>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</si>
  <si>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</si>
  <si>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</si>
  <si>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</si>
  <si>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</si>
  <si>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</si>
  <si>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</si>
  <si>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</si>
  <si>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</si>
  <si>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</si>
  <si>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</si>
  <si>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</si>
  <si>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</si>
  <si>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</si>
  <si>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</si>
  <si>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</si>
  <si>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</si>
  <si>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</si>
  <si>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</si>
  <si>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</si>
  <si>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</si>
  <si>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</si>
  <si>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</si>
  <si>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</si>
  <si>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</si>
  <si>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</si>
  <si>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</si>
  <si>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</si>
  <si>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</si>
  <si>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</si>
  <si>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</si>
  <si>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</si>
  <si>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</si>
  <si>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</si>
  <si>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</si>
  <si>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</si>
  <si>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</si>
  <si>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</si>
  <si>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</si>
  <si>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</si>
  <si>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</si>
  <si>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</si>
  <si>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</si>
  <si>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</si>
  <si>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</si>
  <si>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</si>
  <si>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</si>
  <si>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</si>
  <si>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</si>
  <si>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</si>
  <si>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</si>
  <si>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</si>
  <si>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</si>
  <si>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</si>
  <si>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</si>
  <si>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</si>
  <si>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</si>
  <si>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</si>
  <si>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</si>
  <si>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</si>
  <si>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</si>
  <si>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</si>
  <si>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</si>
  <si>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</si>
  <si>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</si>
  <si>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</si>
  <si>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</si>
  <si>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</si>
  <si>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</si>
  <si>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</si>
  <si>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</si>
  <si>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</si>
  <si>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</si>
  <si>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</si>
  <si>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</si>
  <si>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</si>
  <si>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</si>
  <si>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</si>
  <si>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</si>
  <si>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</si>
  <si>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</si>
  <si>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</si>
  <si>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</si>
  <si>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</si>
  <si>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</si>
  <si>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</si>
  <si>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</si>
  <si>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</si>
  <si>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</si>
  <si>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</si>
  <si>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</si>
  <si>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</si>
  <si>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</si>
  <si>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</si>
  <si>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</si>
  <si>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</si>
  <si>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</si>
  <si>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</si>
  <si>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</si>
  <si>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</si>
  <si>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</si>
  <si>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</si>
  <si>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</si>
  <si>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</si>
  <si>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</si>
  <si>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</si>
  <si>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</si>
  <si>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</si>
  <si>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</si>
  <si>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</si>
  <si>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</si>
  <si>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</si>
  <si>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</si>
  <si>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</si>
  <si>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</si>
  <si>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</si>
  <si>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</si>
  <si>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</si>
  <si>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</si>
  <si>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</si>
  <si>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</si>
  <si>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</si>
  <si>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</si>
  <si>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</si>
  <si>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</si>
  <si>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</si>
  <si>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</si>
  <si>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</si>
  <si>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</si>
  <si>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</si>
  <si>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</si>
  <si>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</si>
  <si>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</si>
  <si>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</si>
  <si>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</si>
  <si>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</si>
  <si>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</si>
  <si>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</si>
  <si>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</si>
  <si>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</si>
  <si>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</si>
  <si>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</si>
  <si>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</si>
  <si>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</si>
  <si>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</si>
  <si>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</si>
  <si>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</si>
  <si>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</si>
  <si>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</si>
  <si>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</si>
  <si>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</si>
  <si>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</si>
  <si>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</si>
  <si>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</si>
  <si>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</si>
  <si>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</si>
  <si>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</si>
  <si>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</si>
  <si>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</si>
  <si>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</si>
  <si>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</si>
  <si>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</si>
  <si>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</si>
  <si>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</si>
  <si>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</si>
  <si>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</si>
  <si>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</si>
  <si>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</si>
  <si>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</si>
  <si>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</si>
  <si>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</si>
  <si>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</si>
  <si>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</si>
  <si>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</si>
  <si>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</si>
  <si>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</si>
  <si>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</si>
  <si>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</si>
  <si>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</si>
  <si>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</si>
  <si>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</si>
  <si>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</si>
  <si>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</si>
  <si>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</si>
  <si>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</si>
  <si>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</si>
  <si>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</si>
  <si>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</si>
  <si>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</si>
  <si>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</si>
  <si>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</si>
  <si>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</si>
  <si>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</si>
  <si>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</si>
  <si>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</si>
  <si>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</si>
  <si>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</si>
  <si>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</si>
  <si>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</si>
  <si>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</si>
  <si>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</si>
  <si>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</si>
  <si>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</si>
  <si>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</si>
  <si>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</si>
  <si>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</si>
  <si>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</si>
  <si>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</si>
  <si>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</si>
  <si>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</si>
  <si>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</si>
  <si>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</si>
  <si>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</si>
  <si>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</si>
  <si>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</si>
  <si>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</si>
  <si>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</si>
  <si>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</si>
  <si>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</si>
  <si>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</si>
  <si>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</si>
  <si>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</si>
  <si>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</si>
  <si>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</si>
  <si>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</si>
  <si>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</si>
  <si>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</si>
  <si>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</si>
  <si>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</si>
  <si>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</si>
  <si>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</si>
  <si>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</si>
  <si>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</si>
  <si>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</si>
  <si>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</si>
  <si>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</si>
  <si>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</si>
  <si>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</si>
  <si>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</si>
  <si>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</si>
  <si>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</si>
  <si>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</si>
  <si>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</si>
  <si>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</si>
  <si>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</si>
  <si>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</si>
  <si>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</si>
  <si>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</si>
  <si>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</si>
  <si>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</si>
  <si>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</si>
  <si>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</si>
  <si>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</si>
  <si>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</si>
  <si>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</si>
  <si>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</si>
  <si>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</si>
  <si>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</si>
  <si>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</si>
  <si>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</si>
  <si>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</si>
  <si>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</si>
  <si>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</si>
  <si>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</si>
  <si>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</si>
  <si>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</si>
  <si>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</si>
  <si>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</si>
  <si>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</si>
  <si>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</si>
  <si>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</si>
  <si>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</si>
  <si>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</si>
  <si>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</si>
  <si>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</si>
  <si>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</si>
  <si>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</si>
  <si>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</si>
  <si>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</si>
  <si>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</si>
  <si>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</si>
  <si>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</si>
  <si>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</si>
  <si>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</si>
  <si>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</si>
  <si>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</si>
  <si>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</si>
  <si>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</si>
  <si>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</si>
  <si>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</si>
  <si>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</si>
  <si>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</si>
  <si>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</si>
  <si>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</si>
  <si>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</si>
  <si>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</si>
  <si>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</si>
  <si>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</si>
  <si>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</si>
  <si>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</si>
  <si>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</si>
  <si>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</si>
  <si>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</si>
  <si>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</si>
  <si>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</si>
  <si>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</si>
  <si>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</si>
  <si>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</si>
  <si>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</si>
  <si>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</si>
  <si>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</si>
  <si>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</si>
  <si>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</si>
  <si>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</si>
  <si>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</si>
  <si>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</si>
  <si>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</si>
  <si>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</si>
  <si>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</si>
  <si>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</si>
  <si>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</si>
  <si>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</si>
  <si>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</si>
  <si>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</si>
  <si>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</si>
  <si>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</si>
  <si>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</si>
  <si>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</si>
  <si>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</si>
  <si>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</si>
  <si>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</si>
  <si>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</si>
  <si>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</si>
  <si>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</si>
  <si>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</si>
  <si>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</si>
  <si>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</si>
  <si>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</si>
  <si>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</si>
  <si>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</si>
  <si>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</si>
  <si>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</si>
  <si>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</si>
  <si>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</si>
  <si>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</si>
  <si>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</si>
  <si>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</si>
  <si>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</si>
  <si>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</si>
  <si>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</si>
  <si>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</si>
  <si>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</si>
  <si>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</si>
  <si>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</si>
  <si>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</si>
  <si>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</si>
  <si>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</si>
  <si>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</si>
  <si>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</si>
  <si>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</si>
  <si>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</si>
  <si>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</si>
  <si>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</si>
  <si>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</si>
  <si>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</si>
  <si>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</si>
  <si>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</si>
  <si>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</si>
  <si>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</si>
  <si>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</si>
  <si>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</si>
  <si>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</si>
  <si>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</si>
  <si>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</si>
  <si>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</si>
  <si>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</si>
  <si>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</si>
  <si>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</si>
  <si>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</si>
  <si>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</si>
  <si>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</si>
  <si>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</si>
  <si>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</si>
  <si>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</si>
  <si>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</si>
  <si>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</si>
  <si>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</si>
  <si>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</si>
  <si>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</si>
  <si>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</si>
  <si>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</si>
  <si>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</si>
  <si>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</si>
  <si>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</si>
  <si>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</si>
  <si>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</si>
  <si>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</si>
  <si>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</si>
  <si>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</si>
  <si>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</si>
  <si>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</si>
  <si>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</si>
  <si>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</si>
  <si>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</si>
  <si>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</si>
  <si>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</si>
  <si>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</si>
  <si>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</si>
  <si>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</si>
  <si>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</si>
  <si>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</si>
  <si>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</si>
  <si>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</si>
  <si>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</si>
  <si>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</si>
  <si>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</si>
  <si>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</si>
  <si>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</si>
  <si>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</si>
  <si>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</si>
  <si>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</si>
  <si>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</si>
  <si>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</si>
  <si>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</si>
  <si>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</si>
  <si>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</si>
  <si>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</si>
  <si>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</si>
  <si>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</si>
  <si>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</si>
  <si>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</si>
  <si>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</si>
  <si>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</si>
  <si>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</si>
  <si>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</si>
  <si>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</si>
  <si>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</si>
  <si>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</si>
  <si>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</si>
  <si>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</si>
  <si>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</si>
  <si>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</si>
  <si>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</si>
  <si>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</si>
  <si>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</si>
  <si>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</si>
  <si>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</si>
  <si>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</si>
  <si>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</si>
  <si>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</si>
  <si>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</si>
  <si>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</si>
  <si>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</si>
  <si>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</si>
  <si>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</si>
  <si>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</si>
  <si>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</si>
  <si>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</si>
  <si>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</si>
  <si>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</si>
  <si>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</si>
  <si>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</si>
  <si>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</si>
  <si>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</si>
  <si>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</si>
  <si>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</si>
  <si>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</si>
  <si>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</si>
  <si>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</si>
  <si>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</si>
  <si>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</si>
  <si>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</si>
  <si>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</si>
  <si>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</si>
  <si>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</si>
  <si>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</si>
  <si>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</si>
  <si>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</si>
  <si>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</si>
  <si>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</si>
  <si>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</si>
  <si>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</si>
  <si>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</si>
  <si>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</si>
  <si>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</si>
  <si>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</si>
  <si>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</si>
  <si>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</si>
  <si>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</si>
  <si>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</si>
  <si>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</si>
  <si>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</si>
  <si>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</si>
  <si>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</si>
  <si>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</si>
  <si>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</si>
  <si>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</si>
  <si>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</si>
  <si>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</si>
  <si>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</si>
  <si>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</si>
  <si>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</si>
  <si>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</si>
  <si>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</si>
  <si>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</si>
  <si>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</si>
  <si>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</si>
  <si>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</si>
  <si>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</si>
  <si>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</si>
  <si>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</si>
  <si>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</si>
  <si>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</si>
  <si>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</si>
  <si>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</si>
  <si>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</si>
  <si>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</si>
  <si>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</si>
  <si>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</si>
  <si>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</si>
  <si>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</si>
  <si>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</si>
  <si>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</si>
  <si>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</si>
  <si>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</si>
  <si>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</si>
  <si>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</si>
  <si>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</si>
  <si>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</si>
  <si>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</si>
  <si>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</si>
  <si>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</si>
  <si>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</si>
  <si>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</si>
  <si>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</si>
  <si>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</si>
  <si>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</si>
  <si>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</si>
  <si>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</si>
  <si>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</si>
  <si>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</si>
  <si>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</si>
  <si>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</si>
  <si>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</si>
  <si>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</si>
  <si>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</si>
  <si>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</si>
  <si>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</si>
  <si>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</si>
  <si>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</si>
  <si>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</si>
  <si>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</si>
  <si>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</si>
  <si>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</si>
  <si>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</si>
  <si>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</si>
  <si>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</si>
  <si>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</si>
  <si>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</si>
  <si>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</si>
  <si>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</si>
  <si>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</si>
  <si>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</si>
  <si>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</si>
  <si>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</si>
  <si>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</si>
  <si>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</si>
  <si>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</si>
  <si>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</si>
  <si>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</si>
  <si>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</si>
  <si>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</si>
  <si>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</si>
  <si>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</si>
  <si>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</si>
  <si>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</si>
  <si>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</si>
  <si>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</si>
  <si>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</si>
  <si>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</si>
  <si>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</si>
  <si>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</si>
  <si>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</si>
  <si>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</si>
  <si>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</si>
  <si>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</si>
  <si>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</si>
  <si>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</si>
  <si>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</si>
  <si>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</si>
  <si>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</si>
  <si>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</si>
  <si>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</si>
  <si>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</si>
  <si>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</si>
  <si>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</si>
  <si>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</si>
  <si>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</si>
  <si>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</si>
  <si>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</si>
  <si>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</si>
  <si>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</si>
  <si>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</si>
  <si>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</si>
  <si>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</si>
  <si>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</si>
  <si>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</si>
  <si>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</si>
  <si>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</si>
  <si>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</si>
  <si>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</si>
  <si>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</si>
  <si>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</si>
  <si>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</si>
  <si>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</si>
  <si>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</si>
  <si>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</si>
  <si>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</si>
  <si>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</si>
  <si>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</si>
  <si>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</si>
  <si>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</si>
  <si>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</si>
  <si>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</si>
  <si>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</si>
  <si>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</si>
  <si>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</si>
  <si>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</si>
  <si>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</si>
  <si>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</si>
  <si>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</si>
  <si>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</si>
  <si>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</si>
  <si>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</si>
  <si>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</si>
  <si>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</si>
  <si>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</si>
  <si>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</si>
  <si>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</si>
  <si>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</si>
  <si>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</si>
  <si>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</si>
  <si>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</si>
  <si>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</si>
  <si>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</si>
  <si>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</si>
  <si>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</si>
  <si>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</si>
  <si>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</si>
  <si>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</si>
  <si>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</si>
  <si>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</si>
  <si>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</si>
  <si>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</si>
  <si>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</si>
  <si>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</si>
  <si>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</si>
  <si>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</si>
  <si>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</si>
  <si>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</si>
  <si>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</si>
  <si>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</si>
  <si>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</si>
  <si>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</si>
  <si>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</si>
  <si>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</si>
  <si>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</si>
  <si>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</si>
  <si>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</si>
  <si>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</si>
  <si>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</si>
  <si>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</si>
  <si>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</si>
  <si>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</si>
  <si>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</si>
  <si>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</si>
  <si>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</si>
  <si>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</si>
  <si>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</si>
  <si>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</si>
  <si>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</si>
  <si>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</si>
  <si>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</si>
  <si>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</si>
  <si>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</si>
  <si>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</si>
  <si>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</si>
  <si>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</si>
  <si>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</si>
  <si>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</si>
  <si>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</si>
  <si>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</si>
  <si>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</si>
  <si>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</si>
  <si>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</si>
  <si>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</si>
  <si>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</si>
  <si>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</si>
  <si>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</si>
  <si>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</si>
  <si>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</si>
  <si>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</si>
  <si>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</si>
  <si>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</si>
  <si>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</si>
  <si>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</si>
  <si>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</si>
  <si>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</si>
  <si>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</si>
  <si>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</si>
  <si>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</si>
  <si>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</si>
  <si>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</si>
  <si>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</si>
  <si>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</si>
  <si>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</si>
  <si>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</si>
  <si>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</si>
  <si>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</si>
  <si>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</si>
  <si>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</si>
  <si>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</si>
  <si>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</si>
  <si>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</si>
  <si>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</si>
  <si>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</si>
  <si>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</si>
  <si>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</si>
  <si>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</si>
  <si>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</si>
  <si>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</si>
  <si>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</si>
  <si>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</si>
  <si>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</si>
  <si>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</si>
  <si>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</si>
  <si>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</si>
  <si>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</si>
  <si>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</si>
  <si>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</si>
  <si>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</si>
  <si>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</si>
  <si>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</si>
  <si>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</si>
  <si>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</si>
  <si>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</si>
  <si>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</si>
  <si>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</si>
  <si>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</si>
  <si>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</si>
  <si>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</si>
  <si>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</si>
  <si>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</si>
  <si>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</si>
  <si>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</si>
  <si>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</si>
  <si>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</si>
  <si>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</si>
  <si>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</si>
  <si>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</si>
  <si>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</si>
  <si>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</si>
  <si>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</si>
  <si>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</si>
  <si>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</si>
  <si>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</si>
  <si>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</si>
  <si>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</si>
  <si>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</si>
  <si>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</si>
  <si>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</si>
  <si>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</si>
  <si>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</si>
  <si>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</si>
  <si>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</si>
  <si>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</si>
  <si>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</si>
  <si>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</si>
  <si>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</si>
  <si>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</si>
  <si>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</si>
  <si>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</si>
  <si>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</si>
  <si>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</si>
  <si>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</si>
  <si>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</si>
  <si>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</si>
  <si>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</si>
  <si>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</si>
  <si>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</si>
  <si>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</si>
  <si>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</si>
  <si>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</si>
  <si>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</si>
  <si>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</si>
  <si>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</si>
  <si>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</si>
  <si>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</si>
  <si>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</si>
  <si>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</si>
  <si>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</si>
  <si>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</si>
  <si>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</si>
  <si>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</si>
  <si>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</si>
  <si>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</si>
  <si>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</si>
  <si>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</si>
  <si>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</si>
  <si>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</si>
  <si>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</si>
  <si>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</si>
  <si>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</si>
  <si>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</si>
  <si>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</si>
  <si>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</si>
  <si>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</si>
  <si>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</si>
  <si>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</si>
  <si>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</si>
  <si>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</si>
  <si>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</si>
  <si>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</si>
  <si>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</si>
  <si>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</si>
  <si>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</si>
  <si>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</si>
  <si>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</si>
  <si>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</si>
  <si>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</si>
  <si>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</si>
  <si>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</si>
  <si>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</si>
  <si>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</si>
  <si>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</si>
  <si>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</si>
  <si>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</si>
  <si>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</si>
  <si>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</si>
  <si>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</si>
  <si>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</si>
  <si>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</si>
  <si>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</si>
  <si>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</si>
  <si>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</si>
  <si>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</si>
  <si>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</si>
  <si>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</si>
  <si>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</si>
  <si>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</si>
  <si>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</si>
  <si>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</si>
  <si>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</si>
  <si>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</si>
  <si>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</si>
  <si>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</si>
  <si>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</si>
  <si>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</si>
  <si>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</si>
  <si>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</si>
  <si>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</si>
  <si>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</si>
  <si>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</si>
  <si>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</si>
  <si>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</si>
  <si>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</si>
  <si>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</si>
  <si>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</si>
  <si>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</si>
  <si>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</si>
  <si>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</si>
  <si>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</si>
  <si>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</si>
  <si>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</si>
  <si>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</si>
  <si>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</si>
  <si>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</si>
  <si>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</si>
  <si>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</si>
  <si>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</si>
  <si>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</si>
  <si>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</si>
  <si>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</si>
  <si>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</si>
  <si>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</si>
  <si>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</si>
  <si>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</si>
  <si>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</si>
  <si>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</si>
  <si>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</si>
  <si>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</si>
  <si>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</si>
  <si>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</si>
  <si>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</si>
  <si>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</si>
  <si>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</si>
  <si>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</si>
  <si>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</si>
  <si>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</si>
  <si>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</si>
  <si>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</si>
  <si>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</si>
  <si>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</si>
  <si>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</si>
  <si>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</si>
  <si>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</si>
  <si>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</si>
  <si>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</si>
  <si>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</si>
  <si>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</si>
  <si>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</si>
  <si>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</si>
  <si>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</si>
  <si>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</si>
  <si>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</si>
  <si>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</si>
  <si>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</si>
  <si>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</si>
  <si>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</si>
  <si>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</si>
  <si>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</si>
  <si>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</si>
  <si>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</si>
  <si>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</si>
  <si>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</si>
  <si>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</si>
  <si>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</si>
  <si>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</si>
  <si>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</si>
  <si>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</si>
  <si>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</si>
  <si>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</si>
  <si>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</si>
  <si>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</si>
  <si>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</si>
  <si>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</si>
  <si>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</si>
  <si>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</si>
  <si>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</si>
  <si>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</si>
  <si>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</si>
  <si>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</si>
  <si>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</si>
  <si>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</si>
  <si>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</si>
  <si>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</si>
  <si>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</si>
  <si>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</si>
  <si>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</si>
  <si>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</si>
  <si>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</si>
  <si>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</si>
  <si>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</si>
  <si>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</si>
  <si>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</si>
  <si>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</si>
  <si>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</si>
  <si>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</si>
  <si>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</si>
  <si>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</si>
  <si>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</si>
  <si>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</si>
  <si>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</si>
  <si>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</si>
  <si>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</si>
  <si>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</si>
  <si>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</si>
  <si>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</si>
  <si>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</si>
  <si>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</si>
  <si>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</si>
  <si>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</si>
  <si>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</si>
  <si>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</si>
  <si>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</si>
  <si>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</si>
  <si>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</si>
  <si>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</si>
  <si>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</si>
  <si>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</si>
  <si>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</si>
  <si>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</si>
  <si>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</si>
  <si>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</si>
  <si>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</si>
  <si>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</si>
  <si>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</si>
  <si>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</si>
  <si>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</si>
  <si>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</si>
  <si>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</si>
  <si>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</si>
  <si>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</si>
  <si>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</si>
  <si>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</si>
  <si>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</si>
  <si>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</si>
  <si>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</si>
  <si>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</si>
  <si>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</si>
  <si>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</si>
  <si>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</si>
  <si>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</si>
  <si>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</si>
  <si>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</si>
  <si>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</si>
  <si>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</si>
  <si>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</si>
  <si>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</si>
  <si>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</si>
  <si>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</si>
  <si>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</si>
  <si>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</si>
  <si>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</si>
  <si>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</si>
  <si>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</si>
  <si>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</si>
  <si>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</si>
  <si>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</si>
  <si>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</si>
  <si>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</si>
  <si>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</si>
  <si>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</si>
  <si>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</si>
  <si>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</si>
  <si>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</si>
  <si>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</si>
  <si>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</si>
  <si>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</si>
  <si>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</si>
  <si>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</si>
  <si>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</si>
  <si>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</si>
  <si>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</si>
  <si>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</si>
  <si>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</si>
  <si>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</si>
  <si>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</si>
  <si>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</si>
  <si>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</si>
  <si>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</si>
  <si>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</si>
  <si>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</si>
  <si>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</si>
  <si>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</si>
  <si>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</si>
  <si>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</si>
  <si>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</si>
  <si>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</si>
  <si>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</si>
  <si>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</si>
  <si>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</si>
  <si>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</si>
  <si>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</si>
  <si>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</si>
  <si>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</si>
  <si>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</si>
  <si>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</si>
  <si>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</si>
  <si>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</si>
  <si>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</si>
  <si>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</si>
  <si>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</si>
  <si>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</si>
  <si>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</si>
  <si>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</si>
  <si>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</si>
  <si>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</si>
  <si>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</si>
  <si>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</si>
  <si>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</si>
  <si>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</si>
  <si>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</si>
  <si>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</si>
  <si>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</si>
  <si>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</si>
  <si>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</si>
  <si>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</si>
  <si>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</si>
  <si>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</si>
  <si>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</si>
  <si>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</si>
  <si>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</si>
  <si>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</si>
  <si>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</si>
  <si>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</si>
  <si>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</si>
  <si>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</si>
  <si>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</si>
  <si>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</si>
  <si>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</si>
  <si>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</si>
  <si>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</si>
  <si>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</si>
  <si>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</si>
  <si>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</si>
  <si>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</si>
  <si>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</si>
  <si>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</si>
  <si>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</si>
  <si>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</si>
  <si>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</si>
  <si>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</si>
  <si>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</si>
  <si>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</si>
  <si>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</si>
  <si>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</si>
  <si>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</si>
  <si>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</si>
  <si>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</si>
  <si>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</si>
  <si>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</si>
  <si>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</si>
  <si>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</si>
  <si>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</si>
  <si>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</si>
  <si>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</si>
  <si>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</si>
  <si>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</si>
  <si>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</si>
  <si>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</si>
  <si>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</si>
  <si>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</si>
  <si>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</si>
  <si>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</si>
  <si>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</si>
  <si>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</si>
  <si>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</si>
  <si>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</si>
  <si>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</si>
  <si>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</si>
  <si>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</si>
  <si>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</si>
  <si>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</si>
  <si>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</si>
  <si>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</si>
  <si>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</si>
  <si>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</si>
  <si>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</si>
  <si>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</si>
  <si>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</si>
  <si>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</si>
  <si>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</si>
  <si>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</si>
  <si>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</si>
  <si>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</si>
  <si>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</si>
  <si>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</si>
  <si>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</si>
  <si>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</si>
  <si>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</si>
  <si>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</si>
  <si>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</si>
  <si>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</si>
  <si>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</si>
  <si>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</si>
  <si>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</si>
  <si>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</si>
  <si>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</si>
  <si>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</si>
  <si>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</si>
  <si>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</si>
  <si>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</si>
  <si>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</si>
  <si>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</si>
  <si>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</si>
  <si>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</si>
  <si>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</si>
  <si>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</si>
  <si>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</si>
  <si>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</si>
  <si>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</si>
  <si>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</si>
  <si>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</si>
  <si>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</si>
  <si>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</si>
  <si>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</si>
  <si>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</si>
  <si>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</si>
  <si>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</si>
  <si>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</si>
  <si>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</si>
  <si>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</si>
  <si>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</si>
  <si>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</si>
  <si>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</si>
  <si>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</si>
  <si>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</si>
  <si>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</si>
  <si>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</si>
  <si>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</si>
  <si>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</si>
  <si>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</si>
  <si>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</si>
  <si>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</si>
  <si>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</si>
  <si>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</si>
  <si>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</si>
  <si>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</si>
  <si>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</si>
  <si>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</si>
  <si>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</si>
  <si>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</si>
  <si>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</si>
  <si>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</si>
  <si>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</si>
  <si>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</si>
  <si>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</si>
  <si>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</si>
  <si>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</si>
  <si>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</si>
  <si>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</si>
  <si>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</si>
  <si>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</si>
  <si>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</si>
  <si>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</si>
  <si>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</si>
  <si>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</si>
  <si>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</si>
  <si>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</si>
  <si>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</si>
  <si>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</si>
  <si>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</si>
  <si>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</si>
  <si>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</si>
  <si>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</si>
  <si>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</si>
  <si>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</si>
  <si>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</si>
  <si>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</si>
  <si>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</si>
  <si>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</si>
  <si>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</si>
  <si>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</si>
  <si>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</si>
  <si>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</si>
  <si>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</si>
  <si>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</si>
  <si>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</si>
  <si>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</si>
  <si>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</si>
  <si>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</si>
  <si>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</si>
  <si>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</si>
  <si>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</si>
  <si>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</si>
  <si>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</si>
  <si>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</si>
  <si>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</si>
  <si>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</si>
  <si>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</si>
  <si>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</si>
  <si>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</si>
  <si>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</si>
  <si>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</si>
  <si>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</si>
  <si>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</si>
  <si>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</si>
  <si>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</si>
  <si>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</si>
  <si>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</si>
  <si>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</si>
  <si>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</si>
  <si>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</si>
  <si>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</si>
  <si>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</si>
  <si>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</si>
  <si>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</si>
  <si>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</si>
  <si>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</si>
  <si>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</si>
  <si>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</si>
  <si>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</si>
  <si>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</si>
  <si>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</si>
  <si>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</si>
  <si>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</si>
  <si>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</si>
  <si>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</si>
  <si>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</si>
  <si>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</si>
  <si>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</si>
  <si>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</si>
  <si>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</si>
  <si>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</si>
  <si>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</si>
  <si>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</si>
  <si>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</si>
  <si>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</si>
  <si>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</si>
  <si>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</si>
  <si>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</si>
  <si>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</si>
  <si>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</si>
  <si>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</si>
  <si>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</si>
  <si>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</si>
  <si>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</si>
  <si>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</si>
  <si>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</si>
  <si>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</si>
  <si>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</si>
  <si>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</si>
  <si>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</si>
  <si>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</si>
  <si>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</si>
  <si>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</si>
  <si>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</si>
  <si>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</si>
  <si>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</si>
  <si>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</si>
  <si>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</si>
  <si>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</si>
  <si>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</si>
  <si>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</si>
  <si>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</si>
  <si>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</si>
  <si>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</si>
  <si>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</si>
  <si>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</si>
  <si>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</si>
  <si>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</si>
  <si>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</si>
  <si>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</si>
  <si>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</si>
  <si>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</si>
  <si>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</si>
  <si>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</si>
  <si>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</si>
  <si>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</si>
  <si>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</si>
  <si>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</si>
  <si>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</si>
  <si>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</si>
  <si>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</si>
  <si>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</si>
  <si>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</si>
  <si>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</si>
  <si>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</si>
  <si>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</si>
  <si>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</si>
  <si>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</si>
  <si>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</si>
  <si>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</si>
  <si>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</si>
  <si>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</si>
  <si>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</si>
  <si>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</si>
  <si>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</si>
  <si>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</si>
  <si>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</si>
  <si>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</si>
  <si>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</si>
  <si>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</si>
  <si>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</si>
  <si>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</si>
  <si>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</si>
  <si>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</si>
  <si>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</si>
  <si>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</si>
  <si>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</si>
  <si>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</si>
  <si>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</si>
  <si>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</si>
  <si>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</si>
  <si>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</si>
  <si>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</si>
  <si>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</si>
  <si>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</si>
  <si>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</si>
  <si>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</si>
  <si>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</si>
  <si>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</si>
  <si>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</si>
  <si>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</si>
  <si>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</si>
  <si>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</si>
  <si>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</si>
  <si>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</si>
  <si>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</si>
  <si>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</si>
  <si>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</si>
  <si>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</si>
  <si>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</si>
  <si>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</si>
  <si>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</si>
  <si>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</si>
  <si>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</si>
  <si>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</si>
  <si>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</si>
  <si>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</si>
  <si>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</si>
  <si>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</si>
  <si>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</si>
  <si>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</si>
  <si>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</si>
  <si>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</si>
  <si>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</si>
  <si>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</si>
  <si>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</si>
  <si>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</si>
  <si>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</si>
  <si>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</si>
  <si>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</si>
  <si>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</si>
  <si>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</si>
  <si>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</si>
  <si>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</si>
  <si>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</si>
  <si>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</si>
  <si>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</si>
  <si>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</si>
  <si>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</si>
  <si>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</si>
  <si>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</si>
  <si>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</si>
  <si>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</si>
  <si>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</si>
  <si>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</si>
  <si>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</si>
  <si>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</si>
  <si>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</si>
  <si>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</si>
  <si>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</si>
  <si>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</si>
  <si>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</si>
  <si>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</si>
  <si>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</si>
  <si>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</si>
  <si>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</si>
  <si>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</si>
  <si>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</si>
  <si>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</si>
  <si>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</si>
  <si>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</si>
  <si>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</si>
  <si>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</si>
  <si>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</si>
  <si>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</si>
  <si>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</si>
  <si>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</si>
  <si>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</si>
  <si>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</si>
  <si>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</si>
  <si>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</si>
  <si>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</si>
  <si>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</si>
  <si>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</si>
  <si>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</si>
  <si>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</si>
  <si>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</si>
  <si>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</si>
  <si>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</si>
  <si>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</si>
  <si>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</si>
  <si>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</si>
  <si>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</si>
  <si>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</si>
  <si>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</si>
  <si>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</si>
  <si>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</si>
  <si>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</si>
  <si>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</si>
  <si>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</si>
  <si>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</si>
  <si>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</si>
  <si>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</si>
  <si>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</si>
  <si>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</si>
  <si>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</si>
  <si>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</si>
  <si>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</si>
  <si>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</si>
  <si>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</si>
  <si>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</si>
  <si>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</si>
  <si>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</si>
  <si>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</si>
  <si>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</si>
  <si>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</si>
  <si>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</si>
  <si>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</si>
  <si>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</si>
  <si>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</si>
  <si>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</si>
  <si>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</si>
  <si>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</si>
  <si>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</si>
  <si>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</si>
  <si>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</si>
  <si>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</si>
  <si>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</si>
  <si>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</si>
  <si>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</si>
  <si>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</si>
  <si>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</si>
  <si>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</si>
  <si>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</si>
  <si>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</si>
  <si>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</si>
  <si>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</si>
  <si>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</si>
  <si>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</si>
  <si>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</si>
  <si>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</si>
  <si>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</si>
  <si>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</si>
  <si>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</si>
  <si>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</si>
  <si>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</si>
  <si>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</si>
  <si>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</si>
  <si>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</si>
  <si>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</si>
  <si>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</si>
  <si>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</si>
  <si>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</si>
  <si>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</si>
  <si>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</si>
  <si>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</si>
  <si>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</si>
  <si>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</si>
  <si>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</si>
  <si>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</si>
  <si>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</si>
  <si>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</si>
  <si>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</si>
  <si>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</si>
  <si>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</si>
  <si>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</si>
  <si>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</si>
  <si>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</si>
  <si>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</si>
  <si>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</si>
  <si>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</si>
  <si>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</si>
  <si>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</si>
  <si>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</si>
  <si>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</si>
  <si>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</si>
  <si>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</si>
  <si>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</si>
  <si>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</si>
  <si>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</si>
  <si>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</si>
  <si>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</si>
  <si>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</si>
  <si>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</si>
  <si>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</si>
  <si>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</si>
  <si>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</si>
  <si>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</si>
  <si>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</si>
  <si>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</si>
  <si>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</si>
  <si>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</si>
  <si>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</si>
  <si>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</si>
  <si>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</si>
  <si>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</si>
  <si>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</si>
  <si>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</si>
  <si>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</si>
  <si>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</si>
  <si>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</si>
  <si>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</si>
  <si>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</si>
  <si>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</si>
  <si>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</si>
  <si>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</si>
  <si>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</si>
  <si>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</si>
  <si>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</si>
  <si>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</si>
  <si>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</si>
  <si>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</si>
  <si>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</si>
  <si>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</si>
  <si>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</si>
  <si>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</si>
  <si>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</si>
  <si>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</si>
  <si>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</si>
  <si>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</si>
  <si>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</si>
  <si>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</si>
  <si>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</si>
  <si>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</si>
  <si>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</si>
  <si>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</si>
  <si>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</si>
  <si>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</si>
  <si>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</si>
  <si>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</si>
  <si>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</si>
  <si>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</si>
  <si>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</si>
  <si>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</si>
  <si>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</si>
  <si>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</si>
  <si>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</si>
  <si>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</si>
  <si>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</si>
  <si>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</si>
  <si>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</si>
  <si>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</si>
  <si>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</si>
  <si>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</si>
  <si>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</si>
  <si>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</si>
  <si>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</si>
  <si>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</si>
  <si>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</si>
  <si>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</si>
  <si>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</si>
  <si>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</si>
  <si>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</si>
  <si>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</si>
  <si>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</si>
  <si>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</si>
  <si>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</si>
  <si>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</si>
  <si>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</si>
  <si>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</si>
  <si>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</si>
  <si>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</si>
  <si>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</si>
  <si>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</si>
  <si>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</si>
  <si>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</si>
  <si>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</si>
  <si>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</si>
  <si>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</si>
  <si>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</si>
  <si>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</si>
  <si>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</si>
  <si>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</si>
  <si>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</si>
  <si>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</si>
  <si>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</si>
  <si>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</si>
  <si>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</si>
  <si>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</si>
  <si>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</si>
  <si>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</si>
  <si>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</si>
  <si>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</si>
  <si>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</si>
  <si>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</si>
  <si>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</si>
  <si>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</si>
  <si>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</si>
  <si>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</si>
  <si>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</si>
  <si>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</si>
  <si>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</si>
  <si>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</si>
  <si>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</si>
  <si>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</si>
  <si>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</si>
  <si>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</si>
  <si>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</si>
  <si>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</si>
  <si>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</si>
  <si>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</si>
  <si>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</si>
  <si>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</si>
  <si>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</si>
  <si>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</si>
  <si>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</si>
  <si>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</si>
  <si>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</si>
  <si>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</si>
  <si>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</si>
  <si>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</si>
  <si>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</si>
  <si>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</si>
  <si>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</si>
  <si>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</si>
  <si>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</si>
  <si>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</si>
  <si>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</si>
  <si>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</si>
  <si>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</si>
  <si>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</si>
  <si>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</si>
  <si>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</si>
  <si>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</si>
  <si>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</si>
  <si>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</si>
  <si>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</si>
  <si>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</si>
  <si>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</si>
  <si>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</si>
  <si>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</si>
  <si>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</si>
  <si>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</si>
  <si>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</si>
  <si>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</si>
  <si>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</si>
  <si>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</si>
  <si>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</si>
  <si>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</si>
  <si>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</si>
  <si>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</si>
  <si>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</si>
  <si>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</si>
  <si>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</si>
  <si>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</si>
  <si>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</si>
  <si>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</si>
  <si>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</si>
  <si>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</si>
  <si>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</si>
  <si>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</si>
  <si>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</si>
  <si>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</si>
  <si>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</si>
  <si>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</si>
  <si>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</si>
  <si>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</si>
  <si>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</si>
  <si>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</si>
  <si>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</si>
  <si>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</si>
  <si>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</si>
  <si>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</si>
  <si>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</si>
  <si>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</si>
  <si>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</si>
  <si>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</si>
  <si>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</si>
  <si>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</si>
  <si>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</si>
  <si>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</si>
  <si>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</si>
  <si>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</si>
  <si>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</si>
  <si>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</si>
  <si>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</si>
  <si>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</si>
  <si>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</si>
  <si>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</si>
  <si>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</si>
  <si>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</si>
  <si>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</si>
  <si>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</si>
  <si>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</si>
  <si>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</si>
  <si>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</si>
  <si>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</si>
  <si>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</si>
  <si>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</si>
  <si>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</si>
  <si>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</si>
  <si>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</si>
  <si>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</si>
  <si>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</si>
  <si>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</si>
  <si>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</si>
  <si>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</si>
  <si>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</si>
  <si>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</si>
  <si>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</si>
  <si>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</si>
  <si>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</si>
  <si>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</si>
  <si>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</si>
  <si>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</si>
  <si>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</si>
  <si>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</si>
  <si>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</si>
  <si>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</si>
  <si>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</si>
  <si>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</si>
  <si>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</si>
  <si>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</si>
  <si>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</si>
  <si>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</si>
  <si>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</si>
  <si>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</si>
  <si>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</si>
  <si>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</si>
  <si>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</si>
  <si>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</si>
  <si>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</si>
  <si>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</si>
  <si>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</si>
  <si>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</si>
  <si>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</si>
  <si>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</si>
  <si>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</si>
  <si>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</si>
  <si>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</si>
  <si>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</si>
  <si>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</si>
  <si>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</si>
  <si>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</si>
  <si>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</si>
  <si>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</si>
  <si>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</si>
  <si>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</si>
  <si>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</si>
  <si>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</si>
  <si>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</si>
  <si>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</si>
  <si>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</si>
  <si>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</si>
  <si>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</si>
  <si>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</si>
  <si>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</si>
  <si>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</si>
  <si>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</si>
  <si>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</si>
  <si>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</si>
  <si>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</si>
  <si>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</si>
  <si>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</si>
  <si>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</si>
  <si>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</si>
  <si>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</si>
  <si>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</si>
  <si>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</si>
  <si>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</si>
  <si>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</si>
  <si>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</si>
  <si>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</si>
  <si>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</si>
  <si>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</si>
  <si>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</si>
  <si>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</si>
  <si>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</si>
  <si>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</si>
  <si>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</si>
  <si>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</si>
  <si>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</si>
  <si>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</si>
  <si>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</si>
  <si>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</si>
  <si>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</si>
  <si>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</si>
  <si>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</si>
  <si>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</si>
  <si>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</si>
  <si>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</si>
  <si>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</si>
  <si>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</si>
  <si>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</si>
  <si>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</si>
  <si>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</si>
  <si>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</si>
  <si>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</si>
  <si>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</si>
  <si>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</si>
  <si>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</si>
  <si>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</si>
  <si>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</si>
  <si>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</si>
  <si>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</si>
  <si>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</si>
  <si>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</si>
  <si>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</si>
  <si>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</si>
  <si>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</si>
  <si>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</si>
  <si>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</si>
  <si>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</si>
  <si>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</si>
  <si>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</si>
  <si>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</si>
  <si>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</si>
  <si>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</si>
  <si>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</si>
  <si>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</si>
  <si>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</si>
  <si>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</si>
  <si>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</si>
  <si>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</si>
  <si>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</si>
  <si>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</si>
  <si>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</si>
  <si>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</si>
  <si>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</si>
  <si>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</si>
  <si>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</si>
  <si>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</si>
  <si>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</si>
  <si>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</si>
  <si>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</si>
  <si>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</si>
  <si>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</si>
  <si>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</si>
  <si>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</si>
  <si>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</si>
  <si>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</si>
  <si>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</si>
  <si>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</si>
  <si>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</si>
  <si>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</si>
  <si>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</si>
  <si>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</si>
  <si>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</si>
  <si>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</si>
  <si>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</si>
  <si>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</si>
  <si>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</si>
  <si>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</si>
  <si>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</si>
  <si>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</si>
  <si>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</si>
  <si>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</si>
  <si>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</si>
  <si>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</si>
  <si>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</si>
  <si>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</si>
  <si>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</si>
  <si>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</si>
  <si>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</si>
  <si>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</si>
  <si>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</si>
  <si>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</si>
  <si>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</si>
  <si>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</si>
  <si>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</si>
  <si>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</si>
  <si>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</si>
  <si>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</si>
  <si>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</si>
  <si>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</si>
  <si>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</si>
  <si>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</si>
  <si>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</si>
  <si>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</si>
  <si>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</si>
  <si>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</si>
  <si>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</si>
  <si>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</si>
  <si>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</si>
  <si>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</si>
  <si>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</si>
  <si>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</si>
  <si>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</si>
  <si>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</si>
  <si>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</si>
  <si>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</si>
  <si>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</si>
  <si>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</si>
  <si>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</si>
  <si>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</si>
  <si>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</si>
  <si>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</si>
  <si>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</si>
  <si>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</si>
  <si>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</si>
  <si>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</si>
  <si>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</si>
  <si>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</si>
  <si>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</si>
  <si>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</si>
  <si>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</si>
  <si>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</si>
  <si>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</si>
  <si>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</si>
  <si>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</si>
  <si>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</si>
  <si>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</si>
  <si>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</si>
  <si>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</si>
  <si>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</si>
  <si>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</si>
  <si>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</si>
  <si>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</si>
  <si>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</si>
  <si>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</si>
  <si>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</si>
  <si>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</si>
  <si>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</si>
  <si>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</si>
  <si>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</si>
  <si>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</si>
  <si>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</si>
  <si>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</si>
  <si>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</si>
  <si>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</si>
  <si>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</si>
  <si>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</si>
  <si>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</si>
  <si>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</si>
  <si>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</si>
  <si>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</si>
  <si>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</si>
  <si>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</si>
  <si>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</si>
  <si>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</si>
  <si>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</si>
  <si>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</si>
  <si>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</si>
  <si>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</si>
  <si>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</si>
  <si>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</si>
  <si>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</si>
  <si>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</si>
  <si>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</si>
  <si>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</si>
  <si>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</si>
  <si>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</si>
  <si>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</si>
  <si>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</si>
  <si>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</si>
  <si>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</si>
  <si>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</si>
  <si>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</si>
  <si>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</si>
  <si>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</si>
  <si>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</si>
  <si>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</si>
  <si>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</si>
  <si>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</si>
  <si>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</si>
  <si>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</si>
  <si>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</si>
  <si>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</si>
  <si>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</si>
  <si>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</si>
  <si>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</si>
  <si>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</si>
  <si>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</si>
  <si>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</si>
  <si>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</si>
  <si>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</si>
  <si>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</si>
  <si>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</si>
  <si>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</si>
  <si>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</si>
  <si>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</si>
  <si>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</si>
  <si>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</si>
  <si>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</si>
  <si>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</si>
  <si>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</si>
  <si>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</si>
  <si>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</si>
  <si>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</si>
  <si>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</si>
  <si>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</si>
  <si>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</si>
  <si>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</si>
  <si>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</si>
  <si>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</si>
  <si>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</si>
  <si>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</si>
  <si>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</si>
  <si>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</si>
  <si>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</si>
  <si>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</si>
  <si>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</si>
  <si>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</si>
  <si>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</si>
  <si>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</si>
  <si>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</si>
  <si>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</si>
  <si>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</si>
  <si>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</si>
  <si>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</si>
  <si>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</si>
  <si>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</si>
  <si>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</si>
  <si>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</si>
  <si>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</si>
  <si>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</si>
  <si>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</si>
  <si>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</si>
  <si>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</si>
  <si>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</si>
  <si>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</si>
  <si>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</si>
  <si>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</si>
  <si>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</si>
  <si>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</si>
  <si>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</si>
  <si>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</si>
  <si>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</si>
  <si>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</si>
  <si>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</si>
  <si>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</si>
  <si>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</si>
  <si>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</si>
  <si>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</si>
  <si>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</si>
  <si>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</si>
  <si>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</si>
  <si>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</si>
  <si>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</si>
  <si>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</si>
  <si>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</si>
  <si>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</si>
  <si>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</si>
  <si>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</si>
  <si>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</si>
  <si>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</si>
  <si>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</si>
  <si>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</si>
  <si>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</si>
  <si>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</si>
  <si>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</si>
  <si>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</si>
  <si>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</si>
  <si>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</si>
  <si>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</si>
  <si>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</si>
  <si>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</si>
  <si>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</si>
  <si>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</si>
  <si>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</si>
  <si>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</si>
  <si>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</si>
  <si>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</si>
  <si>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</si>
  <si>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</si>
  <si>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</si>
  <si>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</si>
  <si>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</si>
  <si>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</si>
  <si>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</si>
  <si>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</si>
  <si>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</si>
  <si>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</si>
  <si>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</si>
  <si>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</si>
  <si>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</si>
  <si>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</si>
  <si>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</si>
  <si>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</si>
  <si>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</si>
  <si>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</si>
  <si>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</si>
  <si>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</si>
  <si>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</si>
  <si>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</si>
  <si>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</si>
  <si>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</si>
  <si>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</si>
  <si>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</si>
  <si>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</si>
  <si>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</si>
  <si>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</si>
  <si>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</si>
  <si>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</si>
  <si>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</si>
  <si>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</si>
  <si>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</si>
  <si>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</si>
  <si>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</si>
  <si>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</si>
  <si>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</si>
  <si>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</si>
  <si>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</si>
  <si>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</si>
  <si>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</si>
  <si>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</si>
  <si>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</si>
  <si>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</si>
  <si>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</si>
  <si>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</si>
  <si>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</si>
  <si>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</si>
  <si>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</si>
  <si>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</si>
  <si>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</si>
  <si>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</si>
  <si>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</si>
  <si>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</si>
  <si>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</si>
  <si>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</si>
  <si>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</si>
  <si>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</si>
  <si>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</si>
  <si>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</si>
  <si>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</si>
  <si>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</si>
  <si>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</si>
  <si>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</si>
  <si>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</si>
  <si>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</si>
  <si>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</si>
  <si>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</si>
  <si>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</si>
  <si>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</si>
  <si>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</si>
  <si>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</si>
  <si>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</si>
  <si>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</si>
  <si>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</si>
  <si>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</si>
  <si>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</si>
  <si>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</si>
  <si>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</si>
  <si>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</si>
  <si>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</si>
  <si>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</si>
  <si>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</si>
  <si>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</si>
  <si>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</si>
  <si>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</si>
  <si>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</si>
  <si>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</si>
  <si>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</si>
  <si>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</si>
  <si>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</si>
  <si>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</si>
  <si>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</si>
  <si>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</si>
  <si>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</si>
  <si>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</si>
  <si>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</si>
  <si>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</si>
  <si>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</si>
  <si>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</si>
  <si>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</si>
  <si>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</si>
  <si>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</si>
  <si>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</si>
  <si>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</si>
  <si>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</si>
  <si>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</si>
  <si>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</si>
  <si>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</si>
  <si>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</si>
  <si>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</si>
  <si>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</si>
  <si>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</si>
  <si>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</si>
  <si>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</si>
  <si>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</si>
  <si>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</si>
  <si>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</si>
  <si>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</si>
  <si>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</si>
  <si>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</si>
  <si>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</si>
  <si>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</si>
  <si>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</si>
  <si>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</si>
  <si>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</si>
  <si>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</si>
  <si>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</si>
  <si>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</si>
  <si>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</si>
  <si>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</si>
  <si>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</si>
  <si>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</si>
  <si>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</si>
  <si>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</si>
  <si>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</si>
  <si>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</si>
  <si>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</si>
  <si>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</si>
  <si>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</si>
  <si>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</si>
  <si>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</si>
  <si>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</si>
  <si>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</si>
  <si>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</si>
  <si>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</si>
  <si>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</si>
  <si>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</si>
  <si>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</si>
  <si>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</si>
  <si>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</si>
  <si>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</si>
  <si>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</si>
  <si>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</si>
  <si>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</si>
  <si>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</si>
  <si>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</si>
  <si>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</si>
  <si>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</si>
  <si>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</si>
  <si>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</si>
  <si>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</si>
  <si>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</si>
  <si>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</si>
  <si>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</si>
  <si>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</si>
  <si>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</si>
  <si>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</si>
  <si>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</si>
  <si>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</si>
  <si>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</si>
  <si>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</si>
  <si>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</si>
  <si>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</si>
  <si>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</si>
  <si>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</si>
  <si>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</si>
  <si>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</si>
  <si>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</si>
  <si>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</si>
  <si>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</si>
  <si>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</si>
  <si>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</si>
  <si>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</si>
  <si>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</si>
  <si>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</si>
  <si>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</si>
  <si>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</si>
  <si>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</si>
  <si>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</si>
  <si>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</si>
  <si>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</si>
  <si>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</si>
  <si>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</si>
  <si>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</si>
  <si>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</si>
  <si>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</si>
  <si>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</si>
  <si>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</si>
  <si>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</si>
  <si>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</si>
  <si>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</si>
  <si>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</si>
  <si>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</si>
  <si>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</si>
  <si>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</si>
  <si>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</si>
  <si>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</si>
  <si>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</si>
  <si>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</si>
  <si>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</si>
  <si>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</si>
  <si>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</si>
  <si>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</si>
  <si>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</si>
  <si>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</si>
  <si>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</si>
  <si>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</si>
  <si>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</si>
  <si>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</si>
  <si>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</si>
  <si>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</si>
  <si>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</si>
  <si>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</si>
  <si>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</si>
  <si>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</si>
  <si>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</si>
  <si>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</si>
  <si>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</si>
  <si>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</si>
  <si>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</si>
  <si>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</si>
  <si>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</si>
  <si>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</si>
  <si>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</si>
  <si>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</si>
  <si>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</si>
  <si>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</si>
  <si>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</si>
  <si>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</si>
  <si>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</si>
  <si>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</si>
  <si>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</si>
  <si>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</si>
  <si>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</si>
  <si>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</si>
  <si>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</si>
  <si>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</si>
  <si>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</si>
  <si>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</si>
  <si>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</si>
  <si>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</si>
  <si>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</si>
  <si>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</si>
  <si>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</si>
  <si>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</si>
  <si>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</si>
  <si>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</si>
  <si>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</si>
  <si>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</si>
  <si>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</si>
  <si>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</si>
  <si>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</si>
  <si>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</si>
  <si>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</si>
  <si>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</si>
  <si>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</si>
  <si>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</si>
  <si>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</si>
  <si>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</si>
  <si>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</si>
  <si>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</si>
  <si>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</si>
  <si>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</si>
  <si>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</si>
  <si>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</si>
  <si>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</si>
  <si>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</si>
  <si>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</si>
  <si>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</si>
  <si>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</si>
  <si>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</si>
  <si>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</si>
  <si>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</si>
  <si>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</si>
  <si>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</si>
  <si>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</si>
  <si>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</si>
  <si>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</si>
  <si>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</si>
  <si>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</si>
  <si>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</si>
  <si>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</si>
  <si>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</si>
  <si>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</si>
  <si>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</si>
  <si>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</si>
  <si>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</si>
  <si>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</si>
  <si>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</si>
  <si>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</si>
  <si>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</si>
  <si>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</si>
  <si>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</si>
  <si>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</si>
  <si>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</si>
  <si>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</si>
  <si>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</si>
  <si>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</si>
  <si>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</si>
  <si>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</si>
  <si>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</si>
  <si>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</si>
  <si>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</si>
  <si>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</si>
  <si>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</si>
  <si>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</si>
  <si>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</si>
  <si>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</si>
  <si>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</si>
  <si>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</si>
  <si>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</si>
  <si>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</si>
  <si>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</si>
  <si>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</si>
  <si>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</si>
  <si>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</si>
  <si>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</si>
  <si>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</si>
  <si>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</si>
  <si>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</si>
  <si>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</si>
  <si>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</si>
  <si>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</si>
  <si>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</si>
  <si>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</si>
  <si>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</si>
  <si>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</si>
  <si>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</si>
  <si>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</si>
  <si>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</si>
  <si>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</si>
  <si>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</si>
  <si>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</si>
  <si>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</si>
  <si>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</si>
  <si>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</si>
  <si>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</si>
  <si>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</si>
  <si>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</si>
  <si>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</si>
  <si>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</si>
  <si>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</si>
  <si>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</si>
  <si>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</si>
  <si>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</si>
  <si>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</si>
  <si>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</si>
  <si>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</si>
  <si>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</si>
  <si>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</si>
  <si>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</si>
  <si>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</si>
  <si>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</si>
  <si>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</si>
  <si>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</si>
  <si>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</si>
  <si>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</si>
  <si>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</si>
  <si>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</si>
  <si>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</si>
  <si>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</si>
  <si>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</si>
  <si>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</si>
  <si>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</si>
  <si>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</si>
  <si>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</si>
  <si>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</si>
  <si>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</si>
  <si>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</si>
  <si>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</si>
  <si>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</si>
  <si>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</si>
  <si>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</si>
  <si>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</si>
  <si>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</si>
  <si>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</si>
  <si>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</si>
  <si>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</si>
  <si>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</si>
  <si>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</si>
  <si>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</si>
  <si>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</si>
  <si>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</si>
  <si>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</si>
  <si>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</si>
  <si>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</si>
  <si>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</si>
  <si>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</si>
  <si>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</si>
  <si>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</si>
  <si>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</si>
  <si>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</si>
  <si>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</si>
  <si>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</si>
  <si>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</si>
  <si>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</si>
  <si>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</si>
  <si>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</si>
  <si>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</si>
  <si>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</si>
  <si>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</si>
  <si>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</si>
  <si>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</si>
  <si>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</si>
  <si>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</si>
  <si>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</si>
  <si>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</si>
  <si>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</si>
  <si>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</si>
  <si>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</si>
  <si>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</si>
  <si>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</si>
  <si>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</si>
  <si>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</si>
  <si>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</si>
  <si>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</si>
  <si>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</si>
  <si>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</si>
  <si>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</si>
  <si>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</si>
  <si>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</si>
  <si>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</si>
  <si>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</si>
  <si>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</si>
  <si>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</si>
  <si>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</si>
  <si>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</si>
  <si>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</si>
  <si>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</si>
  <si>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</si>
  <si>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</si>
  <si>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</si>
  <si>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</si>
  <si>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</si>
  <si>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</si>
  <si>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</si>
  <si>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</si>
  <si>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</si>
  <si>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</si>
  <si>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</si>
  <si>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</si>
  <si>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</si>
  <si>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</si>
  <si>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</si>
  <si>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</si>
  <si>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</si>
  <si>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</si>
  <si>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</si>
  <si>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</si>
  <si>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</si>
  <si>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</si>
  <si>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</si>
  <si>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</si>
  <si>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</si>
  <si>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</si>
  <si>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</si>
  <si>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</si>
  <si>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</si>
  <si>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</si>
  <si>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</si>
  <si>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</si>
  <si>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</si>
  <si>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</si>
  <si>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</si>
  <si>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</si>
  <si>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</si>
  <si>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</si>
  <si>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</si>
  <si>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</si>
  <si>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</si>
  <si>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</si>
  <si>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</si>
  <si>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</si>
  <si>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</si>
  <si>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</si>
  <si>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</si>
  <si>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</si>
  <si>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</si>
  <si>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</si>
  <si>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</si>
  <si>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</si>
  <si>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</si>
  <si>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</si>
  <si>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</si>
  <si>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</si>
  <si>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</si>
  <si>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</si>
  <si>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</si>
  <si>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</si>
  <si>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</si>
  <si>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</si>
  <si>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</si>
  <si>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</si>
  <si>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</si>
  <si>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</si>
  <si>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</si>
  <si>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</si>
  <si>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</si>
  <si>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</si>
  <si>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</si>
  <si>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</si>
  <si>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</si>
  <si>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</si>
  <si>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</si>
  <si>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</si>
  <si>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</si>
  <si>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</si>
  <si>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</si>
  <si>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</si>
  <si>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</si>
  <si>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</si>
  <si>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</si>
  <si>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</si>
  <si>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</si>
  <si>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</si>
  <si>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</si>
  <si>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</si>
  <si>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</si>
  <si>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</si>
  <si>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</si>
  <si>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</si>
  <si>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</si>
  <si>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</si>
  <si>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</si>
  <si>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</si>
  <si>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</si>
  <si>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</si>
  <si>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</si>
  <si>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</si>
  <si>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</si>
  <si>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</si>
  <si>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</si>
  <si>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</si>
  <si>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</si>
  <si>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</si>
  <si>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</si>
  <si>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</si>
  <si>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</si>
  <si>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</si>
  <si>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</si>
  <si>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</si>
  <si>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</si>
  <si>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</si>
  <si>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</si>
  <si>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</si>
  <si>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</si>
  <si>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</si>
  <si>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</si>
  <si>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</si>
  <si>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</si>
  <si>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</si>
  <si>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</si>
  <si>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</si>
  <si>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</si>
  <si>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</si>
  <si>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</si>
  <si>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</si>
  <si>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</si>
  <si>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</si>
  <si>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</si>
  <si>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</si>
  <si>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</si>
  <si>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</si>
  <si>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</si>
  <si>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</si>
  <si>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</si>
  <si>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</si>
  <si>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</si>
  <si>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</si>
  <si>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</si>
  <si>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</si>
  <si>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</si>
  <si>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</si>
  <si>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</si>
  <si>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</si>
  <si>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</si>
  <si>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</si>
  <si>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</si>
  <si>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</si>
  <si>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</si>
  <si>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</si>
  <si>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</si>
  <si>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</si>
  <si>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</si>
  <si>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</si>
  <si>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</si>
  <si>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</si>
  <si>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</si>
  <si>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</si>
  <si>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</si>
  <si>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</si>
  <si>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</si>
  <si>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</si>
  <si>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</si>
  <si>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</si>
  <si>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</si>
  <si>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</si>
  <si>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</si>
  <si>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</si>
  <si>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</si>
  <si>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</si>
  <si>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</si>
  <si>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</si>
  <si>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</si>
  <si>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</si>
  <si>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</si>
  <si>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</si>
  <si>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</si>
  <si>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</si>
  <si>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</si>
  <si>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</si>
  <si>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</si>
  <si>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</si>
  <si>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</si>
  <si>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</si>
  <si>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</si>
  <si>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</si>
  <si>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</si>
  <si>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</si>
  <si>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</si>
  <si>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</si>
  <si>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</si>
  <si>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</si>
  <si>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</si>
  <si>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</si>
  <si>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</si>
  <si>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</si>
  <si>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</si>
  <si>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</si>
  <si>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</si>
  <si>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</si>
  <si>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</si>
  <si>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</si>
  <si>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</si>
  <si>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</si>
  <si>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</si>
  <si>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</si>
  <si>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</si>
  <si>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</si>
  <si>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</si>
  <si>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</si>
  <si>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</si>
  <si>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</si>
  <si>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</si>
  <si>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</si>
  <si>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</si>
  <si>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</si>
  <si>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</si>
  <si>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</si>
  <si>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</si>
  <si>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</si>
  <si>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</si>
  <si>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</si>
  <si>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</si>
  <si>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</si>
  <si>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</si>
  <si>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</si>
  <si>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</si>
  <si>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</si>
  <si>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</si>
  <si>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</si>
  <si>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</si>
  <si>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</si>
  <si>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</si>
  <si>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</si>
  <si>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</si>
  <si>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</si>
  <si>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</si>
  <si>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</si>
  <si>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</si>
  <si>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</si>
  <si>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</si>
  <si>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</si>
  <si>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</si>
  <si>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</si>
  <si>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</si>
  <si>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</si>
  <si>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</si>
  <si>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</si>
  <si>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</si>
  <si>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</si>
  <si>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</si>
  <si>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</si>
  <si>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</si>
  <si>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</si>
  <si>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</si>
  <si>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</si>
  <si>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</si>
  <si>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</si>
  <si>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</si>
  <si>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</si>
  <si>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</si>
  <si>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</si>
  <si>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</si>
  <si>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</si>
  <si>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</si>
  <si>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</si>
  <si>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</si>
  <si>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</si>
  <si>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</si>
  <si>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</si>
  <si>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</si>
  <si>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</si>
  <si>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</si>
  <si>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</si>
  <si>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</si>
  <si>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</si>
  <si>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</si>
  <si>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</si>
  <si>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</si>
  <si>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</si>
  <si>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</si>
  <si>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</si>
  <si>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</si>
  <si>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</si>
  <si>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</si>
  <si>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</si>
  <si>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</si>
  <si>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</si>
  <si>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</si>
  <si>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</si>
  <si>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</si>
  <si>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</si>
  <si>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</si>
  <si>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</si>
  <si>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</si>
  <si>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</si>
  <si>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</si>
  <si>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</si>
  <si>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</si>
  <si>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</si>
  <si>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</si>
  <si>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</si>
  <si>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</si>
  <si>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</si>
  <si>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</si>
  <si>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</si>
  <si>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</si>
  <si>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</si>
  <si>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</si>
  <si>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</si>
  <si>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</si>
  <si>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</si>
  <si>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</si>
  <si>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</si>
  <si>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</si>
  <si>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</si>
  <si>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</si>
  <si>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</si>
  <si>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</si>
  <si>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</si>
  <si>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</si>
  <si>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</si>
  <si>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</si>
  <si>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</si>
  <si>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</si>
  <si>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</si>
  <si>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</si>
  <si>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</si>
  <si>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</si>
  <si>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</si>
  <si>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</si>
  <si>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</si>
  <si>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</si>
  <si>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</si>
  <si>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</si>
  <si>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</si>
  <si>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</si>
  <si>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</si>
  <si>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</si>
  <si>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</si>
  <si>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</si>
  <si>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</si>
  <si>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</si>
  <si>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</si>
  <si>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</si>
  <si>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</si>
  <si>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</si>
  <si>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</si>
  <si>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</si>
  <si>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</si>
  <si>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</si>
  <si>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</si>
  <si>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</si>
  <si>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</si>
  <si>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</si>
  <si>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</si>
  <si>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</si>
  <si>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</si>
  <si>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</si>
  <si>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</si>
  <si>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</si>
  <si>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</si>
  <si>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</si>
  <si>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</si>
  <si>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</si>
  <si>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</si>
  <si>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</si>
  <si>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</si>
  <si>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</si>
  <si>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</si>
  <si>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</si>
  <si>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</si>
  <si>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</si>
  <si>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</si>
  <si>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</si>
  <si>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</si>
  <si>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</si>
  <si>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</si>
  <si>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</si>
  <si>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</si>
  <si>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</si>
  <si>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</si>
  <si>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</si>
  <si>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</si>
  <si>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</si>
  <si>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</si>
  <si>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</si>
  <si>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</si>
  <si>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</si>
  <si>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</si>
  <si>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</si>
  <si>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</si>
  <si>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</si>
  <si>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</si>
  <si>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</si>
  <si>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</si>
  <si>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</si>
  <si>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</si>
  <si>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</si>
  <si>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</si>
  <si>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</si>
  <si>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</si>
  <si>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</si>
  <si>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</si>
  <si>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</si>
  <si>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</si>
  <si>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</si>
  <si>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</si>
  <si>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</si>
  <si>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</si>
  <si>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</si>
  <si>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</si>
  <si>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</si>
  <si>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</si>
  <si>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</si>
  <si>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</si>
  <si>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</si>
  <si>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</si>
  <si>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</si>
  <si>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</si>
  <si>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</si>
  <si>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</si>
  <si>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</si>
  <si>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</si>
  <si>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</si>
  <si>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</si>
  <si>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</si>
  <si>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</si>
  <si>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</si>
  <si>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</si>
  <si>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</si>
  <si>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</si>
  <si>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</si>
  <si>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</si>
  <si>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</si>
  <si>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</si>
  <si>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</si>
  <si>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</si>
  <si>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</si>
  <si>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</si>
  <si>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</si>
  <si>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</si>
  <si>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</si>
  <si>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</si>
  <si>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</si>
  <si>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</si>
  <si>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</si>
  <si>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</si>
  <si>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</si>
  <si>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</si>
  <si>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</si>
  <si>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</si>
  <si>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</si>
  <si>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</si>
  <si>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</si>
  <si>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</si>
  <si>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</si>
  <si>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</si>
  <si>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</si>
  <si>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</si>
  <si>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</si>
  <si>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</si>
  <si>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</si>
  <si>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</si>
  <si>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</si>
  <si>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</si>
  <si>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</si>
  <si>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</si>
  <si>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</si>
  <si>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</si>
  <si>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</si>
  <si>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</si>
  <si>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</si>
  <si>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</si>
  <si>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</si>
  <si>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</si>
  <si>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</si>
  <si>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</si>
  <si>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</si>
  <si>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</si>
  <si>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</si>
  <si>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</si>
  <si>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</si>
  <si>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</si>
  <si>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</si>
  <si>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</si>
  <si>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</si>
  <si>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</si>
  <si>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</si>
  <si>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</si>
  <si>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</si>
  <si>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</si>
  <si>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</si>
  <si>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</si>
  <si>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</si>
  <si>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</si>
  <si>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</si>
  <si>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</si>
  <si>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</si>
  <si>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</si>
  <si>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</si>
  <si>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</si>
  <si>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</si>
  <si>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</si>
  <si>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</si>
  <si>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</si>
  <si>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</si>
  <si>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</si>
  <si>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</si>
  <si>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</si>
  <si>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</si>
  <si>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</si>
  <si>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</si>
  <si>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</si>
  <si>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</si>
  <si>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</si>
  <si>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</si>
  <si>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</si>
  <si>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</si>
  <si>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</si>
  <si>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</si>
  <si>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</si>
  <si>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</si>
  <si>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</si>
  <si>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</si>
  <si>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</si>
  <si>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</si>
  <si>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</si>
  <si>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</si>
  <si>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</si>
  <si>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</si>
  <si>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</si>
  <si>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</si>
  <si>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</si>
  <si>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</si>
  <si>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</si>
  <si>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</si>
  <si>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</si>
  <si>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</si>
  <si>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</si>
  <si>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</si>
  <si>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</si>
  <si>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</si>
  <si>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</si>
  <si>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</si>
  <si>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</si>
  <si>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</si>
  <si>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</si>
  <si>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</si>
  <si>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</si>
  <si>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</si>
  <si>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</si>
  <si>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</si>
  <si>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</si>
  <si>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</si>
  <si>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</si>
  <si>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</si>
  <si>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</si>
  <si>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</si>
  <si>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</si>
  <si>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</si>
  <si>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</si>
  <si>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</si>
  <si>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</si>
  <si>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</si>
  <si>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</si>
  <si>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</si>
  <si>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</si>
  <si>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</si>
  <si>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</si>
  <si>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</si>
  <si>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</si>
  <si>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</si>
  <si>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</si>
  <si>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</si>
  <si>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</si>
  <si>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</si>
  <si>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</si>
  <si>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</si>
  <si>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</si>
  <si>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</si>
  <si>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</si>
  <si>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</si>
  <si>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</si>
  <si>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</si>
  <si>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</si>
  <si>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</si>
  <si>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</si>
  <si>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</si>
  <si>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</si>
  <si>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</si>
  <si>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</si>
  <si>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</si>
  <si>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</si>
  <si>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</si>
  <si>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</si>
  <si>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</si>
  <si>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</si>
  <si>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</si>
  <si>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</si>
  <si>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</si>
  <si>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</si>
  <si>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</si>
  <si>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</si>
  <si>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</si>
  <si>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</si>
  <si>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</si>
  <si>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</si>
  <si>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</si>
  <si>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</si>
  <si>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</si>
  <si>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</si>
  <si>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</si>
  <si>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</si>
  <si>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</si>
  <si>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</si>
  <si>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</si>
  <si>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</si>
  <si>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</si>
  <si>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</si>
  <si>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</si>
  <si>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</si>
  <si>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</si>
  <si>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</si>
  <si>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</si>
  <si>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</si>
  <si>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</si>
  <si>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</si>
  <si>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</si>
  <si>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</si>
  <si>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</si>
  <si>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</si>
  <si>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</si>
  <si>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</si>
  <si>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</si>
  <si>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</si>
  <si>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</si>
  <si>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</si>
  <si>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</si>
  <si>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</si>
  <si>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</si>
  <si>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</si>
  <si>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</si>
  <si>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</si>
  <si>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</si>
  <si>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</si>
  <si>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</si>
  <si>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</si>
  <si>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</si>
  <si>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</si>
  <si>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</si>
  <si>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</si>
  <si>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</si>
  <si>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</si>
  <si>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</si>
  <si>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</si>
  <si>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</si>
  <si>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</si>
  <si>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</si>
  <si>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</si>
  <si>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</si>
  <si>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</si>
  <si>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</si>
  <si>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</si>
  <si>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</si>
  <si>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</si>
  <si>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</si>
  <si>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</si>
  <si>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</si>
  <si>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</si>
  <si>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</si>
  <si>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</si>
  <si>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</si>
  <si>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</si>
  <si>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</si>
  <si>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</si>
  <si>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</si>
  <si>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</si>
  <si>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</si>
  <si>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</si>
  <si>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</si>
  <si>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</si>
  <si>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</si>
  <si>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</si>
  <si>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</si>
  <si>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</si>
  <si>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</si>
  <si>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</si>
  <si>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</si>
  <si>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</si>
  <si>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</si>
  <si>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</si>
  <si>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</si>
  <si>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</si>
  <si>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</si>
  <si>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</si>
  <si>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</si>
  <si>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</si>
  <si>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</si>
  <si>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</si>
  <si>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</si>
  <si>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</si>
  <si>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</si>
  <si>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</si>
  <si>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</si>
  <si>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</si>
  <si>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</si>
  <si>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</si>
  <si>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</si>
  <si>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</si>
  <si>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</si>
  <si>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</si>
  <si>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</si>
  <si>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</si>
  <si>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</si>
  <si>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</si>
  <si>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</si>
  <si>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</si>
  <si>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</si>
  <si>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</si>
  <si>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</si>
  <si>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</si>
  <si>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</si>
  <si>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</si>
  <si>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</si>
  <si>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</si>
  <si>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</si>
  <si>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</si>
  <si>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</si>
  <si>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</si>
  <si>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</si>
  <si>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</si>
  <si>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</si>
  <si>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</si>
  <si>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</si>
  <si>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</si>
  <si>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</si>
  <si>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</si>
  <si>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</si>
  <si>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</si>
  <si>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</si>
  <si>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</si>
  <si>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</si>
  <si>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</si>
  <si>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</si>
  <si>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</si>
  <si>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</si>
  <si>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</si>
  <si>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</si>
  <si>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</si>
  <si>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</si>
  <si>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</si>
  <si>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</si>
  <si>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</si>
  <si>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</si>
  <si>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</si>
  <si>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</si>
  <si>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</si>
  <si>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</si>
  <si>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</si>
  <si>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</si>
  <si>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</si>
  <si>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</si>
  <si>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</si>
  <si>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</si>
  <si>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</si>
  <si>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</si>
  <si>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</si>
  <si>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</si>
  <si>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</si>
  <si>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</si>
  <si>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</si>
  <si>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</si>
  <si>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</si>
  <si>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</si>
  <si>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</si>
  <si>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</si>
  <si>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</si>
  <si>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</si>
  <si>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</si>
  <si>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</si>
  <si>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</si>
  <si>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</si>
  <si>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</si>
  <si>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</si>
  <si>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</si>
  <si>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</si>
  <si>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</si>
  <si>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</si>
  <si>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</si>
  <si>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</si>
  <si>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</si>
  <si>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</si>
  <si>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</si>
  <si>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</si>
  <si>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</si>
  <si>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</si>
  <si>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</si>
  <si>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</si>
  <si>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</si>
  <si>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</si>
  <si>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</si>
  <si>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</si>
  <si>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</si>
  <si>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</si>
  <si>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</si>
  <si>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</si>
  <si>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</si>
  <si>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</si>
  <si>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</si>
  <si>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</si>
  <si>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</si>
  <si>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</si>
  <si>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</si>
  <si>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</si>
  <si>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</si>
  <si>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</si>
  <si>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</si>
  <si>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</si>
  <si>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</si>
  <si>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</si>
  <si>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</si>
  <si>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</si>
  <si>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</si>
  <si>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</si>
  <si>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</si>
  <si>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</si>
  <si>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</si>
  <si>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</si>
  <si>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</si>
  <si>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</si>
  <si>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</si>
  <si>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</si>
  <si>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</si>
  <si>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</si>
  <si>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</si>
  <si>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</si>
  <si>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</si>
  <si>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</si>
  <si>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</si>
  <si>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</si>
  <si>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</si>
  <si>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</si>
  <si>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</si>
  <si>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</si>
  <si>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</si>
  <si>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</si>
  <si>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</si>
  <si>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</si>
  <si>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</si>
  <si>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</si>
  <si>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</si>
  <si>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</si>
  <si>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</si>
  <si>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</si>
  <si>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</si>
  <si>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</si>
  <si>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</si>
  <si>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</si>
  <si>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</si>
  <si>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</si>
  <si>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</si>
  <si>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</si>
  <si>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</si>
  <si>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</si>
  <si>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</si>
  <si>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</si>
  <si>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</si>
  <si>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</si>
  <si>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</si>
  <si>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</si>
  <si>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</si>
  <si>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</si>
  <si>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</si>
  <si>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</si>
  <si>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</si>
  <si>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</si>
  <si>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</si>
  <si>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</si>
  <si>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</si>
  <si>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</si>
  <si>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</si>
  <si>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</si>
  <si>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</si>
  <si>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</si>
  <si>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</si>
  <si>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</si>
  <si>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</si>
  <si>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</si>
  <si>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</si>
  <si>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</si>
  <si>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</si>
  <si>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</si>
  <si>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</si>
  <si>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</si>
  <si>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</si>
  <si>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</si>
  <si>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</si>
  <si>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</si>
  <si>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</si>
  <si>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</si>
  <si>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</si>
  <si>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</si>
  <si>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</si>
  <si>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</si>
  <si>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</si>
  <si>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</si>
  <si>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</si>
  <si>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</si>
  <si>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</si>
  <si>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</si>
  <si>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</si>
  <si>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</si>
  <si>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</si>
  <si>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</si>
  <si>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</si>
  <si>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</si>
  <si>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</si>
  <si>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</si>
  <si>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</si>
  <si>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</si>
  <si>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</si>
  <si>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</si>
  <si>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</si>
  <si>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</si>
  <si>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</si>
  <si>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</si>
  <si>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</si>
  <si>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</si>
  <si>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</si>
  <si>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</si>
  <si>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</si>
  <si>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</si>
  <si>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</si>
  <si>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</si>
  <si>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</si>
  <si>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</si>
  <si>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</si>
  <si>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</si>
  <si>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</si>
  <si>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</si>
  <si>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</si>
  <si>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</si>
  <si>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</si>
  <si>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</si>
  <si>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</si>
  <si>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</si>
  <si>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</si>
  <si>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</si>
  <si>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</si>
  <si>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</si>
  <si>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</si>
  <si>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</si>
  <si>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</si>
  <si>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</si>
  <si>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</si>
  <si>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</si>
  <si>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</si>
  <si>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</si>
  <si>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</si>
  <si>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</si>
  <si>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</si>
  <si>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</si>
  <si>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</si>
  <si>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</si>
  <si>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</si>
  <si>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</si>
  <si>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</si>
  <si>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</si>
  <si>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</si>
  <si>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</si>
  <si>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</si>
  <si>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</si>
  <si>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</si>
  <si>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</si>
  <si>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</si>
  <si>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</si>
  <si>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</si>
  <si>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4% Credit/TE Bond</t>
  </si>
  <si>
    <t>CAHEC Properties Corporation</t>
  </si>
  <si>
    <t>George Baker</t>
  </si>
  <si>
    <t>Vice President</t>
  </si>
  <si>
    <t>Manager, Development</t>
  </si>
  <si>
    <t>Andrea Wolford</t>
  </si>
  <si>
    <t>gbaker@cahec.com</t>
  </si>
  <si>
    <t>awolford@cahecproperties.com</t>
  </si>
  <si>
    <t>Brightwood Lane Apartments</t>
  </si>
  <si>
    <t>City Limits</t>
  </si>
  <si>
    <t>Brightwood Lane Apartments is designated as a "mixed" property by USDA. Units 1-24 are family and units 25-40 are elderly (62 and over) and disabled.</t>
  </si>
  <si>
    <t>Churchill Stateside Group</t>
  </si>
  <si>
    <t>USDA Rural Development</t>
  </si>
  <si>
    <t>CAHEC</t>
  </si>
  <si>
    <t>TBD State Investor</t>
  </si>
  <si>
    <t>CAHEC Capital</t>
  </si>
  <si>
    <t>Housing Authority of Macon-Bibb County</t>
  </si>
  <si>
    <t>Construction Loan</t>
  </si>
  <si>
    <t>TEB - Short-term Cash Collateralized</t>
  </si>
  <si>
    <t>Amortizing</t>
  </si>
  <si>
    <t>Adjusted Interest</t>
  </si>
  <si>
    <t>CAHEC Properties, LLC</t>
  </si>
  <si>
    <t>CAHEC, TBD State Investor</t>
  </si>
  <si>
    <t>MM Capital Contribution</t>
  </si>
  <si>
    <t>USDA 515 balance in the application and the purchase and sale agreement is the estimated assumed balance at time of anticipated closing. Property currently has a HOME loan. Development budget includes paying off and removing this loan. 
In addition to purchasing the State Housing Credits, the State Credit Investor will purchase 1% of the Federal Credits. The total investment by the State Credit Investor is $1,281,511 = $1,265,647 (State Housing Credit Equity) + $15,864 (Federal Housing Credit Equity). CAHEC's Federal Housing Credit Equity investment is $1,570,379. The total Federal Housing Credit Equity $1,586,243 = $1,570,379 (CAHEC) + $15,864 (State Investor).</t>
  </si>
  <si>
    <t>Physical Needs Assessment</t>
  </si>
  <si>
    <t>Tax-Exempt Bond Interest</t>
  </si>
  <si>
    <t>DDA/QCT</t>
  </si>
  <si>
    <t>Physical Needs Assessment (DCA Requirement), Capital Needs Asserssment (RD Requirement)</t>
  </si>
  <si>
    <t>Indirect costs that are depreciable and required for the acquisition and rehabilitation of the Project</t>
  </si>
  <si>
    <t>Interest accrued on the tax-exempt bonds for the entire period the bonds are outstanding.</t>
  </si>
  <si>
    <t>Interest accrued during construction period is a depreciable cost. Interest accrued outside of the construction period is not included in basis</t>
  </si>
  <si>
    <t>Construction to Permanent 538 Loan provided by Churchill Stateside Group is a draw-down loan and will be used to finance construction. Interest will be accrued on the amount drawn down until the loan is fully drawn and down, converts and the property takes over P&amp;I payments.</t>
  </si>
  <si>
    <t>Interest accrued during construction period is a depreciable cost. Interest accrued outside of the construction period before the property takes over interest payments is not included in basis.</t>
  </si>
  <si>
    <t>$1,500 per property has been budgeted for project administration. This includes administrative expenses mainly supplies and shipping costs assocaited with applications and documentation prior to and after closing.</t>
  </si>
  <si>
    <t xml:space="preserve">Project Administration costs are non-depreciable costs excluded from the calculation of eligible </t>
  </si>
  <si>
    <t>$8,640 for Tenant Protection Escrow (RD requirement) to protect any existing tenants from potential rent increase needed to complete the acquisition/rehabilitation).</t>
  </si>
  <si>
    <t>Yard Waste &amp; Large Item Pickup</t>
  </si>
  <si>
    <t>Novogradac</t>
  </si>
  <si>
    <t>Acquisition/Rehab</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</si>
  <si>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Ancilliary Income of $892 ($22/unit) annually was underwritten based upon a combination of the previous 3-year historical average of $1,520 and the most recent historical income of $1,137. Ancillary Income is based upon application fees, tenant charges, and interest income. 
Real Estate Taxes budgeted for $18,250 is based upon the RD-approved 2023 budget and was calculated based upon the 2022 tax assessed value and an increase millage rate over the 2022 rate. 
Insurance budgeted for $14,388 is based upon the RD-approved budget and was calculated upon a 30% increase over 2023 budget of $11,650.</t>
  </si>
  <si>
    <t>This project was awarded debt deferral under the Multi-family Housing Preservation and Revialization Restructuring Demonstration Program 2022. The assumed 515 mortgage debt service will be deferred for 20 years. A refinance event will take place when deferral ends in year 20.
Vacancy has been underwritten to 5% based upon historical performance at the property. A waiver will be requested at pre-application.
DSCR: A waiver of the 1.25 DSCR requirement will be requested with the pre-application from DCA to match the USDA 538/515 Loan program requirements of 1.15 (year 1) and 1.0 (year 15).</t>
  </si>
  <si>
    <t>Applicant certifies that we have disclosed all federal, state, and local subsidies and all other sources of funds and development costs for the project in the application submission. We also certify all financing sources are reflected in the proforma.</t>
  </si>
  <si>
    <t>The development is currently categorized as a "mixed" development by USDA with some units designated as family and others designated as elderly (62 and over) and disabled. The development will continue to serve this same tenant population and offer one-, two-, and three-bedroom unit types.</t>
  </si>
  <si>
    <t>Applicant will provide a minimum of 4 basic services as required for this 40-unit mixed (family/senior) property.</t>
  </si>
  <si>
    <t>Bowen National Research</t>
  </si>
  <si>
    <t>There are no market rate units at the project, therefore the capture rate for the market units is not applicable. The Market Study is included in Tab 5 of the application.</t>
  </si>
  <si>
    <t>The appraisal is not required at competitive review submission.</t>
  </si>
  <si>
    <t>The Phase I ESA is not required at competitive review submission.</t>
  </si>
  <si>
    <t>Purchase Contract</t>
  </si>
  <si>
    <t>New Brightwood Lane Apartments of GA, LLC</t>
  </si>
  <si>
    <t xml:space="preserve">The applicant has entered into a purchase and sale agreement with the current owner through December 31, 2024. Please see contract and warranty deed as verification of seller entity located in tab 8 of the application. </t>
  </si>
  <si>
    <t>The site has direct access to Andrew Drive, a public road. An aerial photograph showing site access is included on page 2 of the CSDP. A topographic survey will be provided at full application.</t>
  </si>
  <si>
    <t>The proposed rehabilitation application is exempt from site zoning requirements.</t>
  </si>
  <si>
    <t>City of Washington</t>
  </si>
  <si>
    <t>The proposed rehabilitation application is exempt from providing verification of existing utility services.</t>
  </si>
  <si>
    <t>The proposed rehabilitation application is exempt from providing verification of public water/sanitary sewer</t>
  </si>
  <si>
    <t>Building</t>
  </si>
  <si>
    <t>Gazebo</t>
  </si>
  <si>
    <t>On-site laundry</t>
  </si>
  <si>
    <t>Site amenities will comply with DCA 2023 Architectural Manual Appendix III: Amenities Guide.</t>
  </si>
  <si>
    <t>Substantial Rehab Non-Gutted</t>
  </si>
  <si>
    <t>Gill Group</t>
  </si>
  <si>
    <t>The Capital Needs Assessment is not due with the competitive review application. The CNA will be prepared by Gill Group and will be included in the pre-application submission with the architectural waiver requests.</t>
  </si>
  <si>
    <t>The Conceptual Site Development Plan prepared by Ross Deckard Architects outlines all required information in accordance with the 2023 DCA Architectural Manual, Appendix II: Submission Requirements. Please see color pictures and aerial photos, which are included in tab 15 of the application.</t>
  </si>
  <si>
    <t>Agree</t>
  </si>
  <si>
    <t>The applicant agrees to the Sustainability Standards required by DCA. The property will be certified by HIRL National Green Building Standard upon completion of the project with an anticipated Bronze standard met based upon proposed scope of work. The Sustainability training was completed on 5/5/2023.</t>
  </si>
  <si>
    <t>The applicant agrees to comply with all accessibility standards and engage a third-party (non-related) DCA qualified consultant, Zeffert &amp; Associates, to monitor accessibility requirements and compliance.</t>
  </si>
  <si>
    <t xml:space="preserve">Applicant may submit waiver at pre-application stage for DCA’s architectural design &amp; quality standards. </t>
  </si>
  <si>
    <t xml:space="preserve">The applicant agrees to comply with Architectural design &amp; quality standards in 2023 Architectural Manual. Applicant may submit waiver at pre-application stage for DCA’s architectural design &amp; quality standards. </t>
  </si>
  <si>
    <t>Yes - see Comment</t>
  </si>
  <si>
    <t xml:space="preserve">CAHEC Properties Corporation was approved as Qualified under a Probationary Participation for the 9% round on May 11, 2023. No changes have been made to the project team since that submission, however, an updated Performance Workbook is included with this application. </t>
  </si>
  <si>
    <t>Project is requesting funding under 4. "Portfolio" Preservation fo USDA Housing. The portfolio includes 13 USDA-assisted apartment communities.</t>
  </si>
  <si>
    <t>https://www.cahecproperties.com</t>
  </si>
  <si>
    <t>CAHEC Properties Corporation, Inc. is a non-profit corporation that preserves and owns affordable housing in the Southeast and is the sole member and manager of CAHEC Development, LLC, the developer for this Project. CAHEC Development, LLC will receive 100% of the developer fee. In addition to acting as the general partner of over 230 residential properties in five states, CAHEC Properties Corporation continually pursues investments that align with its core mission of preserving, improving, and expanding affordable housing opportunities.</t>
  </si>
  <si>
    <t>Legal opinions are not required as part of the competitive review application and will be provided at full application.</t>
  </si>
  <si>
    <t>We do not anticipate any permanent displacement for this project. Waivers for temporary relocation will be provided in the pre-application submission.</t>
  </si>
  <si>
    <t>The applicant and proposed management (CAHEC Management Inc.) agree to submit an AFFH Marketing Plan that will meet all requirements outlined in the above section.</t>
  </si>
  <si>
    <t>Based on DCA's focus on preservation, the applicant believes that utilizing the LIHTC  and Tax Exempt Bond programs to acquire and preserve this portfolio of apartment communities through rural Georgia is the best use of DCA resources.</t>
  </si>
  <si>
    <t>Does not apply to preservation projects.</t>
  </si>
  <si>
    <t>The project does not involve any new favorable financing sources.</t>
  </si>
  <si>
    <t>Brightwood Lane Apartments has an average occupancy over the last 24 months of approximately 98.8% (rent rolls provided as support)</t>
  </si>
  <si>
    <t>Brighwood Lane Apartments has 37 units of PBRA which represents 92.5% of the total units. The minimum for points in this section is 40 units of PBRA. A copy of the Rental Assistance Agreement is provided under Tab 48.</t>
  </si>
  <si>
    <t>The LURC dated December 9, 1996 is included in tab 49 of the application.</t>
  </si>
  <si>
    <t>Autumn Lane Apartments</t>
  </si>
  <si>
    <t>330 Andrew Drive</t>
  </si>
  <si>
    <t>30673-2134</t>
  </si>
  <si>
    <t>11-057-758314931 015</t>
  </si>
  <si>
    <t>Barton Village Apartments</t>
  </si>
  <si>
    <t>18222 Morgan Road</t>
  </si>
  <si>
    <t>39813-8050</t>
  </si>
  <si>
    <t>11-019-570771576 014</t>
  </si>
  <si>
    <t>Carriage Hill Apartments</t>
  </si>
  <si>
    <t>1135 Campbell Avenue, Building A1</t>
  </si>
  <si>
    <t>30728-2149</t>
  </si>
  <si>
    <t>11-046-764584541 013</t>
  </si>
  <si>
    <t>Forrest Hills Apartments</t>
  </si>
  <si>
    <t>25 Forrest Hills Circle</t>
  </si>
  <si>
    <t>30630-2343</t>
  </si>
  <si>
    <t>11-066-902347924 010</t>
  </si>
  <si>
    <t>Greenwood Village Apartments</t>
  </si>
  <si>
    <t>409 E Jefferson Street</t>
  </si>
  <si>
    <t>39851-3346</t>
  </si>
  <si>
    <t>11-030-553166692 012</t>
  </si>
  <si>
    <t>Jasmine Lane Apartments</t>
  </si>
  <si>
    <t>600 Buckeye Road</t>
  </si>
  <si>
    <t>31027-8310</t>
  </si>
  <si>
    <t>11-087-723170527 024</t>
  </si>
  <si>
    <t>Marshall Lane Apartments</t>
  </si>
  <si>
    <t>310 Sleepy Hollow Road</t>
  </si>
  <si>
    <t>31057-9628</t>
  </si>
  <si>
    <t>11-096-725191669 011</t>
  </si>
  <si>
    <t>Meadowbrook Lane</t>
  </si>
  <si>
    <t>140 Lonnie Lane</t>
  </si>
  <si>
    <t>31709-4913</t>
  </si>
  <si>
    <t>11-045-893738106 011</t>
  </si>
  <si>
    <t>Oak Lane Apartments</t>
  </si>
  <si>
    <t>344 Martin Luther King, Jr. Blvd</t>
  </si>
  <si>
    <t>30635-1554</t>
  </si>
  <si>
    <t>11-052-772542592 011</t>
  </si>
  <si>
    <t>Pecan Grove Apartments</t>
  </si>
  <si>
    <t>647 Ferncrest Drive</t>
  </si>
  <si>
    <t>31082-1303</t>
  </si>
  <si>
    <t>11-050-696826201 019</t>
  </si>
  <si>
    <t xml:space="preserve"> The applicant has visited the 13 sites with the project architect, general contractor and major subcontractors, has ordered and received a draft capital needs assessment, and is working with the general contractor to complete the scope of work for each project. At the time of pre-application submission, the scope of work will be complete for all projects, and the general contractor will be ready to move forward when the project is funded. Additionally, CAHEC Management is currently managing the property (and will continue to do so after construction) and will provide continuous property updates during the time from application to construction start. This will ensure rehab and resident needs will be current and incorporated in the transaction as the property moves towards a closing date and construction start.   </t>
  </si>
  <si>
    <t xml:space="preserve">The subject property is part of a 13 property portfolio. Currently there are approximately 250 USDA RD 515 properties located throughout rural GA that were built prior to 1992 and have not been recapitalized (the subject portfolio average property age is 35 years).  Financing options to modernize this state wide portfolio are limited due to property small size, location and competitiveness for housing preservation resources. Portfolio transactions are a proven structure that can address this housing need at a scale that is commensurate with the need.  One benefit of a portfolio transaction is the flexibility to include properties of varying economic strength; allowing certain properties, that by themselves, would struggle to obtain the needed resources for a sustainable recapitalization.  There are properties in this portfolio with certain application metrics that are not as compelling as new construction projects located in urban or suburban areas, however, the need for maintaining and improving this housing is probably best represented by the portfolio's overall 2-year trailing occupancy of 98%.  These occupancy levels indicate the need for this housing and the average property age indicates the need for rehabilitation to maintain housing quality for these residents.  </t>
  </si>
  <si>
    <t>Credit Reports, Travel, Annual Software, Tenant Relations</t>
  </si>
  <si>
    <t>2023PA-###</t>
  </si>
  <si>
    <t>RD 538 Loan Interest</t>
  </si>
  <si>
    <t>Private Based Rental Assistance</t>
  </si>
  <si>
    <t>2023 RD Budget / 2022 Utility Study</t>
  </si>
  <si>
    <t>The utility study did not breakdown the electrical costs by activity (heat, cooking, hot water, air conditioning, range/microwave, refrigerator, other). All electrical utility allowances are combined in the Heat line item (row 12).</t>
  </si>
  <si>
    <t>40% of Units at 60% of AMI</t>
  </si>
  <si>
    <t>There is no minority- and women-owned business engagement expected for this project.</t>
  </si>
  <si>
    <t>The average county vacancy rate throughout the portfolio is 15.4%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</si>
</sst>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09">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2" fillId="5" borderId="128" xfId="1" applyNumberFormat="1" applyFont="1" applyFill="1" applyBorder="1" applyAlignment="1" applyProtection="1">
      <alignment horizontal="left" vertical="top" wrapText="1"/>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3" fillId="5" borderId="125" xfId="1" applyNumberFormat="1" applyFont="1" applyFill="1" applyBorder="1" applyAlignment="1" applyProtection="1">
      <alignment horizontal="right" vertical="center"/>
      <protection locked="0"/>
    </xf>
    <xf numFmtId="38" fontId="3" fillId="5" borderId="127"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3" fillId="5" borderId="105" xfId="1" applyNumberFormat="1" applyFont="1" applyFill="1" applyBorder="1" applyAlignment="1" applyProtection="1">
      <alignment horizontal="right" vertical="center"/>
      <protection locked="0"/>
    </xf>
    <xf numFmtId="38" fontId="3" fillId="5" borderId="106"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3" fillId="5" borderId="125" xfId="1" applyNumberFormat="1" applyFont="1" applyFill="1" applyBorder="1" applyAlignment="1" applyProtection="1">
      <alignment vertical="center"/>
      <protection locked="0"/>
    </xf>
    <xf numFmtId="38" fontId="3" fillId="5" borderId="127" xfId="1" applyNumberFormat="1" applyFont="1" applyFill="1" applyBorder="1" applyAlignment="1" applyProtection="1">
      <alignment vertical="center"/>
      <protection locked="0"/>
    </xf>
    <xf numFmtId="3" fontId="3" fillId="5" borderId="125" xfId="0" applyNumberFormat="1" applyFont="1" applyFill="1" applyBorder="1" applyAlignment="1" applyProtection="1">
      <alignment horizontal="right" vertical="center"/>
      <protection locked="0"/>
    </xf>
    <xf numFmtId="3" fontId="3" fillId="5" borderId="127" xfId="0"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vertical="center"/>
      <protection locked="0"/>
    </xf>
    <xf numFmtId="38" fontId="3" fillId="5" borderId="31" xfId="1" applyNumberFormat="1" applyFont="1" applyFill="1" applyBorder="1" applyAlignment="1" applyProtection="1">
      <alignment vertical="center"/>
      <protection locked="0"/>
    </xf>
    <xf numFmtId="3" fontId="3" fillId="5" borderId="30" xfId="0" applyNumberFormat="1" applyFont="1" applyFill="1" applyBorder="1" applyAlignment="1" applyProtection="1">
      <alignment horizontal="right" vertical="center"/>
      <protection locked="0"/>
    </xf>
    <xf numFmtId="3" fontId="3" fillId="5" borderId="31" xfId="0"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horizontal="right" vertical="center"/>
      <protection locked="0"/>
    </xf>
    <xf numFmtId="38" fontId="3"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6"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10" fontId="9" fillId="5" borderId="75" xfId="33" applyNumberFormat="1" applyFont="1" applyFill="1" applyBorder="1" applyAlignment="1" applyProtection="1">
      <alignment horizontal="center" vertical="center" wrapText="1"/>
      <protection locked="0"/>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cols>
    <col min="1" max="1" width="171.44140625" customWidth="1"/>
  </cols>
  <sheetData>
    <row r="1" spans="1:6" ht="15" customHeight="1">
      <c r="A1" s="665" t="s">
        <v>915</v>
      </c>
    </row>
    <row r="2" spans="1:6" ht="15" customHeight="1">
      <c r="A2" s="666" t="str">
        <f>'Part I-Project Identification'!F25</f>
        <v>Brightwood Lane Apartments</v>
      </c>
    </row>
    <row r="3" spans="1:6" ht="15" customHeight="1">
      <c r="A3" s="666" t="str">
        <f>CONCATENATE('Part I-Project Identification'!F26,", ", 'Part I-Project Identification'!J26," County")</f>
        <v>Washington, Wilkes County</v>
      </c>
    </row>
    <row r="4" spans="1:6" ht="12" customHeight="1">
      <c r="A4" s="1121"/>
    </row>
    <row r="5" spans="1:6" ht="72" customHeight="1">
      <c r="A5" s="3026" t="s">
        <v>6072</v>
      </c>
      <c r="B5" s="3027" t="s">
        <v>3896</v>
      </c>
      <c r="C5" s="3027"/>
      <c r="D5" s="3027"/>
      <c r="E5" s="3027"/>
      <c r="F5" s="3027"/>
    </row>
    <row r="6" spans="1:6" ht="6.6" customHeight="1">
      <c r="A6" s="3026"/>
      <c r="B6" s="3027"/>
      <c r="C6" s="3027"/>
      <c r="D6" s="3027"/>
      <c r="E6" s="3027"/>
      <c r="F6" s="3027"/>
    </row>
    <row r="7" spans="1:6" ht="72" customHeight="1">
      <c r="A7" s="3026"/>
      <c r="B7" s="3027"/>
      <c r="C7" s="3027"/>
      <c r="D7" s="3027"/>
      <c r="E7" s="3027"/>
      <c r="F7" s="3027"/>
    </row>
    <row r="8" spans="1:6" ht="6.6" customHeight="1">
      <c r="A8" s="3026"/>
    </row>
    <row r="9" spans="1:6" ht="72" customHeight="1">
      <c r="A9" s="3026"/>
    </row>
    <row r="10" spans="1:6" ht="6.6" customHeight="1">
      <c r="A10" s="3026"/>
    </row>
    <row r="11" spans="1:6" ht="72" customHeight="1">
      <c r="A11" s="3026"/>
    </row>
    <row r="12" spans="1:6" ht="6.6" customHeight="1">
      <c r="A12" s="3026"/>
    </row>
    <row r="13" spans="1:6" ht="72" customHeight="1">
      <c r="A13" s="3026"/>
    </row>
    <row r="14" spans="1:6" ht="6.6" customHeight="1">
      <c r="A14" s="3026"/>
    </row>
    <row r="15" spans="1:6" ht="72" customHeight="1">
      <c r="A15" s="3026"/>
    </row>
    <row r="16" spans="1:6" ht="6.6" customHeight="1">
      <c r="A16" s="3026"/>
    </row>
    <row r="17" spans="1:1" ht="72" customHeight="1">
      <c r="A17" s="3026"/>
    </row>
    <row r="18" spans="1:1" ht="6.6" customHeight="1">
      <c r="A18" s="3026"/>
    </row>
    <row r="19" spans="1:1" ht="72" customHeight="1">
      <c r="A19" s="3026"/>
    </row>
    <row r="20" spans="1:1" ht="6.6" customHeight="1">
      <c r="A20" s="3026"/>
    </row>
    <row r="21" spans="1:1" ht="72" customHeight="1">
      <c r="A21" s="3026"/>
    </row>
    <row r="22" spans="1:1" ht="6.6" customHeight="1">
      <c r="A22" s="3026"/>
    </row>
    <row r="23" spans="1:1" ht="72" customHeight="1">
      <c r="A23" s="302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O13" sqref="O13"/>
    </sheetView>
  </sheetViews>
  <sheetFormatPr defaultColWidth="9.33203125" defaultRowHeight="13.8"/>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ustomWidth="1"/>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681"/>
    <col min="27" max="16384" width="9.33203125" style="145"/>
  </cols>
  <sheetData>
    <row r="1" spans="1:26" s="1705" customFormat="1" ht="9" hidden="1" customHeight="1">
      <c r="A1" s="1704"/>
      <c r="B1" s="1704" t="s">
        <v>6307</v>
      </c>
      <c r="C1" s="1704"/>
      <c r="D1" s="1704"/>
      <c r="E1" s="1704"/>
      <c r="F1" s="1704" t="s">
        <v>6308</v>
      </c>
      <c r="G1" s="1704" t="s">
        <v>6309</v>
      </c>
      <c r="H1" s="1704" t="s">
        <v>6310</v>
      </c>
      <c r="I1" s="1704" t="s">
        <v>6311</v>
      </c>
      <c r="J1" s="1704" t="s">
        <v>6312</v>
      </c>
      <c r="K1" s="1704" t="s">
        <v>6313</v>
      </c>
      <c r="L1" s="1704"/>
      <c r="M1" s="1704"/>
      <c r="N1" s="1704" t="s">
        <v>6314</v>
      </c>
      <c r="O1" s="1704" t="s">
        <v>6315</v>
      </c>
      <c r="P1" s="1704" t="s">
        <v>6316</v>
      </c>
      <c r="Z1" s="1706">
        <v>1</v>
      </c>
    </row>
    <row r="2" spans="1:26" s="144" customFormat="1" ht="14.1" customHeight="1">
      <c r="A2" s="3068" t="str">
        <f>CONCATENATE("PART ONE - PROJECT INFORMATION"," - ",$O$7," ",$F$25,", ",'Part I-Project Identification'!F26,", ",'Part I-Project Identification'!J26," County")</f>
        <v>PART ONE - PROJECT INFORMATION - 2023-5 Brightwood Lane Apartments, Washington, Wilkes County</v>
      </c>
      <c r="B2" s="3069"/>
      <c r="C2" s="3069"/>
      <c r="D2" s="3069"/>
      <c r="E2" s="3069"/>
      <c r="F2" s="3069"/>
      <c r="G2" s="3069"/>
      <c r="H2" s="3069"/>
      <c r="I2" s="3069"/>
      <c r="J2" s="3069"/>
      <c r="K2" s="3069"/>
      <c r="L2" s="3069"/>
      <c r="M2" s="3069"/>
      <c r="N2" s="3069"/>
      <c r="O2" s="3069"/>
      <c r="P2" s="3070"/>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82" t="s">
        <v>6746</v>
      </c>
      <c r="B4" s="3082"/>
      <c r="C4" s="3082"/>
      <c r="D4" s="3082"/>
      <c r="E4" s="3082"/>
      <c r="F4" s="3082"/>
      <c r="G4" s="3082"/>
      <c r="H4" s="3082"/>
      <c r="I4" s="3082"/>
      <c r="J4" s="3082"/>
      <c r="K4" s="3082"/>
      <c r="L4" s="3082"/>
      <c r="M4" s="3082"/>
      <c r="N4" s="3082"/>
      <c r="O4" s="3082"/>
      <c r="P4" s="3082"/>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83" t="s">
        <v>7035</v>
      </c>
      <c r="B6" s="3083"/>
      <c r="C6" s="3083"/>
      <c r="D6" s="3083"/>
      <c r="F6" s="242"/>
      <c r="G6" s="224" t="s">
        <v>3824</v>
      </c>
      <c r="L6" s="375"/>
      <c r="P6" s="1788" t="s">
        <v>3290</v>
      </c>
      <c r="Z6" s="1706">
        <v>6</v>
      </c>
    </row>
    <row r="7" spans="1:26" s="144" customFormat="1" ht="12" customHeight="1" thickBot="1">
      <c r="A7" s="3083"/>
      <c r="B7" s="3083"/>
      <c r="C7" s="3083"/>
      <c r="D7" s="3083"/>
      <c r="E7" s="999"/>
      <c r="F7" s="244"/>
      <c r="G7" s="224" t="s">
        <v>6084</v>
      </c>
      <c r="H7" s="248"/>
      <c r="I7" s="248"/>
      <c r="J7" s="248"/>
      <c r="O7" s="3071" t="s">
        <v>7034</v>
      </c>
      <c r="P7" s="3072"/>
      <c r="Q7" s="3029" t="s">
        <v>6635</v>
      </c>
      <c r="R7" s="3029"/>
      <c r="S7" s="3030"/>
      <c r="Z7" s="1706">
        <v>7</v>
      </c>
    </row>
    <row r="8" spans="1:26" s="144" customFormat="1" ht="12" customHeight="1">
      <c r="A8" s="3083"/>
      <c r="B8" s="3083"/>
      <c r="C8" s="3083"/>
      <c r="D8" s="3083"/>
      <c r="E8" s="999"/>
      <c r="F8" s="408"/>
      <c r="G8" s="147" t="s">
        <v>2959</v>
      </c>
      <c r="H8" s="248"/>
      <c r="I8" s="248"/>
      <c r="J8" s="248"/>
      <c r="Q8" s="3031"/>
      <c r="R8" s="3032"/>
      <c r="S8" s="3033"/>
      <c r="Z8" s="1706">
        <v>8</v>
      </c>
    </row>
    <row r="9" spans="1:26" s="144" customFormat="1" ht="6" customHeight="1">
      <c r="A9" s="375"/>
      <c r="E9" s="248"/>
      <c r="H9" s="248"/>
      <c r="I9" s="248"/>
      <c r="M9" s="248"/>
      <c r="Q9" s="3031"/>
      <c r="R9" s="3032"/>
      <c r="S9" s="3033"/>
      <c r="Z9" s="1706">
        <v>9</v>
      </c>
    </row>
    <row r="10" spans="1:26" s="144" customFormat="1" ht="13.35" customHeight="1">
      <c r="A10" s="243" t="s">
        <v>573</v>
      </c>
      <c r="B10" s="243" t="s">
        <v>2192</v>
      </c>
      <c r="D10" s="145"/>
      <c r="E10" s="245"/>
      <c r="F10" s="246" t="s">
        <v>3267</v>
      </c>
      <c r="I10" s="3073">
        <f>'Part III-A-Uses of Funds'!$J$191</f>
        <v>206805</v>
      </c>
      <c r="J10" s="3074"/>
      <c r="L10" s="144" t="s">
        <v>3268</v>
      </c>
      <c r="O10" s="3075">
        <f>'Part II-Sources of Funds'!$I$6</f>
        <v>0</v>
      </c>
      <c r="P10" s="3076"/>
      <c r="Q10" s="3031"/>
      <c r="R10" s="3032"/>
      <c r="S10" s="3033"/>
      <c r="Z10" s="1706">
        <v>10</v>
      </c>
    </row>
    <row r="11" spans="1:26" s="144" customFormat="1" ht="6" customHeight="1">
      <c r="A11" s="243"/>
      <c r="B11" s="243"/>
      <c r="D11" s="145"/>
      <c r="E11" s="245"/>
      <c r="F11" s="245"/>
      <c r="I11" s="222"/>
      <c r="N11" s="247"/>
      <c r="Q11" s="3031"/>
      <c r="R11" s="3032"/>
      <c r="S11" s="3033"/>
      <c r="Z11" s="1706">
        <v>11</v>
      </c>
    </row>
    <row r="12" spans="1:26" s="144" customFormat="1">
      <c r="A12" s="222" t="s">
        <v>689</v>
      </c>
      <c r="B12" s="243" t="s">
        <v>1891</v>
      </c>
      <c r="F12" s="3077" t="s">
        <v>7037</v>
      </c>
      <c r="G12" s="3078"/>
      <c r="H12" s="3079"/>
      <c r="I12" s="1789" t="s">
        <v>6518</v>
      </c>
      <c r="J12" s="393" t="s">
        <v>6943</v>
      </c>
      <c r="K12" s="243"/>
      <c r="L12" s="248"/>
      <c r="O12" s="3080" t="s">
        <v>7164</v>
      </c>
      <c r="P12" s="3081"/>
      <c r="Q12" s="3031"/>
      <c r="R12" s="3032"/>
      <c r="S12" s="3033"/>
      <c r="Z12" s="1706">
        <v>12</v>
      </c>
    </row>
    <row r="13" spans="1:26" s="144" customFormat="1">
      <c r="A13" s="375"/>
      <c r="B13" s="145"/>
      <c r="C13" s="145"/>
      <c r="D13" s="145"/>
      <c r="E13" s="145"/>
      <c r="H13" s="248"/>
      <c r="J13" s="394"/>
      <c r="K13" s="222"/>
      <c r="M13" s="248"/>
      <c r="Q13" s="3031"/>
      <c r="R13" s="3032"/>
      <c r="S13" s="3033"/>
      <c r="Z13" s="1706">
        <v>13</v>
      </c>
    </row>
    <row r="14" spans="1:26" s="144" customFormat="1">
      <c r="A14" s="222" t="s">
        <v>691</v>
      </c>
      <c r="B14" s="243" t="s">
        <v>3673</v>
      </c>
      <c r="D14" s="246"/>
      <c r="E14" s="245"/>
      <c r="G14" s="245"/>
      <c r="H14" s="245"/>
      <c r="I14" s="751" t="s">
        <v>3295</v>
      </c>
      <c r="L14" s="247"/>
      <c r="Q14" s="3031"/>
      <c r="R14" s="3032"/>
      <c r="S14" s="3033"/>
      <c r="Z14" s="1706">
        <v>14</v>
      </c>
    </row>
    <row r="15" spans="1:26" s="144" customFormat="1">
      <c r="B15" s="144" t="s">
        <v>3296</v>
      </c>
      <c r="F15" s="3058" t="s">
        <v>7038</v>
      </c>
      <c r="G15" s="3059"/>
      <c r="H15" s="3060"/>
      <c r="I15" s="2437" t="s">
        <v>1670</v>
      </c>
      <c r="J15" s="3061" t="s">
        <v>7039</v>
      </c>
      <c r="K15" s="3062"/>
      <c r="L15" s="3063"/>
      <c r="M15" s="1898" t="s">
        <v>1839</v>
      </c>
      <c r="N15" s="3058" t="s">
        <v>7040</v>
      </c>
      <c r="O15" s="3059"/>
      <c r="P15" s="3060"/>
      <c r="Q15" s="3031"/>
      <c r="R15" s="3032"/>
      <c r="S15" s="3033"/>
      <c r="Z15" s="1706">
        <v>15</v>
      </c>
    </row>
    <row r="16" spans="1:26" s="144" customFormat="1" ht="12.75" customHeight="1">
      <c r="B16" s="246" t="s">
        <v>1599</v>
      </c>
      <c r="F16" s="3052">
        <v>8034196528</v>
      </c>
      <c r="G16" s="3053"/>
      <c r="H16" s="3054"/>
      <c r="I16" s="2438" t="s">
        <v>1598</v>
      </c>
      <c r="J16" s="823"/>
      <c r="M16" s="246" t="s">
        <v>1600</v>
      </c>
      <c r="N16" s="3052"/>
      <c r="O16" s="3053"/>
      <c r="P16" s="3054"/>
      <c r="Q16" s="3031"/>
      <c r="R16" s="3032"/>
      <c r="S16" s="3033"/>
      <c r="V16" s="751"/>
      <c r="W16" s="751"/>
      <c r="X16" s="751"/>
      <c r="Z16" s="1706">
        <v>18</v>
      </c>
    </row>
    <row r="17" spans="1:26" s="144" customFormat="1">
      <c r="B17" s="246" t="s">
        <v>1842</v>
      </c>
      <c r="F17" s="3086" t="s">
        <v>7043</v>
      </c>
      <c r="G17" s="3087"/>
      <c r="H17" s="3087"/>
      <c r="I17" s="3062"/>
      <c r="J17" s="3087"/>
      <c r="K17" s="3062"/>
      <c r="L17" s="3063"/>
      <c r="M17" s="246" t="s">
        <v>1838</v>
      </c>
      <c r="N17" s="3055">
        <v>9193488695</v>
      </c>
      <c r="O17" s="3056"/>
      <c r="P17" s="3057"/>
      <c r="Q17" s="3031"/>
      <c r="R17" s="3032"/>
      <c r="S17" s="3033"/>
      <c r="U17" s="751"/>
      <c r="V17" s="751"/>
      <c r="W17" s="751"/>
      <c r="X17" s="751"/>
      <c r="Z17" s="1706">
        <v>19</v>
      </c>
    </row>
    <row r="18" spans="1:26" s="144" customFormat="1">
      <c r="A18" s="375"/>
      <c r="B18" s="243" t="s">
        <v>3672</v>
      </c>
      <c r="C18" s="145"/>
      <c r="H18" s="248"/>
      <c r="J18" s="145"/>
      <c r="P18" s="248"/>
      <c r="Q18" s="3031"/>
      <c r="R18" s="3032"/>
      <c r="S18" s="3033"/>
      <c r="Z18" s="1706">
        <v>20</v>
      </c>
    </row>
    <row r="19" spans="1:26" s="144" customFormat="1">
      <c r="B19" s="144" t="s">
        <v>3296</v>
      </c>
      <c r="F19" s="3058" t="s">
        <v>7038</v>
      </c>
      <c r="G19" s="3059"/>
      <c r="H19" s="3060"/>
      <c r="I19" s="2437" t="s">
        <v>1670</v>
      </c>
      <c r="J19" s="3061" t="s">
        <v>7042</v>
      </c>
      <c r="K19" s="3062"/>
      <c r="L19" s="3063"/>
      <c r="M19" s="1898" t="s">
        <v>1839</v>
      </c>
      <c r="N19" s="3058" t="s">
        <v>7041</v>
      </c>
      <c r="O19" s="3059"/>
      <c r="P19" s="3060"/>
      <c r="Q19" s="3031"/>
      <c r="R19" s="3032"/>
      <c r="S19" s="3033"/>
      <c r="Z19" s="1706">
        <v>21</v>
      </c>
    </row>
    <row r="20" spans="1:26" s="144" customFormat="1">
      <c r="B20" s="246" t="s">
        <v>1599</v>
      </c>
      <c r="F20" s="3052">
        <v>8034196528</v>
      </c>
      <c r="G20" s="3053"/>
      <c r="H20" s="3054"/>
      <c r="I20" s="2438" t="s">
        <v>1598</v>
      </c>
      <c r="J20" s="823"/>
      <c r="M20" s="246" t="s">
        <v>1600</v>
      </c>
      <c r="N20" s="3052"/>
      <c r="O20" s="3053"/>
      <c r="P20" s="3054"/>
      <c r="Q20" s="3031"/>
      <c r="R20" s="3032"/>
      <c r="S20" s="3033"/>
      <c r="U20" s="230"/>
      <c r="V20" s="230"/>
      <c r="W20" s="230"/>
      <c r="X20" s="230"/>
      <c r="Z20" s="1706">
        <v>24</v>
      </c>
    </row>
    <row r="21" spans="1:26" s="144" customFormat="1">
      <c r="B21" s="246" t="s">
        <v>1842</v>
      </c>
      <c r="F21" s="3086" t="s">
        <v>7044</v>
      </c>
      <c r="G21" s="3087"/>
      <c r="H21" s="3087"/>
      <c r="I21" s="3062"/>
      <c r="J21" s="3087"/>
      <c r="K21" s="3062"/>
      <c r="L21" s="3063"/>
      <c r="M21" s="246" t="s">
        <v>1838</v>
      </c>
      <c r="N21" s="3055">
        <v>8032405640</v>
      </c>
      <c r="O21" s="3056"/>
      <c r="P21" s="3057"/>
      <c r="Q21" s="3031"/>
      <c r="R21" s="3032"/>
      <c r="S21" s="3033"/>
      <c r="Z21" s="1706">
        <v>25</v>
      </c>
    </row>
    <row r="22" spans="1:26" s="144" customFormat="1">
      <c r="I22" s="145"/>
      <c r="J22" s="145"/>
      <c r="K22" s="145"/>
      <c r="L22" s="145"/>
      <c r="M22" s="145"/>
      <c r="N22" s="145"/>
      <c r="O22" s="145"/>
      <c r="P22" s="145"/>
      <c r="Q22" s="3031"/>
      <c r="R22" s="3032"/>
      <c r="S22" s="3033"/>
      <c r="Z22" s="1706">
        <v>26</v>
      </c>
    </row>
    <row r="23" spans="1:26" s="144" customFormat="1">
      <c r="A23" s="222" t="s">
        <v>1666</v>
      </c>
      <c r="B23" s="243" t="s">
        <v>1381</v>
      </c>
      <c r="D23" s="145"/>
      <c r="E23" s="245"/>
      <c r="F23" s="245"/>
      <c r="G23" s="246"/>
      <c r="H23" s="245"/>
      <c r="I23" s="245"/>
      <c r="J23" s="245"/>
      <c r="Q23" s="3031"/>
      <c r="R23" s="3032"/>
      <c r="S23" s="3033"/>
      <c r="Z23" s="1706">
        <v>27</v>
      </c>
    </row>
    <row r="24" spans="1:26" s="144" customFormat="1" ht="1.5" customHeight="1">
      <c r="A24" s="222"/>
      <c r="B24" s="243"/>
      <c r="D24" s="145"/>
      <c r="E24" s="245"/>
      <c r="F24" s="245"/>
      <c r="G24" s="246"/>
      <c r="H24" s="245"/>
      <c r="I24" s="245"/>
      <c r="J24" s="245"/>
      <c r="L24" s="247"/>
      <c r="M24" s="247"/>
      <c r="Q24" s="3031"/>
      <c r="R24" s="3032"/>
      <c r="S24" s="3033"/>
      <c r="Z24" s="1706">
        <v>28</v>
      </c>
    </row>
    <row r="25" spans="1:26" s="144" customFormat="1" ht="13.35" customHeight="1">
      <c r="A25" s="243"/>
      <c r="B25" s="144" t="s">
        <v>574</v>
      </c>
      <c r="D25" s="243"/>
      <c r="F25" s="3061" t="s">
        <v>7045</v>
      </c>
      <c r="G25" s="3088"/>
      <c r="H25" s="3088"/>
      <c r="I25" s="3062"/>
      <c r="J25" s="3088"/>
      <c r="K25" s="3089"/>
      <c r="M25" s="246" t="s">
        <v>425</v>
      </c>
      <c r="P25" s="1899" t="s">
        <v>2649</v>
      </c>
      <c r="Q25" s="3031"/>
      <c r="R25" s="3032"/>
      <c r="S25" s="3033"/>
      <c r="Z25" s="1706">
        <v>29</v>
      </c>
    </row>
    <row r="26" spans="1:26" s="144" customFormat="1">
      <c r="A26" s="375"/>
      <c r="B26" s="144" t="s">
        <v>575</v>
      </c>
      <c r="F26" s="3039" t="s">
        <v>100</v>
      </c>
      <c r="G26" s="3066"/>
      <c r="H26" s="3067"/>
      <c r="I26" s="257" t="s">
        <v>576</v>
      </c>
      <c r="J26" s="3064" t="str">
        <f>IF(F26="","",VLOOKUP(F26,'DCA Underwriting Assumptions'!$T$141:$U$770,2,FALSE))</f>
        <v>Wilkes</v>
      </c>
      <c r="K26" s="3065"/>
      <c r="M26" s="246" t="s">
        <v>426</v>
      </c>
      <c r="P26" s="1956" t="s">
        <v>2652</v>
      </c>
      <c r="Q26" s="3031"/>
      <c r="R26" s="3032"/>
      <c r="S26" s="3033"/>
      <c r="U26" s="375"/>
      <c r="Z26" s="1706">
        <v>30</v>
      </c>
    </row>
    <row r="27" spans="1:26" s="144" customFormat="1">
      <c r="A27" s="375"/>
      <c r="B27" s="144" t="s">
        <v>3907</v>
      </c>
      <c r="C27" s="251"/>
      <c r="D27" s="252"/>
      <c r="E27" s="252"/>
      <c r="F27" s="3039" t="s">
        <v>7046</v>
      </c>
      <c r="G27" s="3040"/>
      <c r="H27" s="3041"/>
      <c r="I27" s="248"/>
      <c r="J27" s="392" t="s">
        <v>6724</v>
      </c>
      <c r="K27" s="248"/>
      <c r="M27" s="246" t="s">
        <v>6667</v>
      </c>
      <c r="O27" s="3084">
        <v>3.44</v>
      </c>
      <c r="P27" s="3085"/>
      <c r="Q27" s="3031"/>
      <c r="R27" s="3032"/>
      <c r="S27" s="3033"/>
      <c r="Z27" s="1706">
        <v>31</v>
      </c>
    </row>
    <row r="28" spans="1:26" s="144" customFormat="1">
      <c r="A28" s="375"/>
      <c r="B28" s="144" t="s">
        <v>1455</v>
      </c>
      <c r="F28" s="1261" t="s">
        <v>2649</v>
      </c>
      <c r="G28" s="820"/>
      <c r="I28" s="1955"/>
      <c r="J28" s="248" t="s">
        <v>2499</v>
      </c>
      <c r="K28" s="1957" t="str">
        <f>IF(F28="Yes","Rural","Urban")</f>
        <v>Rural</v>
      </c>
      <c r="M28" s="246" t="s">
        <v>2399</v>
      </c>
      <c r="N28" s="1958" t="str">
        <f>VLOOKUP($J$26,'DCA Underwriting Assumptions'!$G$141:$J$300,4)</f>
        <v>Non-MSA</v>
      </c>
      <c r="O28" s="3064" t="str">
        <f>IF($F$26="","",VLOOKUP($J$26,'DCA Underwriting Assumptions'!$G$141:$L$300,3,FALSE))</f>
        <v>Wilkes Co.</v>
      </c>
      <c r="P28" s="3065"/>
      <c r="Q28" s="3031"/>
      <c r="R28" s="3032"/>
      <c r="S28" s="3033"/>
      <c r="Z28" s="1706">
        <v>32</v>
      </c>
    </row>
    <row r="29" spans="1:26" s="144" customFormat="1">
      <c r="A29" s="375"/>
      <c r="B29" s="375"/>
      <c r="C29" s="251"/>
      <c r="D29" s="252"/>
      <c r="E29" s="252"/>
      <c r="F29" s="248"/>
      <c r="G29" s="248"/>
      <c r="H29" s="248"/>
      <c r="I29" s="248"/>
      <c r="J29" s="252"/>
      <c r="K29" s="248"/>
      <c r="L29" s="248"/>
      <c r="P29" s="248"/>
      <c r="Q29" s="3031"/>
      <c r="R29" s="3032"/>
      <c r="S29" s="3033"/>
      <c r="Z29" s="1706">
        <v>33</v>
      </c>
    </row>
    <row r="30" spans="1:26" s="144" customFormat="1">
      <c r="A30" s="222" t="s">
        <v>1668</v>
      </c>
      <c r="B30" s="222" t="s">
        <v>6654</v>
      </c>
      <c r="D30" s="253"/>
      <c r="E30" s="253"/>
      <c r="F30" s="253"/>
      <c r="G30" s="248"/>
      <c r="H30" s="248"/>
      <c r="I30" s="248"/>
      <c r="J30" s="252"/>
      <c r="K30" s="248"/>
      <c r="L30" s="248"/>
      <c r="P30" s="1937"/>
      <c r="Q30" s="3031"/>
      <c r="R30" s="3032"/>
      <c r="S30" s="3033"/>
      <c r="Z30" s="1706">
        <v>34</v>
      </c>
    </row>
    <row r="31" spans="1:26" s="144" customFormat="1" ht="2.25" customHeight="1">
      <c r="A31" s="375"/>
      <c r="B31" s="375"/>
      <c r="M31" s="246"/>
      <c r="N31" s="1214"/>
      <c r="O31" s="1214"/>
      <c r="P31" s="1551"/>
      <c r="Q31" s="3031"/>
      <c r="R31" s="3032"/>
      <c r="S31" s="3033"/>
      <c r="Z31" s="1706">
        <v>35</v>
      </c>
    </row>
    <row r="32" spans="1:26" s="144" customFormat="1">
      <c r="A32" s="375"/>
      <c r="B32" s="222" t="s">
        <v>6653</v>
      </c>
      <c r="D32" s="817"/>
      <c r="E32" s="817"/>
      <c r="F32" s="817"/>
      <c r="G32" s="817"/>
      <c r="H32" s="248"/>
      <c r="J32" s="145"/>
      <c r="K32" s="252"/>
      <c r="P32" s="248"/>
      <c r="Q32" s="3031"/>
      <c r="R32" s="3032"/>
      <c r="S32" s="3033"/>
      <c r="Z32" s="1706">
        <v>36</v>
      </c>
    </row>
    <row r="33" spans="1:26" s="144" customFormat="1" ht="1.5" customHeight="1">
      <c r="A33" s="375"/>
      <c r="B33" s="375"/>
      <c r="C33" s="222"/>
      <c r="D33" s="817"/>
      <c r="E33" s="817"/>
      <c r="F33" s="817"/>
      <c r="G33" s="817"/>
      <c r="H33" s="248"/>
      <c r="J33" s="145"/>
      <c r="K33" s="252"/>
      <c r="P33" s="248"/>
      <c r="Q33" s="3031"/>
      <c r="R33" s="3032"/>
      <c r="S33" s="3033"/>
      <c r="Z33" s="1706">
        <v>37</v>
      </c>
    </row>
    <row r="34" spans="1:26" s="144" customFormat="1" ht="13.5" hidden="1" customHeight="1">
      <c r="A34" s="375"/>
      <c r="B34" s="375"/>
      <c r="C34" s="144" t="s">
        <v>1208</v>
      </c>
      <c r="D34" s="258"/>
      <c r="I34" s="1248"/>
      <c r="K34" s="243"/>
      <c r="L34" s="144" t="s">
        <v>3086</v>
      </c>
      <c r="P34" s="1892"/>
      <c r="Q34" s="3031"/>
      <c r="R34" s="3032"/>
      <c r="S34" s="3033"/>
      <c r="Z34" s="1706">
        <v>38</v>
      </c>
    </row>
    <row r="35" spans="1:26" s="144" customFormat="1" ht="12.75" hidden="1" customHeight="1">
      <c r="A35" s="375"/>
      <c r="B35" s="243"/>
      <c r="C35" s="144" t="s">
        <v>3933</v>
      </c>
      <c r="I35" s="1886"/>
      <c r="J35" s="257" t="s">
        <v>2483</v>
      </c>
      <c r="O35" s="3037"/>
      <c r="P35" s="3038"/>
      <c r="Q35" s="3031"/>
      <c r="R35" s="3032"/>
      <c r="S35" s="3033"/>
      <c r="Z35" s="1706">
        <v>39</v>
      </c>
    </row>
    <row r="36" spans="1:26" s="144" customFormat="1" ht="12.75" customHeight="1">
      <c r="A36" s="375"/>
      <c r="B36" s="243"/>
      <c r="C36" s="144" t="s">
        <v>1676</v>
      </c>
      <c r="I36" s="1248" t="s">
        <v>2652</v>
      </c>
      <c r="J36" s="257" t="s">
        <v>2483</v>
      </c>
      <c r="O36" s="3048"/>
      <c r="P36" s="3049"/>
      <c r="Q36" s="3031"/>
      <c r="R36" s="3032"/>
      <c r="S36" s="3033"/>
      <c r="Z36" s="1706">
        <v>40</v>
      </c>
    </row>
    <row r="37" spans="1:26" s="144" customFormat="1" ht="12.6" customHeight="1">
      <c r="A37" s="375"/>
      <c r="B37" s="375"/>
      <c r="C37" s="144" t="s">
        <v>2574</v>
      </c>
      <c r="I37" s="862" t="s">
        <v>2652</v>
      </c>
      <c r="J37" s="257" t="s">
        <v>2483</v>
      </c>
      <c r="O37" s="3050"/>
      <c r="P37" s="3051"/>
      <c r="Q37" s="3034"/>
      <c r="R37" s="3035"/>
      <c r="S37" s="3036"/>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42" t="s">
        <v>7047</v>
      </c>
      <c r="B41" s="3043"/>
      <c r="C41" s="3043"/>
      <c r="D41" s="3043"/>
      <c r="E41" s="3043"/>
      <c r="F41" s="3043"/>
      <c r="G41" s="3043"/>
      <c r="H41" s="3043"/>
      <c r="I41" s="3043"/>
      <c r="J41" s="3043"/>
      <c r="K41" s="3043"/>
      <c r="L41" s="3044"/>
      <c r="M41" s="3045"/>
      <c r="N41" s="3046"/>
      <c r="O41" s="3046"/>
      <c r="P41" s="3047"/>
      <c r="Q41" s="3028"/>
      <c r="R41" s="3027"/>
      <c r="S41" s="3027"/>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44140625" style="145" customWidth="1"/>
    <col min="15" max="15" width="9.6640625" style="145" customWidth="1"/>
    <col min="16" max="19" width="6.33203125" style="145" customWidth="1"/>
    <col min="20" max="24" width="11.5546875" style="145" customWidth="1"/>
    <col min="25" max="25" width="9.33203125" style="145"/>
    <col min="26" max="26" width="9.33203125" style="1707"/>
    <col min="27" max="16384" width="9.33203125" style="145"/>
  </cols>
  <sheetData>
    <row r="1" spans="1:26" s="1739" customFormat="1" ht="13.5" hidden="1" customHeight="1">
      <c r="A1" s="1704"/>
      <c r="D1" s="1739" t="s">
        <v>6317</v>
      </c>
      <c r="E1" s="1739" t="s">
        <v>6307</v>
      </c>
      <c r="F1" s="1739" t="s">
        <v>6318</v>
      </c>
      <c r="H1" s="1739" t="s">
        <v>6319</v>
      </c>
      <c r="J1" s="1739" t="s">
        <v>6320</v>
      </c>
      <c r="K1" s="1739" t="s">
        <v>6321</v>
      </c>
      <c r="L1" s="1739" t="s">
        <v>6322</v>
      </c>
      <c r="M1" s="1739" t="s">
        <v>6323</v>
      </c>
      <c r="O1" s="1739" t="s">
        <v>6324</v>
      </c>
      <c r="Q1" s="1739" t="s">
        <v>6325</v>
      </c>
      <c r="Z1" s="1706">
        <v>1</v>
      </c>
    </row>
    <row r="2" spans="1:26" s="144" customFormat="1" ht="14.1" customHeight="1">
      <c r="A2" s="3183" t="str">
        <f>CONCATENATE("PART TWO - DEVELOPMENT TEAM INFORMATION","  -  ",'Part I-Project Identification'!$O$7," ",'Part I-Project Identification'!$F$25,", ",'Part I-Project Identification'!F26,", ",'Part I-Project Identification'!J26," County")</f>
        <v>PART TWO - DEVELOPMENT TEAM INFORMATION  -  2023-5 Brightwood Lane Apartments, Washington, Wilkes County</v>
      </c>
      <c r="B2" s="3184"/>
      <c r="C2" s="3184"/>
      <c r="D2" s="3184"/>
      <c r="E2" s="3184"/>
      <c r="F2" s="3184"/>
      <c r="G2" s="3184"/>
      <c r="H2" s="3184"/>
      <c r="I2" s="3184"/>
      <c r="J2" s="3184"/>
      <c r="K2" s="3184"/>
      <c r="L2" s="3184"/>
      <c r="M2" s="3184"/>
      <c r="N2" s="3184"/>
      <c r="O2" s="3184"/>
      <c r="P2" s="3184"/>
      <c r="Q2" s="3184"/>
      <c r="R2" s="3184"/>
      <c r="S2" s="3185"/>
      <c r="Z2" s="1706">
        <v>2</v>
      </c>
    </row>
    <row r="3" spans="1:26" ht="12" customHeight="1" thickBot="1">
      <c r="A3" s="743" t="s">
        <v>3659</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3461</v>
      </c>
      <c r="O4" s="3187" t="str">
        <f>'Part I-Project Identification'!$A$6</f>
        <v>Sept 2023</v>
      </c>
      <c r="P4" s="3188"/>
      <c r="Q4" s="3188"/>
      <c r="R4" s="3188"/>
      <c r="S4" s="3189"/>
      <c r="Z4" s="1706">
        <v>4</v>
      </c>
    </row>
    <row r="5" spans="1:26" s="144" customFormat="1" ht="8.6999999999999993" customHeight="1">
      <c r="A5" s="243"/>
      <c r="B5" s="243"/>
      <c r="C5" s="243"/>
      <c r="D5" s="222"/>
      <c r="E5" s="222"/>
      <c r="F5" s="222"/>
      <c r="G5" s="222"/>
      <c r="H5" s="222"/>
      <c r="I5" s="222"/>
      <c r="J5" s="222"/>
      <c r="Z5" s="1706">
        <v>5</v>
      </c>
    </row>
    <row r="6" spans="1:26" s="144" customFormat="1" ht="11.25" customHeight="1">
      <c r="B6" s="243" t="s">
        <v>1841</v>
      </c>
      <c r="C6" s="222" t="s">
        <v>1718</v>
      </c>
      <c r="H6" s="3058" t="s">
        <v>87</v>
      </c>
      <c r="I6" s="3108"/>
      <c r="J6" s="3108"/>
      <c r="K6" s="3108"/>
      <c r="L6" s="3108"/>
      <c r="M6" s="3108"/>
      <c r="N6" s="3109"/>
      <c r="O6" s="259" t="s">
        <v>1847</v>
      </c>
      <c r="P6" s="259"/>
      <c r="Q6" s="3058"/>
      <c r="R6" s="3108"/>
      <c r="S6" s="3109"/>
      <c r="Y6" s="839"/>
      <c r="Z6" s="1706">
        <v>6</v>
      </c>
    </row>
    <row r="7" spans="1:26" s="144" customFormat="1" ht="11.25" customHeight="1">
      <c r="D7" s="260"/>
      <c r="E7" s="246" t="s">
        <v>957</v>
      </c>
      <c r="F7" s="247"/>
      <c r="H7" s="3039"/>
      <c r="I7" s="3175"/>
      <c r="J7" s="3175"/>
      <c r="K7" s="3176"/>
      <c r="L7" s="3175"/>
      <c r="M7" s="3175"/>
      <c r="N7" s="3177"/>
      <c r="O7" s="259" t="s">
        <v>1624</v>
      </c>
      <c r="P7" s="261"/>
      <c r="Q7" s="3178"/>
      <c r="R7" s="3179"/>
      <c r="S7" s="3180"/>
      <c r="V7" s="839"/>
      <c r="W7" s="839"/>
      <c r="X7" s="839"/>
      <c r="Y7" s="839"/>
      <c r="Z7" s="1706">
        <v>7</v>
      </c>
    </row>
    <row r="8" spans="1:26" s="144" customFormat="1" ht="11.25" customHeight="1">
      <c r="D8" s="260"/>
      <c r="E8" s="246" t="s">
        <v>575</v>
      </c>
      <c r="H8" s="3039"/>
      <c r="I8" s="3176"/>
      <c r="J8" s="3105"/>
      <c r="K8" s="335" t="s">
        <v>710</v>
      </c>
      <c r="L8" s="3186"/>
      <c r="M8" s="3175"/>
      <c r="N8" s="3177"/>
      <c r="O8" s="259" t="s">
        <v>1600</v>
      </c>
      <c r="P8" s="261"/>
      <c r="Q8" s="3052"/>
      <c r="R8" s="3053"/>
      <c r="S8" s="3054"/>
      <c r="Z8" s="1706">
        <v>8</v>
      </c>
    </row>
    <row r="9" spans="1:26" s="144" customFormat="1" ht="11.25" customHeight="1">
      <c r="D9" s="260"/>
      <c r="E9" s="246" t="s">
        <v>1671</v>
      </c>
      <c r="H9" s="997"/>
      <c r="I9" s="676" t="s">
        <v>2061</v>
      </c>
      <c r="J9" s="3190"/>
      <c r="K9" s="3191"/>
      <c r="L9" s="261" t="s">
        <v>3194</v>
      </c>
      <c r="M9" s="3192"/>
      <c r="N9" s="3193"/>
      <c r="O9" s="259" t="s">
        <v>1838</v>
      </c>
      <c r="P9" s="261"/>
      <c r="Q9" s="3052"/>
      <c r="R9" s="3053"/>
      <c r="S9" s="3054"/>
      <c r="Z9" s="1706">
        <v>9</v>
      </c>
    </row>
    <row r="10" spans="1:26" s="144" customFormat="1" ht="11.25" customHeight="1">
      <c r="D10" s="260"/>
      <c r="E10" s="246" t="s">
        <v>3462</v>
      </c>
      <c r="H10" s="3173"/>
      <c r="I10" s="3194"/>
      <c r="J10" s="711"/>
      <c r="K10" s="262" t="s">
        <v>1842</v>
      </c>
      <c r="L10" s="3106"/>
      <c r="M10" s="3087"/>
      <c r="N10" s="3087"/>
      <c r="O10" s="3062"/>
      <c r="P10" s="3062"/>
      <c r="Q10" s="3087"/>
      <c r="R10" s="3087"/>
      <c r="S10" s="3107"/>
      <c r="Z10" s="1706">
        <v>10</v>
      </c>
    </row>
    <row r="11" spans="1:26" s="144" customFormat="1" ht="11.25" customHeight="1">
      <c r="D11" s="260"/>
      <c r="E11" s="945" t="s">
        <v>3461</v>
      </c>
      <c r="H11" s="263"/>
      <c r="I11" s="261"/>
      <c r="J11" s="261"/>
      <c r="K11" s="304"/>
      <c r="L11" s="261"/>
      <c r="M11" s="261"/>
      <c r="N11" s="336" t="s">
        <v>3136</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58"/>
      <c r="I15" s="3108"/>
      <c r="J15" s="3108"/>
      <c r="K15" s="3108"/>
      <c r="L15" s="3108"/>
      <c r="M15" s="3108"/>
      <c r="N15" s="3109"/>
      <c r="O15" s="259" t="s">
        <v>1847</v>
      </c>
      <c r="P15" s="259"/>
      <c r="Q15" s="3058"/>
      <c r="R15" s="3108"/>
      <c r="S15" s="3109"/>
      <c r="Z15" s="1706">
        <v>15</v>
      </c>
    </row>
    <row r="16" spans="1:26" s="144" customFormat="1" ht="11.25" customHeight="1">
      <c r="D16" s="260"/>
      <c r="E16" s="246" t="s">
        <v>957</v>
      </c>
      <c r="F16" s="247"/>
      <c r="H16" s="3039"/>
      <c r="I16" s="3175"/>
      <c r="J16" s="3175"/>
      <c r="K16" s="3176"/>
      <c r="L16" s="3175"/>
      <c r="M16" s="3175"/>
      <c r="N16" s="3177"/>
      <c r="O16" s="259" t="s">
        <v>1624</v>
      </c>
      <c r="P16" s="261"/>
      <c r="Q16" s="3178"/>
      <c r="R16" s="3179"/>
      <c r="S16" s="3180"/>
      <c r="Z16" s="1706">
        <v>16</v>
      </c>
    </row>
    <row r="17" spans="4:26" s="144" customFormat="1" ht="11.25" customHeight="1">
      <c r="D17" s="260"/>
      <c r="E17" s="246" t="s">
        <v>575</v>
      </c>
      <c r="H17" s="3039"/>
      <c r="I17" s="3176"/>
      <c r="J17" s="3105"/>
      <c r="K17" s="262" t="s">
        <v>2458</v>
      </c>
      <c r="L17" s="3039"/>
      <c r="M17" s="3175"/>
      <c r="N17" s="3105"/>
      <c r="O17" s="259" t="s">
        <v>1600</v>
      </c>
      <c r="P17" s="261"/>
      <c r="Q17" s="3052"/>
      <c r="R17" s="3053"/>
      <c r="S17" s="3054"/>
      <c r="Z17" s="1706">
        <v>17</v>
      </c>
    </row>
    <row r="18" spans="4:26" s="144" customFormat="1" ht="11.25" customHeight="1">
      <c r="D18" s="243"/>
      <c r="E18" s="246" t="s">
        <v>1671</v>
      </c>
      <c r="H18" s="997"/>
      <c r="I18" s="261"/>
      <c r="J18" s="261"/>
      <c r="K18" s="676" t="s">
        <v>2061</v>
      </c>
      <c r="L18" s="3181"/>
      <c r="M18" s="3182"/>
      <c r="N18" s="261"/>
      <c r="O18" s="259" t="s">
        <v>1838</v>
      </c>
      <c r="P18" s="261"/>
      <c r="Q18" s="3052"/>
      <c r="R18" s="3053"/>
      <c r="S18" s="3054"/>
      <c r="Z18" s="1706">
        <v>18</v>
      </c>
    </row>
    <row r="19" spans="4:26" s="144" customFormat="1" ht="11.25" customHeight="1">
      <c r="D19" s="260"/>
      <c r="E19" s="246" t="s">
        <v>3462</v>
      </c>
      <c r="H19" s="3173"/>
      <c r="I19" s="3174"/>
      <c r="J19" s="255"/>
      <c r="K19" s="262" t="s">
        <v>1842</v>
      </c>
      <c r="L19" s="3086"/>
      <c r="M19" s="3087"/>
      <c r="N19" s="3062"/>
      <c r="O19" s="3062"/>
      <c r="P19" s="3062"/>
      <c r="Q19" s="3087"/>
      <c r="R19" s="3087"/>
      <c r="S19" s="3107"/>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58"/>
      <c r="I21" s="3108"/>
      <c r="J21" s="3108"/>
      <c r="K21" s="3108"/>
      <c r="L21" s="3108"/>
      <c r="M21" s="3108"/>
      <c r="N21" s="3109"/>
      <c r="O21" s="259" t="s">
        <v>1847</v>
      </c>
      <c r="P21" s="259"/>
      <c r="Q21" s="3058"/>
      <c r="R21" s="3108"/>
      <c r="S21" s="3109"/>
      <c r="Z21" s="1706">
        <v>21</v>
      </c>
    </row>
    <row r="22" spans="4:26" s="144" customFormat="1" ht="11.25" customHeight="1">
      <c r="D22" s="260"/>
      <c r="E22" s="246" t="s">
        <v>957</v>
      </c>
      <c r="F22" s="247"/>
      <c r="H22" s="3039"/>
      <c r="I22" s="3175"/>
      <c r="J22" s="3175"/>
      <c r="K22" s="3176"/>
      <c r="L22" s="3175"/>
      <c r="M22" s="3175"/>
      <c r="N22" s="3177"/>
      <c r="O22" s="259" t="s">
        <v>1624</v>
      </c>
      <c r="P22" s="261"/>
      <c r="Q22" s="3178"/>
      <c r="R22" s="3179"/>
      <c r="S22" s="3180"/>
      <c r="Z22" s="1706">
        <v>22</v>
      </c>
    </row>
    <row r="23" spans="4:26" s="144" customFormat="1" ht="11.25" customHeight="1">
      <c r="D23" s="260"/>
      <c r="E23" s="246" t="s">
        <v>575</v>
      </c>
      <c r="H23" s="3039"/>
      <c r="I23" s="3176"/>
      <c r="J23" s="3105"/>
      <c r="K23" s="262" t="s">
        <v>2458</v>
      </c>
      <c r="L23" s="3039"/>
      <c r="M23" s="3175"/>
      <c r="N23" s="3105"/>
      <c r="O23" s="259" t="s">
        <v>1600</v>
      </c>
      <c r="P23" s="261"/>
      <c r="Q23" s="3052"/>
      <c r="R23" s="3053"/>
      <c r="S23" s="3054"/>
      <c r="Z23" s="1706">
        <v>23</v>
      </c>
    </row>
    <row r="24" spans="4:26" s="144" customFormat="1" ht="11.25" customHeight="1">
      <c r="E24" s="246" t="s">
        <v>1671</v>
      </c>
      <c r="H24" s="997"/>
      <c r="I24" s="261"/>
      <c r="J24" s="261"/>
      <c r="K24" s="676" t="s">
        <v>2061</v>
      </c>
      <c r="L24" s="3181"/>
      <c r="M24" s="3182"/>
      <c r="N24" s="261"/>
      <c r="O24" s="259" t="s">
        <v>1838</v>
      </c>
      <c r="P24" s="261"/>
      <c r="Q24" s="3052"/>
      <c r="R24" s="3053"/>
      <c r="S24" s="3054"/>
      <c r="Z24" s="1706">
        <v>24</v>
      </c>
    </row>
    <row r="25" spans="4:26" s="144" customFormat="1" ht="11.25" customHeight="1">
      <c r="D25" s="260"/>
      <c r="E25" s="246" t="s">
        <v>3462</v>
      </c>
      <c r="H25" s="3173"/>
      <c r="I25" s="3174"/>
      <c r="J25" s="255"/>
      <c r="K25" s="262" t="s">
        <v>1842</v>
      </c>
      <c r="L25" s="3086"/>
      <c r="M25" s="3087"/>
      <c r="N25" s="3062"/>
      <c r="O25" s="3062"/>
      <c r="P25" s="3062"/>
      <c r="Q25" s="3087"/>
      <c r="R25" s="3087"/>
      <c r="S25" s="3107"/>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58"/>
      <c r="I27" s="3108"/>
      <c r="J27" s="3108"/>
      <c r="K27" s="3108"/>
      <c r="L27" s="3108"/>
      <c r="M27" s="3108"/>
      <c r="N27" s="3109"/>
      <c r="O27" s="259" t="s">
        <v>1847</v>
      </c>
      <c r="P27" s="259"/>
      <c r="Q27" s="3058"/>
      <c r="R27" s="3108"/>
      <c r="S27" s="3109"/>
      <c r="Z27" s="1706">
        <v>27</v>
      </c>
    </row>
    <row r="28" spans="4:26" s="144" customFormat="1" ht="11.25" customHeight="1">
      <c r="D28" s="260"/>
      <c r="E28" s="246" t="s">
        <v>957</v>
      </c>
      <c r="F28" s="247"/>
      <c r="H28" s="3039"/>
      <c r="I28" s="3175"/>
      <c r="J28" s="3175"/>
      <c r="K28" s="3176"/>
      <c r="L28" s="3175"/>
      <c r="M28" s="3175"/>
      <c r="N28" s="3177"/>
      <c r="O28" s="259" t="s">
        <v>1624</v>
      </c>
      <c r="P28" s="261"/>
      <c r="Q28" s="3178"/>
      <c r="R28" s="3179"/>
      <c r="S28" s="3180"/>
      <c r="Z28" s="1706">
        <v>28</v>
      </c>
    </row>
    <row r="29" spans="4:26" s="144" customFormat="1" ht="11.25" customHeight="1">
      <c r="D29" s="260"/>
      <c r="E29" s="246" t="s">
        <v>575</v>
      </c>
      <c r="H29" s="3039"/>
      <c r="I29" s="3176"/>
      <c r="J29" s="3105"/>
      <c r="K29" s="262" t="s">
        <v>2458</v>
      </c>
      <c r="L29" s="3039"/>
      <c r="M29" s="3175"/>
      <c r="N29" s="3105"/>
      <c r="O29" s="259" t="s">
        <v>1600</v>
      </c>
      <c r="P29" s="261"/>
      <c r="Q29" s="3052"/>
      <c r="R29" s="3053"/>
      <c r="S29" s="3054"/>
      <c r="Z29" s="1706">
        <v>29</v>
      </c>
    </row>
    <row r="30" spans="4:26" s="144" customFormat="1" ht="11.25" customHeight="1">
      <c r="E30" s="246" t="s">
        <v>1671</v>
      </c>
      <c r="H30" s="997"/>
      <c r="I30" s="261"/>
      <c r="J30" s="261"/>
      <c r="K30" s="676" t="s">
        <v>2061</v>
      </c>
      <c r="L30" s="3181"/>
      <c r="M30" s="3182"/>
      <c r="N30" s="261"/>
      <c r="O30" s="259" t="s">
        <v>1838</v>
      </c>
      <c r="P30" s="261"/>
      <c r="Q30" s="3052"/>
      <c r="R30" s="3053"/>
      <c r="S30" s="3054"/>
      <c r="Z30" s="1706">
        <v>30</v>
      </c>
    </row>
    <row r="31" spans="4:26" s="144" customFormat="1" ht="11.25" customHeight="1">
      <c r="D31" s="260"/>
      <c r="E31" s="246" t="s">
        <v>3462</v>
      </c>
      <c r="H31" s="3173"/>
      <c r="I31" s="3174"/>
      <c r="J31" s="255"/>
      <c r="K31" s="262" t="s">
        <v>1842</v>
      </c>
      <c r="L31" s="3086"/>
      <c r="M31" s="3087"/>
      <c r="N31" s="3062"/>
      <c r="O31" s="3062"/>
      <c r="P31" s="3062"/>
      <c r="Q31" s="3087"/>
      <c r="R31" s="3087"/>
      <c r="S31" s="3107"/>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3461</v>
      </c>
      <c r="L33" s="261"/>
      <c r="M33" s="261"/>
      <c r="N33" s="261"/>
      <c r="O33" s="261"/>
      <c r="P33" s="261"/>
      <c r="Q33" s="261"/>
      <c r="R33" s="261"/>
      <c r="S33" s="261"/>
      <c r="Z33" s="1706">
        <v>33</v>
      </c>
    </row>
    <row r="34" spans="3:26" s="144" customFormat="1" ht="11.25" customHeight="1">
      <c r="D34" s="243" t="s">
        <v>1963</v>
      </c>
      <c r="E34" s="144" t="s">
        <v>699</v>
      </c>
      <c r="H34" s="3058"/>
      <c r="I34" s="3108"/>
      <c r="J34" s="3108"/>
      <c r="K34" s="3108"/>
      <c r="L34" s="3108"/>
      <c r="M34" s="3108"/>
      <c r="N34" s="3109"/>
      <c r="O34" s="259" t="s">
        <v>1847</v>
      </c>
      <c r="P34" s="259"/>
      <c r="Q34" s="3058"/>
      <c r="R34" s="3108"/>
      <c r="S34" s="3109"/>
      <c r="Z34" s="1706">
        <v>34</v>
      </c>
    </row>
    <row r="35" spans="3:26" s="144" customFormat="1" ht="11.25" customHeight="1">
      <c r="D35" s="260"/>
      <c r="E35" s="246" t="s">
        <v>957</v>
      </c>
      <c r="F35" s="247"/>
      <c r="H35" s="3039"/>
      <c r="I35" s="3175"/>
      <c r="J35" s="3175"/>
      <c r="K35" s="3176"/>
      <c r="L35" s="3175"/>
      <c r="M35" s="3175"/>
      <c r="N35" s="3177"/>
      <c r="O35" s="259" t="s">
        <v>1624</v>
      </c>
      <c r="P35" s="261"/>
      <c r="Q35" s="3178"/>
      <c r="R35" s="3179"/>
      <c r="S35" s="3180"/>
      <c r="Z35" s="1706">
        <v>35</v>
      </c>
    </row>
    <row r="36" spans="3:26" s="144" customFormat="1" ht="11.25" customHeight="1">
      <c r="D36" s="260"/>
      <c r="E36" s="246" t="s">
        <v>575</v>
      </c>
      <c r="H36" s="3039"/>
      <c r="I36" s="3176"/>
      <c r="J36" s="3105"/>
      <c r="K36" s="262" t="s">
        <v>2458</v>
      </c>
      <c r="L36" s="3039"/>
      <c r="M36" s="3175"/>
      <c r="N36" s="3105"/>
      <c r="O36" s="259" t="s">
        <v>1600</v>
      </c>
      <c r="P36" s="261"/>
      <c r="Q36" s="3052"/>
      <c r="R36" s="3053"/>
      <c r="S36" s="3054"/>
      <c r="Z36" s="1706">
        <v>36</v>
      </c>
    </row>
    <row r="37" spans="3:26" s="144" customFormat="1" ht="11.25" customHeight="1">
      <c r="E37" s="246" t="s">
        <v>1671</v>
      </c>
      <c r="H37" s="997"/>
      <c r="I37" s="261"/>
      <c r="J37" s="261"/>
      <c r="K37" s="676" t="s">
        <v>2061</v>
      </c>
      <c r="L37" s="3181"/>
      <c r="M37" s="3182"/>
      <c r="N37" s="261"/>
      <c r="O37" s="259" t="s">
        <v>1838</v>
      </c>
      <c r="P37" s="261"/>
      <c r="Q37" s="3052"/>
      <c r="R37" s="3053"/>
      <c r="S37" s="3054"/>
      <c r="Z37" s="1706">
        <v>37</v>
      </c>
    </row>
    <row r="38" spans="3:26" s="144" customFormat="1" ht="11.25" customHeight="1">
      <c r="D38" s="260"/>
      <c r="E38" s="246" t="s">
        <v>3462</v>
      </c>
      <c r="H38" s="3173"/>
      <c r="I38" s="3174"/>
      <c r="J38" s="255"/>
      <c r="K38" s="262" t="s">
        <v>1842</v>
      </c>
      <c r="L38" s="3086"/>
      <c r="M38" s="3087"/>
      <c r="N38" s="3062"/>
      <c r="O38" s="3062"/>
      <c r="P38" s="3062"/>
      <c r="Q38" s="3087"/>
      <c r="R38" s="3087"/>
      <c r="S38" s="3107"/>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58"/>
      <c r="I40" s="3108"/>
      <c r="J40" s="3108"/>
      <c r="K40" s="3108"/>
      <c r="L40" s="3108"/>
      <c r="M40" s="3108"/>
      <c r="N40" s="3109"/>
      <c r="O40" s="259" t="s">
        <v>1847</v>
      </c>
      <c r="P40" s="259"/>
      <c r="Q40" s="3058"/>
      <c r="R40" s="3108"/>
      <c r="S40" s="3109"/>
      <c r="Z40" s="1706">
        <v>40</v>
      </c>
    </row>
    <row r="41" spans="3:26" s="144" customFormat="1" ht="11.25" customHeight="1">
      <c r="D41" s="260"/>
      <c r="E41" s="246" t="s">
        <v>957</v>
      </c>
      <c r="F41" s="247"/>
      <c r="H41" s="3039"/>
      <c r="I41" s="3175"/>
      <c r="J41" s="3175"/>
      <c r="K41" s="3176"/>
      <c r="L41" s="3175"/>
      <c r="M41" s="3175"/>
      <c r="N41" s="3177"/>
      <c r="O41" s="259" t="s">
        <v>1624</v>
      </c>
      <c r="P41" s="261"/>
      <c r="Q41" s="3178"/>
      <c r="R41" s="3179"/>
      <c r="S41" s="3180"/>
      <c r="Z41" s="1706">
        <v>41</v>
      </c>
    </row>
    <row r="42" spans="3:26" s="144" customFormat="1" ht="11.25" customHeight="1">
      <c r="D42" s="260"/>
      <c r="E42" s="246" t="s">
        <v>575</v>
      </c>
      <c r="H42" s="3039"/>
      <c r="I42" s="3176"/>
      <c r="J42" s="3105"/>
      <c r="K42" s="262" t="s">
        <v>2458</v>
      </c>
      <c r="L42" s="3039"/>
      <c r="M42" s="3175"/>
      <c r="N42" s="3105"/>
      <c r="O42" s="259" t="s">
        <v>1600</v>
      </c>
      <c r="P42" s="261"/>
      <c r="Q42" s="3052"/>
      <c r="R42" s="3053"/>
      <c r="S42" s="3054"/>
      <c r="Z42" s="1706">
        <v>42</v>
      </c>
    </row>
    <row r="43" spans="3:26" s="144" customFormat="1" ht="11.25" customHeight="1">
      <c r="D43" s="243"/>
      <c r="E43" s="246" t="s">
        <v>1671</v>
      </c>
      <c r="H43" s="997"/>
      <c r="I43" s="261"/>
      <c r="J43" s="261"/>
      <c r="K43" s="676" t="s">
        <v>2061</v>
      </c>
      <c r="L43" s="3181"/>
      <c r="M43" s="3182"/>
      <c r="N43" s="261"/>
      <c r="O43" s="259" t="s">
        <v>1838</v>
      </c>
      <c r="P43" s="261"/>
      <c r="Q43" s="3052"/>
      <c r="R43" s="3053"/>
      <c r="S43" s="3054"/>
      <c r="Z43" s="1706">
        <v>43</v>
      </c>
    </row>
    <row r="44" spans="3:26" s="144" customFormat="1" ht="11.25" customHeight="1">
      <c r="D44" s="260"/>
      <c r="E44" s="246" t="s">
        <v>3462</v>
      </c>
      <c r="H44" s="3173"/>
      <c r="I44" s="3174"/>
      <c r="J44" s="255"/>
      <c r="K44" s="262" t="s">
        <v>1842</v>
      </c>
      <c r="L44" s="3086"/>
      <c r="M44" s="3087"/>
      <c r="N44" s="3062"/>
      <c r="O44" s="3062"/>
      <c r="P44" s="3062"/>
      <c r="Q44" s="3087"/>
      <c r="R44" s="3087"/>
      <c r="S44" s="3107"/>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3461</v>
      </c>
      <c r="L46" s="261"/>
      <c r="M46" s="261"/>
      <c r="N46" s="261"/>
      <c r="O46" s="261"/>
      <c r="P46" s="261"/>
      <c r="Q46" s="261"/>
      <c r="R46" s="261"/>
      <c r="S46" s="261"/>
      <c r="Z46" s="1706">
        <v>46</v>
      </c>
    </row>
    <row r="47" spans="3:26" s="144" customFormat="1" ht="11.25" customHeight="1">
      <c r="E47" s="144" t="s">
        <v>88</v>
      </c>
      <c r="H47" s="3058"/>
      <c r="I47" s="3108"/>
      <c r="J47" s="3108"/>
      <c r="K47" s="3108"/>
      <c r="L47" s="3108"/>
      <c r="M47" s="3108"/>
      <c r="N47" s="3109"/>
      <c r="O47" s="259" t="s">
        <v>1847</v>
      </c>
      <c r="P47" s="259"/>
      <c r="Q47" s="3058"/>
      <c r="R47" s="3108"/>
      <c r="S47" s="3109"/>
      <c r="Z47" s="1706">
        <v>47</v>
      </c>
    </row>
    <row r="48" spans="3:26" s="144" customFormat="1" ht="11.25" customHeight="1">
      <c r="D48" s="260"/>
      <c r="E48" s="246" t="s">
        <v>957</v>
      </c>
      <c r="F48" s="247"/>
      <c r="H48" s="3039"/>
      <c r="I48" s="3175"/>
      <c r="J48" s="3175"/>
      <c r="K48" s="3176"/>
      <c r="L48" s="3175"/>
      <c r="M48" s="3175"/>
      <c r="N48" s="3177"/>
      <c r="O48" s="259" t="s">
        <v>1624</v>
      </c>
      <c r="P48" s="261"/>
      <c r="Q48" s="3178"/>
      <c r="R48" s="3179"/>
      <c r="S48" s="3180"/>
      <c r="Z48" s="1706">
        <v>48</v>
      </c>
    </row>
    <row r="49" spans="1:26" s="144" customFormat="1" ht="11.25" customHeight="1">
      <c r="D49" s="260"/>
      <c r="E49" s="246" t="s">
        <v>575</v>
      </c>
      <c r="H49" s="3039"/>
      <c r="I49" s="3176"/>
      <c r="J49" s="3105"/>
      <c r="K49" s="262" t="s">
        <v>2458</v>
      </c>
      <c r="L49" s="3039"/>
      <c r="M49" s="3175"/>
      <c r="N49" s="3105"/>
      <c r="O49" s="259" t="s">
        <v>1600</v>
      </c>
      <c r="P49" s="261"/>
      <c r="Q49" s="3052"/>
      <c r="R49" s="3053"/>
      <c r="S49" s="3054"/>
      <c r="Z49" s="1706">
        <v>49</v>
      </c>
    </row>
    <row r="50" spans="1:26" s="144" customFormat="1" ht="11.25" customHeight="1">
      <c r="E50" s="246" t="s">
        <v>1671</v>
      </c>
      <c r="H50" s="997"/>
      <c r="I50" s="261"/>
      <c r="J50" s="261"/>
      <c r="K50" s="676" t="s">
        <v>2061</v>
      </c>
      <c r="L50" s="3181"/>
      <c r="M50" s="3182"/>
      <c r="N50" s="261"/>
      <c r="O50" s="259" t="s">
        <v>1838</v>
      </c>
      <c r="P50" s="261"/>
      <c r="Q50" s="3052"/>
      <c r="R50" s="3053"/>
      <c r="S50" s="3054"/>
      <c r="Z50" s="1706">
        <v>50</v>
      </c>
    </row>
    <row r="51" spans="1:26" s="144" customFormat="1" ht="11.25" customHeight="1">
      <c r="D51" s="260"/>
      <c r="E51" s="246" t="s">
        <v>3462</v>
      </c>
      <c r="H51" s="3173"/>
      <c r="I51" s="3174"/>
      <c r="J51" s="255"/>
      <c r="K51" s="262" t="s">
        <v>1842</v>
      </c>
      <c r="L51" s="3086"/>
      <c r="M51" s="3087"/>
      <c r="N51" s="3062"/>
      <c r="O51" s="3062"/>
      <c r="P51" s="3062"/>
      <c r="Q51" s="3087"/>
      <c r="R51" s="3087"/>
      <c r="S51" s="3107"/>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3461</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58"/>
      <c r="I55" s="3108"/>
      <c r="J55" s="3108"/>
      <c r="K55" s="3108"/>
      <c r="L55" s="3108"/>
      <c r="M55" s="3108"/>
      <c r="N55" s="3109"/>
      <c r="O55" s="259" t="s">
        <v>1847</v>
      </c>
      <c r="P55" s="259"/>
      <c r="Q55" s="3058"/>
      <c r="R55" s="3108"/>
      <c r="S55" s="3109"/>
      <c r="Z55" s="1706">
        <v>55</v>
      </c>
    </row>
    <row r="56" spans="1:26" s="144" customFormat="1" ht="11.25" customHeight="1">
      <c r="D56" s="260"/>
      <c r="E56" s="246" t="s">
        <v>957</v>
      </c>
      <c r="F56" s="247"/>
      <c r="H56" s="3039"/>
      <c r="I56" s="3175"/>
      <c r="J56" s="3175"/>
      <c r="K56" s="3176"/>
      <c r="L56" s="3175"/>
      <c r="M56" s="3175"/>
      <c r="N56" s="3177"/>
      <c r="O56" s="259" t="s">
        <v>1624</v>
      </c>
      <c r="P56" s="261"/>
      <c r="Q56" s="3178"/>
      <c r="R56" s="3179"/>
      <c r="S56" s="3180"/>
      <c r="Z56" s="1706">
        <v>56</v>
      </c>
    </row>
    <row r="57" spans="1:26" s="144" customFormat="1" ht="11.25" customHeight="1">
      <c r="D57" s="260"/>
      <c r="E57" s="246" t="s">
        <v>575</v>
      </c>
      <c r="H57" s="3039"/>
      <c r="I57" s="3176"/>
      <c r="J57" s="3105"/>
      <c r="K57" s="262" t="s">
        <v>2458</v>
      </c>
      <c r="L57" s="3039"/>
      <c r="M57" s="3175"/>
      <c r="N57" s="3105"/>
      <c r="O57" s="259" t="s">
        <v>1600</v>
      </c>
      <c r="P57" s="261"/>
      <c r="Q57" s="3052"/>
      <c r="R57" s="3053"/>
      <c r="S57" s="3054"/>
      <c r="Z57" s="1706">
        <v>57</v>
      </c>
    </row>
    <row r="58" spans="1:26" s="144" customFormat="1" ht="11.25" customHeight="1">
      <c r="E58" s="246" t="s">
        <v>1671</v>
      </c>
      <c r="H58" s="997"/>
      <c r="I58" s="261"/>
      <c r="J58" s="261"/>
      <c r="K58" s="676" t="s">
        <v>2061</v>
      </c>
      <c r="L58" s="3181"/>
      <c r="M58" s="3182"/>
      <c r="N58" s="261"/>
      <c r="O58" s="259" t="s">
        <v>1838</v>
      </c>
      <c r="P58" s="261"/>
      <c r="Q58" s="3052"/>
      <c r="R58" s="3053"/>
      <c r="S58" s="3054"/>
      <c r="Z58" s="1706">
        <v>58</v>
      </c>
    </row>
    <row r="59" spans="1:26" s="144" customFormat="1" ht="11.25" customHeight="1">
      <c r="D59" s="260"/>
      <c r="E59" s="246" t="s">
        <v>3462</v>
      </c>
      <c r="H59" s="3173"/>
      <c r="I59" s="3174"/>
      <c r="J59" s="255"/>
      <c r="K59" s="262" t="s">
        <v>1842</v>
      </c>
      <c r="L59" s="3086"/>
      <c r="M59" s="3087"/>
      <c r="N59" s="3062"/>
      <c r="O59" s="3062"/>
      <c r="P59" s="3062"/>
      <c r="Q59" s="3087"/>
      <c r="R59" s="3087"/>
      <c r="S59" s="3107"/>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58"/>
      <c r="I61" s="3108"/>
      <c r="J61" s="3108"/>
      <c r="K61" s="3108"/>
      <c r="L61" s="3108"/>
      <c r="M61" s="3108"/>
      <c r="N61" s="3109"/>
      <c r="O61" s="259" t="s">
        <v>1847</v>
      </c>
      <c r="P61" s="259"/>
      <c r="Q61" s="3058"/>
      <c r="R61" s="3108"/>
      <c r="S61" s="3109"/>
      <c r="Z61" s="1706">
        <v>61</v>
      </c>
    </row>
    <row r="62" spans="1:26" s="144" customFormat="1" ht="11.25" customHeight="1">
      <c r="D62" s="260"/>
      <c r="E62" s="246" t="s">
        <v>957</v>
      </c>
      <c r="F62" s="247"/>
      <c r="H62" s="3039"/>
      <c r="I62" s="3175"/>
      <c r="J62" s="3175"/>
      <c r="K62" s="3176"/>
      <c r="L62" s="3175"/>
      <c r="M62" s="3175"/>
      <c r="N62" s="3177"/>
      <c r="O62" s="259" t="s">
        <v>1624</v>
      </c>
      <c r="P62" s="261"/>
      <c r="Q62" s="3178"/>
      <c r="R62" s="3179"/>
      <c r="S62" s="3180"/>
      <c r="Z62" s="1706">
        <v>62</v>
      </c>
    </row>
    <row r="63" spans="1:26" s="144" customFormat="1" ht="11.25" customHeight="1">
      <c r="D63" s="260"/>
      <c r="E63" s="246" t="s">
        <v>575</v>
      </c>
      <c r="H63" s="3039"/>
      <c r="I63" s="3176"/>
      <c r="J63" s="3105"/>
      <c r="K63" s="262" t="s">
        <v>2458</v>
      </c>
      <c r="L63" s="3039"/>
      <c r="M63" s="3175"/>
      <c r="N63" s="3105"/>
      <c r="O63" s="259" t="s">
        <v>1600</v>
      </c>
      <c r="P63" s="261"/>
      <c r="Q63" s="3052"/>
      <c r="R63" s="3053"/>
      <c r="S63" s="3054"/>
      <c r="Z63" s="1706">
        <v>63</v>
      </c>
    </row>
    <row r="64" spans="1:26" s="144" customFormat="1" ht="11.25" customHeight="1">
      <c r="E64" s="246" t="s">
        <v>1671</v>
      </c>
      <c r="H64" s="997"/>
      <c r="I64" s="261"/>
      <c r="J64" s="261"/>
      <c r="K64" s="676" t="s">
        <v>2061</v>
      </c>
      <c r="L64" s="3181"/>
      <c r="M64" s="3182"/>
      <c r="N64" s="261"/>
      <c r="O64" s="259" t="s">
        <v>1838</v>
      </c>
      <c r="P64" s="261"/>
      <c r="Q64" s="3052"/>
      <c r="R64" s="3053"/>
      <c r="S64" s="3054"/>
      <c r="Z64" s="1706">
        <v>64</v>
      </c>
    </row>
    <row r="65" spans="1:26" s="144" customFormat="1" ht="11.25" customHeight="1">
      <c r="D65" s="260"/>
      <c r="E65" s="246" t="s">
        <v>3462</v>
      </c>
      <c r="H65" s="3173"/>
      <c r="I65" s="3174"/>
      <c r="J65" s="255"/>
      <c r="K65" s="262" t="s">
        <v>1842</v>
      </c>
      <c r="L65" s="3086"/>
      <c r="M65" s="3087"/>
      <c r="N65" s="3062"/>
      <c r="O65" s="3062"/>
      <c r="P65" s="3062"/>
      <c r="Q65" s="3087"/>
      <c r="R65" s="3087"/>
      <c r="S65" s="3107"/>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58"/>
      <c r="I67" s="3108"/>
      <c r="J67" s="3108"/>
      <c r="K67" s="3108"/>
      <c r="L67" s="3108"/>
      <c r="M67" s="3108"/>
      <c r="N67" s="3109"/>
      <c r="O67" s="259" t="s">
        <v>1847</v>
      </c>
      <c r="P67" s="259"/>
      <c r="Q67" s="3058"/>
      <c r="R67" s="3108"/>
      <c r="S67" s="3109"/>
      <c r="Z67" s="1706">
        <v>67</v>
      </c>
    </row>
    <row r="68" spans="1:26" s="144" customFormat="1" ht="11.25" customHeight="1">
      <c r="D68" s="260"/>
      <c r="E68" s="246" t="s">
        <v>957</v>
      </c>
      <c r="F68" s="247"/>
      <c r="H68" s="3039"/>
      <c r="I68" s="3175"/>
      <c r="J68" s="3175"/>
      <c r="K68" s="3176"/>
      <c r="L68" s="3175"/>
      <c r="M68" s="3175"/>
      <c r="N68" s="3177"/>
      <c r="O68" s="259" t="s">
        <v>1624</v>
      </c>
      <c r="P68" s="261"/>
      <c r="Q68" s="3178"/>
      <c r="R68" s="3179"/>
      <c r="S68" s="3180"/>
      <c r="Z68" s="1706">
        <v>68</v>
      </c>
    </row>
    <row r="69" spans="1:26" s="144" customFormat="1" ht="11.25" customHeight="1">
      <c r="D69" s="260"/>
      <c r="E69" s="246" t="s">
        <v>575</v>
      </c>
      <c r="H69" s="3039"/>
      <c r="I69" s="3176"/>
      <c r="J69" s="3105"/>
      <c r="K69" s="262" t="s">
        <v>2458</v>
      </c>
      <c r="L69" s="3039"/>
      <c r="M69" s="3175"/>
      <c r="N69" s="3105"/>
      <c r="O69" s="259" t="s">
        <v>1600</v>
      </c>
      <c r="P69" s="261"/>
      <c r="Q69" s="3052"/>
      <c r="R69" s="3053"/>
      <c r="S69" s="3054"/>
      <c r="Z69" s="1706">
        <v>69</v>
      </c>
    </row>
    <row r="70" spans="1:26" s="144" customFormat="1" ht="11.25" customHeight="1">
      <c r="E70" s="246" t="s">
        <v>1671</v>
      </c>
      <c r="H70" s="997"/>
      <c r="I70" s="261"/>
      <c r="J70" s="261"/>
      <c r="K70" s="676" t="s">
        <v>2061</v>
      </c>
      <c r="L70" s="3181"/>
      <c r="M70" s="3182"/>
      <c r="N70" s="261"/>
      <c r="O70" s="259" t="s">
        <v>1838</v>
      </c>
      <c r="P70" s="261"/>
      <c r="Q70" s="3052"/>
      <c r="R70" s="3053"/>
      <c r="S70" s="3054"/>
      <c r="Z70" s="1706">
        <v>70</v>
      </c>
    </row>
    <row r="71" spans="1:26" s="144" customFormat="1" ht="11.25" customHeight="1">
      <c r="D71" s="260"/>
      <c r="E71" s="246" t="s">
        <v>3462</v>
      </c>
      <c r="H71" s="3173"/>
      <c r="I71" s="3174"/>
      <c r="J71" s="255"/>
      <c r="K71" s="262" t="s">
        <v>1842</v>
      </c>
      <c r="L71" s="3086"/>
      <c r="M71" s="3087"/>
      <c r="N71" s="3062"/>
      <c r="O71" s="3062"/>
      <c r="P71" s="3062"/>
      <c r="Q71" s="3087"/>
      <c r="R71" s="3087"/>
      <c r="S71" s="3107"/>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58"/>
      <c r="I73" s="3108"/>
      <c r="J73" s="3108"/>
      <c r="K73" s="3108"/>
      <c r="L73" s="3108"/>
      <c r="M73" s="3108"/>
      <c r="N73" s="3109"/>
      <c r="O73" s="259" t="s">
        <v>1847</v>
      </c>
      <c r="P73" s="259"/>
      <c r="Q73" s="3058"/>
      <c r="R73" s="3108"/>
      <c r="S73" s="3109"/>
      <c r="Z73" s="1706">
        <v>73</v>
      </c>
    </row>
    <row r="74" spans="1:26" s="144" customFormat="1" ht="11.25" customHeight="1">
      <c r="D74" s="260"/>
      <c r="E74" s="246" t="s">
        <v>957</v>
      </c>
      <c r="F74" s="247"/>
      <c r="H74" s="3039"/>
      <c r="I74" s="3175"/>
      <c r="J74" s="3175"/>
      <c r="K74" s="3176"/>
      <c r="L74" s="3175"/>
      <c r="M74" s="3175"/>
      <c r="N74" s="3177"/>
      <c r="O74" s="259" t="s">
        <v>1624</v>
      </c>
      <c r="P74" s="261"/>
      <c r="Q74" s="3178"/>
      <c r="R74" s="3179"/>
      <c r="S74" s="3180"/>
      <c r="Z74" s="1706">
        <v>74</v>
      </c>
    </row>
    <row r="75" spans="1:26" s="144" customFormat="1" ht="11.25" customHeight="1">
      <c r="D75" s="260"/>
      <c r="E75" s="246" t="s">
        <v>575</v>
      </c>
      <c r="H75" s="3039"/>
      <c r="I75" s="3176"/>
      <c r="J75" s="3105"/>
      <c r="K75" s="262" t="s">
        <v>2458</v>
      </c>
      <c r="L75" s="3039"/>
      <c r="M75" s="3175"/>
      <c r="N75" s="3105"/>
      <c r="O75" s="259" t="s">
        <v>1600</v>
      </c>
      <c r="P75" s="261"/>
      <c r="Q75" s="3052"/>
      <c r="R75" s="3053"/>
      <c r="S75" s="3054"/>
      <c r="Z75" s="1706">
        <v>75</v>
      </c>
    </row>
    <row r="76" spans="1:26" s="144" customFormat="1" ht="11.25" customHeight="1">
      <c r="E76" s="246" t="s">
        <v>1671</v>
      </c>
      <c r="H76" s="997"/>
      <c r="I76" s="261"/>
      <c r="J76" s="261"/>
      <c r="K76" s="676" t="s">
        <v>2061</v>
      </c>
      <c r="L76" s="3181"/>
      <c r="M76" s="3182"/>
      <c r="N76" s="261"/>
      <c r="O76" s="259" t="s">
        <v>1838</v>
      </c>
      <c r="P76" s="261"/>
      <c r="Q76" s="3052"/>
      <c r="R76" s="3053"/>
      <c r="S76" s="3054"/>
      <c r="Z76" s="1706">
        <v>76</v>
      </c>
    </row>
    <row r="77" spans="1:26" s="144" customFormat="1" ht="11.25" customHeight="1">
      <c r="D77" s="260"/>
      <c r="E77" s="246" t="s">
        <v>3462</v>
      </c>
      <c r="H77" s="3173"/>
      <c r="I77" s="3174"/>
      <c r="J77" s="255"/>
      <c r="K77" s="262" t="s">
        <v>1842</v>
      </c>
      <c r="L77" s="3086"/>
      <c r="M77" s="3087"/>
      <c r="N77" s="3062"/>
      <c r="O77" s="3062"/>
      <c r="P77" s="3062"/>
      <c r="Q77" s="3087"/>
      <c r="R77" s="3087"/>
      <c r="S77" s="3107"/>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3461</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58"/>
      <c r="I81" s="3108"/>
      <c r="J81" s="3108"/>
      <c r="K81" s="3108"/>
      <c r="L81" s="3108"/>
      <c r="M81" s="3108"/>
      <c r="N81" s="3109"/>
      <c r="O81" s="259" t="s">
        <v>1847</v>
      </c>
      <c r="P81" s="259"/>
      <c r="Q81" s="3058"/>
      <c r="R81" s="3108"/>
      <c r="S81" s="3109"/>
      <c r="Z81" s="1706">
        <v>81</v>
      </c>
    </row>
    <row r="82" spans="2:26" s="144" customFormat="1" ht="11.25" customHeight="1">
      <c r="D82" s="260"/>
      <c r="E82" s="246" t="s">
        <v>957</v>
      </c>
      <c r="F82" s="247"/>
      <c r="H82" s="3039"/>
      <c r="I82" s="3175"/>
      <c r="J82" s="3175"/>
      <c r="K82" s="3176"/>
      <c r="L82" s="3175"/>
      <c r="M82" s="3175"/>
      <c r="N82" s="3177"/>
      <c r="O82" s="259" t="s">
        <v>1624</v>
      </c>
      <c r="P82" s="261"/>
      <c r="Q82" s="3178"/>
      <c r="R82" s="3179"/>
      <c r="S82" s="3180"/>
      <c r="Z82" s="1706">
        <v>82</v>
      </c>
    </row>
    <row r="83" spans="2:26" s="144" customFormat="1" ht="11.25" customHeight="1">
      <c r="D83" s="260"/>
      <c r="E83" s="246" t="s">
        <v>575</v>
      </c>
      <c r="H83" s="3039"/>
      <c r="I83" s="3176"/>
      <c r="J83" s="3105"/>
      <c r="K83" s="262" t="s">
        <v>2458</v>
      </c>
      <c r="L83" s="3039"/>
      <c r="M83" s="3175"/>
      <c r="N83" s="3105"/>
      <c r="O83" s="259" t="s">
        <v>1600</v>
      </c>
      <c r="P83" s="261"/>
      <c r="Q83" s="3052"/>
      <c r="R83" s="3053"/>
      <c r="S83" s="3054"/>
      <c r="Z83" s="1706">
        <v>83</v>
      </c>
    </row>
    <row r="84" spans="2:26" s="144" customFormat="1" ht="11.25" customHeight="1">
      <c r="E84" s="246" t="s">
        <v>1671</v>
      </c>
      <c r="H84" s="997"/>
      <c r="I84" s="261"/>
      <c r="J84" s="261"/>
      <c r="K84" s="676" t="s">
        <v>2061</v>
      </c>
      <c r="L84" s="3181"/>
      <c r="M84" s="3182"/>
      <c r="N84" s="261"/>
      <c r="O84" s="259" t="s">
        <v>1838</v>
      </c>
      <c r="P84" s="261"/>
      <c r="Q84" s="3052"/>
      <c r="R84" s="3053"/>
      <c r="S84" s="3054"/>
      <c r="Z84" s="1706">
        <v>84</v>
      </c>
    </row>
    <row r="85" spans="2:26" s="144" customFormat="1" ht="11.25" customHeight="1">
      <c r="D85" s="260"/>
      <c r="E85" s="246" t="s">
        <v>3462</v>
      </c>
      <c r="H85" s="3173"/>
      <c r="I85" s="3174"/>
      <c r="J85" s="255"/>
      <c r="K85" s="262" t="s">
        <v>1842</v>
      </c>
      <c r="L85" s="3086"/>
      <c r="M85" s="3087"/>
      <c r="N85" s="3062"/>
      <c r="O85" s="3062"/>
      <c r="P85" s="3062"/>
      <c r="Q85" s="3087"/>
      <c r="R85" s="3087"/>
      <c r="S85" s="3107"/>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58"/>
      <c r="I87" s="3108"/>
      <c r="J87" s="3108"/>
      <c r="K87" s="3108"/>
      <c r="L87" s="3108"/>
      <c r="M87" s="3108"/>
      <c r="N87" s="3109"/>
      <c r="O87" s="259" t="s">
        <v>1847</v>
      </c>
      <c r="P87" s="259"/>
      <c r="Q87" s="3058"/>
      <c r="R87" s="3108"/>
      <c r="S87" s="3109"/>
      <c r="Z87" s="1706">
        <v>87</v>
      </c>
    </row>
    <row r="88" spans="2:26" s="144" customFormat="1" ht="11.25" customHeight="1">
      <c r="D88" s="260"/>
      <c r="E88" s="246" t="s">
        <v>957</v>
      </c>
      <c r="F88" s="247"/>
      <c r="H88" s="3039"/>
      <c r="I88" s="3175"/>
      <c r="J88" s="3175"/>
      <c r="K88" s="3176"/>
      <c r="L88" s="3175"/>
      <c r="M88" s="3175"/>
      <c r="N88" s="3177"/>
      <c r="O88" s="259" t="s">
        <v>1624</v>
      </c>
      <c r="P88" s="261"/>
      <c r="Q88" s="3178"/>
      <c r="R88" s="3179"/>
      <c r="S88" s="3180"/>
      <c r="Z88" s="1706">
        <v>88</v>
      </c>
    </row>
    <row r="89" spans="2:26" s="144" customFormat="1" ht="11.25" customHeight="1">
      <c r="D89" s="260"/>
      <c r="E89" s="246" t="s">
        <v>575</v>
      </c>
      <c r="H89" s="3039"/>
      <c r="I89" s="3176"/>
      <c r="J89" s="3105"/>
      <c r="K89" s="262" t="s">
        <v>2458</v>
      </c>
      <c r="L89" s="3039"/>
      <c r="M89" s="3175"/>
      <c r="N89" s="3105"/>
      <c r="O89" s="259" t="s">
        <v>1600</v>
      </c>
      <c r="P89" s="261"/>
      <c r="Q89" s="3052"/>
      <c r="R89" s="3053"/>
      <c r="S89" s="3054"/>
      <c r="Z89" s="1706">
        <v>89</v>
      </c>
    </row>
    <row r="90" spans="2:26" s="144" customFormat="1" ht="11.25" customHeight="1">
      <c r="E90" s="246" t="s">
        <v>1671</v>
      </c>
      <c r="H90" s="997"/>
      <c r="I90" s="261"/>
      <c r="J90" s="261"/>
      <c r="K90" s="676" t="s">
        <v>2061</v>
      </c>
      <c r="L90" s="3181"/>
      <c r="M90" s="3182"/>
      <c r="N90" s="261"/>
      <c r="O90" s="259" t="s">
        <v>1838</v>
      </c>
      <c r="P90" s="261"/>
      <c r="Q90" s="3052"/>
      <c r="R90" s="3053"/>
      <c r="S90" s="3054"/>
      <c r="Z90" s="1706">
        <v>90</v>
      </c>
    </row>
    <row r="91" spans="2:26" s="144" customFormat="1" ht="11.25" customHeight="1">
      <c r="D91" s="260"/>
      <c r="E91" s="246" t="s">
        <v>3462</v>
      </c>
      <c r="H91" s="3173"/>
      <c r="I91" s="3174"/>
      <c r="J91" s="255"/>
      <c r="K91" s="262" t="s">
        <v>1842</v>
      </c>
      <c r="L91" s="3086"/>
      <c r="M91" s="3087"/>
      <c r="N91" s="3062"/>
      <c r="O91" s="3062"/>
      <c r="P91" s="3062"/>
      <c r="Q91" s="3087"/>
      <c r="R91" s="3087"/>
      <c r="S91" s="3107"/>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58"/>
      <c r="I93" s="3108"/>
      <c r="J93" s="3108"/>
      <c r="K93" s="3108"/>
      <c r="L93" s="3108"/>
      <c r="M93" s="3108"/>
      <c r="N93" s="3109"/>
      <c r="O93" s="259" t="s">
        <v>1847</v>
      </c>
      <c r="P93" s="259"/>
      <c r="Q93" s="3058"/>
      <c r="R93" s="3108"/>
      <c r="S93" s="3109"/>
      <c r="Z93" s="1706">
        <v>93</v>
      </c>
    </row>
    <row r="94" spans="2:26" s="144" customFormat="1" ht="11.25" customHeight="1">
      <c r="D94" s="260"/>
      <c r="E94" s="246" t="s">
        <v>957</v>
      </c>
      <c r="F94" s="247"/>
      <c r="H94" s="3039"/>
      <c r="I94" s="3175"/>
      <c r="J94" s="3175"/>
      <c r="K94" s="3176"/>
      <c r="L94" s="3175"/>
      <c r="M94" s="3175"/>
      <c r="N94" s="3177"/>
      <c r="O94" s="259" t="s">
        <v>1624</v>
      </c>
      <c r="P94" s="261"/>
      <c r="Q94" s="3178"/>
      <c r="R94" s="3179"/>
      <c r="S94" s="3180"/>
      <c r="Z94" s="1706">
        <v>94</v>
      </c>
    </row>
    <row r="95" spans="2:26" s="144" customFormat="1" ht="11.25" customHeight="1">
      <c r="D95" s="260"/>
      <c r="E95" s="246" t="s">
        <v>575</v>
      </c>
      <c r="H95" s="3039"/>
      <c r="I95" s="3176"/>
      <c r="J95" s="3105"/>
      <c r="K95" s="262" t="s">
        <v>2458</v>
      </c>
      <c r="L95" s="3039"/>
      <c r="M95" s="3175"/>
      <c r="N95" s="3105"/>
      <c r="O95" s="259" t="s">
        <v>1600</v>
      </c>
      <c r="P95" s="261"/>
      <c r="Q95" s="3052"/>
      <c r="R95" s="3053"/>
      <c r="S95" s="3054"/>
      <c r="Z95" s="1706">
        <v>95</v>
      </c>
    </row>
    <row r="96" spans="2:26" s="144" customFormat="1" ht="11.25" customHeight="1">
      <c r="D96" s="260"/>
      <c r="E96" s="246" t="s">
        <v>1671</v>
      </c>
      <c r="H96" s="997"/>
      <c r="I96" s="261"/>
      <c r="J96" s="261"/>
      <c r="K96" s="676" t="s">
        <v>2061</v>
      </c>
      <c r="L96" s="3181"/>
      <c r="M96" s="3182"/>
      <c r="N96" s="261"/>
      <c r="O96" s="259" t="s">
        <v>1838</v>
      </c>
      <c r="P96" s="261"/>
      <c r="Q96" s="3052"/>
      <c r="R96" s="3053"/>
      <c r="S96" s="3054"/>
      <c r="Z96" s="1706">
        <v>96</v>
      </c>
    </row>
    <row r="97" spans="2:26" s="144" customFormat="1" ht="11.25" customHeight="1">
      <c r="D97" s="260"/>
      <c r="E97" s="246" t="s">
        <v>3462</v>
      </c>
      <c r="H97" s="3173"/>
      <c r="I97" s="3174"/>
      <c r="J97" s="255"/>
      <c r="K97" s="262" t="s">
        <v>1842</v>
      </c>
      <c r="L97" s="3086"/>
      <c r="M97" s="3087"/>
      <c r="N97" s="3062"/>
      <c r="O97" s="3062"/>
      <c r="P97" s="3062"/>
      <c r="Q97" s="3087"/>
      <c r="R97" s="3087"/>
      <c r="S97" s="3107"/>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58"/>
      <c r="I99" s="3108"/>
      <c r="J99" s="3108"/>
      <c r="K99" s="3108"/>
      <c r="L99" s="3108"/>
      <c r="M99" s="3108"/>
      <c r="N99" s="3109"/>
      <c r="O99" s="259" t="s">
        <v>1847</v>
      </c>
      <c r="P99" s="259"/>
      <c r="Q99" s="3058"/>
      <c r="R99" s="3108"/>
      <c r="S99" s="3109"/>
      <c r="Z99" s="1706">
        <v>99</v>
      </c>
    </row>
    <row r="100" spans="2:26" s="144" customFormat="1" ht="11.25" customHeight="1">
      <c r="D100" s="260"/>
      <c r="E100" s="246" t="s">
        <v>957</v>
      </c>
      <c r="F100" s="247"/>
      <c r="H100" s="3039"/>
      <c r="I100" s="3175"/>
      <c r="J100" s="3175"/>
      <c r="K100" s="3176"/>
      <c r="L100" s="3175"/>
      <c r="M100" s="3175"/>
      <c r="N100" s="3177"/>
      <c r="O100" s="259" t="s">
        <v>1624</v>
      </c>
      <c r="P100" s="261"/>
      <c r="Q100" s="3178"/>
      <c r="R100" s="3179"/>
      <c r="S100" s="3180"/>
      <c r="Z100" s="1706">
        <v>100</v>
      </c>
    </row>
    <row r="101" spans="2:26" s="144" customFormat="1" ht="11.25" customHeight="1">
      <c r="D101" s="260"/>
      <c r="E101" s="246" t="s">
        <v>575</v>
      </c>
      <c r="H101" s="3039"/>
      <c r="I101" s="3176"/>
      <c r="J101" s="3105"/>
      <c r="K101" s="262" t="s">
        <v>2458</v>
      </c>
      <c r="L101" s="3039"/>
      <c r="M101" s="3175"/>
      <c r="N101" s="3105"/>
      <c r="O101" s="259" t="s">
        <v>1600</v>
      </c>
      <c r="P101" s="261"/>
      <c r="Q101" s="3052"/>
      <c r="R101" s="3053"/>
      <c r="S101" s="3054"/>
      <c r="Z101" s="1706">
        <v>101</v>
      </c>
    </row>
    <row r="102" spans="2:26" s="144" customFormat="1" ht="11.25" customHeight="1">
      <c r="D102" s="260"/>
      <c r="E102" s="246" t="s">
        <v>1671</v>
      </c>
      <c r="H102" s="997"/>
      <c r="I102" s="261"/>
      <c r="J102" s="261"/>
      <c r="K102" s="676" t="s">
        <v>2061</v>
      </c>
      <c r="L102" s="3181"/>
      <c r="M102" s="3182"/>
      <c r="N102" s="261"/>
      <c r="O102" s="259" t="s">
        <v>1838</v>
      </c>
      <c r="P102" s="261"/>
      <c r="Q102" s="3052"/>
      <c r="R102" s="3053"/>
      <c r="S102" s="3054"/>
      <c r="Z102" s="1706">
        <v>102</v>
      </c>
    </row>
    <row r="103" spans="2:26" ht="11.25" customHeight="1">
      <c r="E103" s="246" t="s">
        <v>3462</v>
      </c>
      <c r="F103" s="144"/>
      <c r="G103" s="144"/>
      <c r="H103" s="3173"/>
      <c r="I103" s="3174"/>
      <c r="J103" s="255"/>
      <c r="K103" s="262" t="s">
        <v>1842</v>
      </c>
      <c r="L103" s="3086"/>
      <c r="M103" s="3087"/>
      <c r="N103" s="3062"/>
      <c r="O103" s="3062"/>
      <c r="P103" s="3062"/>
      <c r="Q103" s="3087"/>
      <c r="R103" s="3087"/>
      <c r="S103" s="3107"/>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58"/>
      <c r="I105" s="3108"/>
      <c r="J105" s="3108"/>
      <c r="K105" s="3108"/>
      <c r="L105" s="3108"/>
      <c r="M105" s="3108"/>
      <c r="N105" s="3109"/>
      <c r="O105" s="259" t="s">
        <v>1847</v>
      </c>
      <c r="P105" s="259"/>
      <c r="Q105" s="3058"/>
      <c r="R105" s="3108"/>
      <c r="S105" s="3109"/>
      <c r="Z105" s="1706">
        <v>105</v>
      </c>
    </row>
    <row r="106" spans="2:26" s="144" customFormat="1" ht="11.25" customHeight="1">
      <c r="D106" s="260"/>
      <c r="E106" s="246" t="s">
        <v>957</v>
      </c>
      <c r="F106" s="247"/>
      <c r="H106" s="3039"/>
      <c r="I106" s="3175"/>
      <c r="J106" s="3175"/>
      <c r="K106" s="3176"/>
      <c r="L106" s="3175"/>
      <c r="M106" s="3175"/>
      <c r="N106" s="3177"/>
      <c r="O106" s="259" t="s">
        <v>1624</v>
      </c>
      <c r="P106" s="261"/>
      <c r="Q106" s="3178"/>
      <c r="R106" s="3179"/>
      <c r="S106" s="3180"/>
      <c r="Z106" s="1706">
        <v>106</v>
      </c>
    </row>
    <row r="107" spans="2:26" s="144" customFormat="1" ht="11.25" customHeight="1">
      <c r="D107" s="260"/>
      <c r="E107" s="246" t="s">
        <v>575</v>
      </c>
      <c r="H107" s="3039"/>
      <c r="I107" s="3176"/>
      <c r="J107" s="3105"/>
      <c r="K107" s="262" t="s">
        <v>2458</v>
      </c>
      <c r="L107" s="3039"/>
      <c r="M107" s="3175"/>
      <c r="N107" s="3105"/>
      <c r="O107" s="259" t="s">
        <v>1600</v>
      </c>
      <c r="P107" s="261"/>
      <c r="Q107" s="3052"/>
      <c r="R107" s="3053"/>
      <c r="S107" s="3054"/>
      <c r="Z107" s="1706">
        <v>107</v>
      </c>
    </row>
    <row r="108" spans="2:26" s="144" customFormat="1" ht="11.25" customHeight="1">
      <c r="D108" s="260"/>
      <c r="E108" s="246" t="s">
        <v>1671</v>
      </c>
      <c r="H108" s="997"/>
      <c r="I108" s="261"/>
      <c r="J108" s="261"/>
      <c r="K108" s="676" t="s">
        <v>2061</v>
      </c>
      <c r="L108" s="3181"/>
      <c r="M108" s="3182"/>
      <c r="N108" s="261"/>
      <c r="O108" s="259" t="s">
        <v>1838</v>
      </c>
      <c r="P108" s="261"/>
      <c r="Q108" s="3052"/>
      <c r="R108" s="3053"/>
      <c r="S108" s="3054"/>
      <c r="Z108" s="1706">
        <v>108</v>
      </c>
    </row>
    <row r="109" spans="2:26" ht="11.25" customHeight="1">
      <c r="E109" s="246" t="s">
        <v>3462</v>
      </c>
      <c r="F109" s="144"/>
      <c r="G109" s="144"/>
      <c r="H109" s="3173"/>
      <c r="I109" s="3174"/>
      <c r="J109" s="255"/>
      <c r="K109" s="262" t="s">
        <v>1842</v>
      </c>
      <c r="L109" s="3086"/>
      <c r="M109" s="3087"/>
      <c r="N109" s="3062"/>
      <c r="O109" s="3062"/>
      <c r="P109" s="3062"/>
      <c r="Q109" s="3087"/>
      <c r="R109" s="3087"/>
      <c r="S109" s="3107"/>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58"/>
      <c r="I111" s="3108"/>
      <c r="J111" s="3108"/>
      <c r="K111" s="3108"/>
      <c r="L111" s="3108"/>
      <c r="M111" s="3108"/>
      <c r="N111" s="3109"/>
      <c r="O111" s="259" t="s">
        <v>1847</v>
      </c>
      <c r="P111" s="259"/>
      <c r="Q111" s="3058"/>
      <c r="R111" s="3108"/>
      <c r="S111" s="3109"/>
      <c r="Z111" s="1706">
        <v>111</v>
      </c>
    </row>
    <row r="112" spans="2:26" s="144" customFormat="1" ht="11.25" customHeight="1">
      <c r="D112" s="260"/>
      <c r="E112" s="246" t="s">
        <v>957</v>
      </c>
      <c r="F112" s="247"/>
      <c r="H112" s="3039"/>
      <c r="I112" s="3175"/>
      <c r="J112" s="3175"/>
      <c r="K112" s="3176"/>
      <c r="L112" s="3175"/>
      <c r="M112" s="3175"/>
      <c r="N112" s="3177"/>
      <c r="O112" s="259" t="s">
        <v>1624</v>
      </c>
      <c r="P112" s="261"/>
      <c r="Q112" s="3178"/>
      <c r="R112" s="3179"/>
      <c r="S112" s="3180"/>
      <c r="Z112" s="1706">
        <v>112</v>
      </c>
    </row>
    <row r="113" spans="1:26" s="144" customFormat="1" ht="11.25" customHeight="1">
      <c r="D113" s="260"/>
      <c r="E113" s="246" t="s">
        <v>575</v>
      </c>
      <c r="H113" s="3039"/>
      <c r="I113" s="3176"/>
      <c r="J113" s="3105"/>
      <c r="K113" s="262" t="s">
        <v>2458</v>
      </c>
      <c r="L113" s="3039"/>
      <c r="M113" s="3175"/>
      <c r="N113" s="3105"/>
      <c r="O113" s="259" t="s">
        <v>1600</v>
      </c>
      <c r="P113" s="261"/>
      <c r="Q113" s="3052"/>
      <c r="R113" s="3053"/>
      <c r="S113" s="3054"/>
      <c r="Z113" s="1706">
        <v>113</v>
      </c>
    </row>
    <row r="114" spans="1:26" s="144" customFormat="1" ht="11.25" customHeight="1">
      <c r="D114" s="260"/>
      <c r="E114" s="246" t="s">
        <v>1671</v>
      </c>
      <c r="H114" s="997"/>
      <c r="I114" s="261"/>
      <c r="J114" s="261"/>
      <c r="K114" s="676" t="s">
        <v>2061</v>
      </c>
      <c r="L114" s="3181"/>
      <c r="M114" s="3182"/>
      <c r="N114" s="261"/>
      <c r="O114" s="259" t="s">
        <v>1838</v>
      </c>
      <c r="P114" s="261"/>
      <c r="Q114" s="3052"/>
      <c r="R114" s="3053"/>
      <c r="S114" s="3054"/>
      <c r="Z114" s="1706">
        <v>114</v>
      </c>
    </row>
    <row r="115" spans="1:26" s="144" customFormat="1" ht="11.25" customHeight="1">
      <c r="D115" s="260"/>
      <c r="E115" s="246" t="s">
        <v>3462</v>
      </c>
      <c r="H115" s="3173"/>
      <c r="I115" s="3174"/>
      <c r="J115" s="255"/>
      <c r="K115" s="262" t="s">
        <v>1842</v>
      </c>
      <c r="L115" s="3086"/>
      <c r="M115" s="3087"/>
      <c r="N115" s="3062"/>
      <c r="O115" s="3062"/>
      <c r="P115" s="3062"/>
      <c r="Q115" s="3087"/>
      <c r="R115" s="3087"/>
      <c r="S115" s="3107"/>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6222</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6469</v>
      </c>
      <c r="H120" s="3058"/>
      <c r="I120" s="3059"/>
      <c r="J120" s="3060"/>
      <c r="K120" s="262" t="s">
        <v>1670</v>
      </c>
      <c r="L120" s="3058"/>
      <c r="M120" s="3108"/>
      <c r="N120" s="3109"/>
      <c r="O120" s="259" t="s">
        <v>3140</v>
      </c>
      <c r="P120" s="261"/>
      <c r="Q120" s="3110"/>
      <c r="R120" s="3111"/>
      <c r="S120" s="3112"/>
      <c r="Z120" s="1706">
        <v>120</v>
      </c>
    </row>
    <row r="121" spans="1:26" s="144" customFormat="1" ht="11.25" customHeight="1">
      <c r="C121" s="243"/>
      <c r="D121" s="260"/>
      <c r="E121" s="246" t="s">
        <v>6223</v>
      </c>
      <c r="F121" s="247"/>
      <c r="H121" s="3096"/>
      <c r="I121" s="3097"/>
      <c r="J121" s="3098"/>
      <c r="K121" s="3099"/>
      <c r="L121" s="3097"/>
      <c r="M121" s="3097"/>
      <c r="N121" s="3100"/>
      <c r="O121" s="259" t="s">
        <v>575</v>
      </c>
      <c r="P121" s="261"/>
      <c r="Q121" s="3101"/>
      <c r="R121" s="3102"/>
      <c r="S121" s="3103"/>
      <c r="Z121" s="1706">
        <v>121</v>
      </c>
    </row>
    <row r="122" spans="1:26" s="144" customFormat="1" ht="11.25" customHeight="1">
      <c r="C122" s="243"/>
      <c r="D122" s="260"/>
      <c r="E122" s="246" t="s">
        <v>1671</v>
      </c>
      <c r="H122" s="1261"/>
      <c r="I122" s="676" t="s">
        <v>2061</v>
      </c>
      <c r="J122" s="3104"/>
      <c r="K122" s="3105"/>
      <c r="L122" s="262" t="s">
        <v>1842</v>
      </c>
      <c r="M122" s="3106"/>
      <c r="N122" s="3062"/>
      <c r="O122" s="3062"/>
      <c r="P122" s="3062"/>
      <c r="Q122" s="3087"/>
      <c r="R122" s="3087"/>
      <c r="S122" s="3107"/>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6470</v>
      </c>
      <c r="H124" s="3058"/>
      <c r="I124" s="3059"/>
      <c r="J124" s="3060"/>
      <c r="K124" s="262" t="s">
        <v>1670</v>
      </c>
      <c r="L124" s="3058"/>
      <c r="M124" s="3108"/>
      <c r="N124" s="3109"/>
      <c r="O124" s="259" t="s">
        <v>3140</v>
      </c>
      <c r="P124" s="261"/>
      <c r="Q124" s="3110"/>
      <c r="R124" s="3111"/>
      <c r="S124" s="3112"/>
      <c r="Z124" s="1706">
        <v>124</v>
      </c>
    </row>
    <row r="125" spans="1:26" s="144" customFormat="1" ht="11.25" hidden="1" customHeight="1">
      <c r="C125" s="243"/>
      <c r="D125" s="260"/>
      <c r="E125" s="246" t="s">
        <v>6223</v>
      </c>
      <c r="F125" s="247"/>
      <c r="H125" s="3096"/>
      <c r="I125" s="3097"/>
      <c r="J125" s="3098"/>
      <c r="K125" s="3099"/>
      <c r="L125" s="3097"/>
      <c r="M125" s="3097"/>
      <c r="N125" s="3100"/>
      <c r="O125" s="259" t="s">
        <v>575</v>
      </c>
      <c r="P125" s="261"/>
      <c r="Q125" s="3101"/>
      <c r="R125" s="3102"/>
      <c r="S125" s="3103"/>
      <c r="Z125" s="1706">
        <v>125</v>
      </c>
    </row>
    <row r="126" spans="1:26" s="144" customFormat="1" ht="11.25" hidden="1" customHeight="1">
      <c r="C126" s="243"/>
      <c r="D126" s="260"/>
      <c r="E126" s="246" t="s">
        <v>1671</v>
      </c>
      <c r="H126" s="1261"/>
      <c r="I126" s="676" t="s">
        <v>2061</v>
      </c>
      <c r="J126" s="3104"/>
      <c r="K126" s="3105"/>
      <c r="L126" s="262" t="s">
        <v>1842</v>
      </c>
      <c r="M126" s="3106"/>
      <c r="N126" s="3062"/>
      <c r="O126" s="3062"/>
      <c r="P126" s="3062"/>
      <c r="Q126" s="3087"/>
      <c r="R126" s="3087"/>
      <c r="S126" s="3107"/>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6303</v>
      </c>
      <c r="H128" s="3058"/>
      <c r="I128" s="3059"/>
      <c r="J128" s="3060"/>
      <c r="K128" s="262" t="s">
        <v>1670</v>
      </c>
      <c r="L128" s="3058"/>
      <c r="M128" s="3108"/>
      <c r="N128" s="3109"/>
      <c r="O128" s="259" t="s">
        <v>3140</v>
      </c>
      <c r="P128" s="261"/>
      <c r="Q128" s="3110"/>
      <c r="R128" s="3111"/>
      <c r="S128" s="3112"/>
      <c r="Z128" s="1706">
        <v>128</v>
      </c>
    </row>
    <row r="129" spans="3:26" s="144" customFormat="1" ht="11.25" hidden="1" customHeight="1">
      <c r="C129" s="243"/>
      <c r="D129" s="260"/>
      <c r="E129" s="246" t="s">
        <v>6223</v>
      </c>
      <c r="F129" s="247"/>
      <c r="H129" s="3096"/>
      <c r="I129" s="3097"/>
      <c r="J129" s="3098"/>
      <c r="K129" s="3099"/>
      <c r="L129" s="3097"/>
      <c r="M129" s="3097"/>
      <c r="N129" s="3100"/>
      <c r="O129" s="259" t="s">
        <v>575</v>
      </c>
      <c r="P129" s="261"/>
      <c r="Q129" s="3101"/>
      <c r="R129" s="3102"/>
      <c r="S129" s="3103"/>
      <c r="Z129" s="1706">
        <v>129</v>
      </c>
    </row>
    <row r="130" spans="3:26" s="144" customFormat="1" ht="11.25" hidden="1" customHeight="1">
      <c r="C130" s="243"/>
      <c r="D130" s="260"/>
      <c r="E130" s="246" t="s">
        <v>1671</v>
      </c>
      <c r="H130" s="1261"/>
      <c r="I130" s="676" t="s">
        <v>2061</v>
      </c>
      <c r="J130" s="3104"/>
      <c r="K130" s="3105"/>
      <c r="L130" s="262" t="s">
        <v>1842</v>
      </c>
      <c r="M130" s="3106"/>
      <c r="N130" s="3062"/>
      <c r="O130" s="3062"/>
      <c r="P130" s="3062"/>
      <c r="Q130" s="3087"/>
      <c r="R130" s="3087"/>
      <c r="S130" s="3107"/>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6471</v>
      </c>
      <c r="H132" s="3058"/>
      <c r="I132" s="3059"/>
      <c r="J132" s="3060"/>
      <c r="K132" s="262" t="s">
        <v>1670</v>
      </c>
      <c r="L132" s="3058"/>
      <c r="M132" s="3108"/>
      <c r="N132" s="3109"/>
      <c r="O132" s="259" t="s">
        <v>3140</v>
      </c>
      <c r="P132" s="261"/>
      <c r="Q132" s="3110"/>
      <c r="R132" s="3111"/>
      <c r="S132" s="3112"/>
      <c r="Z132" s="1706">
        <v>132</v>
      </c>
    </row>
    <row r="133" spans="3:26" s="144" customFormat="1" ht="11.25" hidden="1" customHeight="1">
      <c r="C133" s="243"/>
      <c r="D133" s="260"/>
      <c r="E133" s="246" t="s">
        <v>6223</v>
      </c>
      <c r="F133" s="247"/>
      <c r="H133" s="3096"/>
      <c r="I133" s="3097"/>
      <c r="J133" s="3098"/>
      <c r="K133" s="3099"/>
      <c r="L133" s="3097"/>
      <c r="M133" s="3097"/>
      <c r="N133" s="3100"/>
      <c r="O133" s="259" t="s">
        <v>575</v>
      </c>
      <c r="P133" s="261"/>
      <c r="Q133" s="3101"/>
      <c r="R133" s="3102"/>
      <c r="S133" s="3103"/>
      <c r="Z133" s="1706">
        <v>133</v>
      </c>
    </row>
    <row r="134" spans="3:26" s="144" customFormat="1" ht="11.25" hidden="1" customHeight="1">
      <c r="C134" s="243"/>
      <c r="D134" s="260"/>
      <c r="E134" s="246" t="s">
        <v>1671</v>
      </c>
      <c r="H134" s="1261"/>
      <c r="I134" s="676" t="s">
        <v>2061</v>
      </c>
      <c r="J134" s="3104"/>
      <c r="K134" s="3105"/>
      <c r="L134" s="262" t="s">
        <v>1842</v>
      </c>
      <c r="M134" s="3106"/>
      <c r="N134" s="3062"/>
      <c r="O134" s="3062"/>
      <c r="P134" s="3062"/>
      <c r="Q134" s="3087"/>
      <c r="R134" s="3087"/>
      <c r="S134" s="3107"/>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6472</v>
      </c>
      <c r="H136" s="3058"/>
      <c r="I136" s="3059"/>
      <c r="J136" s="3060"/>
      <c r="K136" s="262" t="s">
        <v>1670</v>
      </c>
      <c r="L136" s="3058"/>
      <c r="M136" s="3108"/>
      <c r="N136" s="3109"/>
      <c r="O136" s="259" t="s">
        <v>3140</v>
      </c>
      <c r="P136" s="261"/>
      <c r="Q136" s="3110"/>
      <c r="R136" s="3111"/>
      <c r="S136" s="3112"/>
      <c r="Z136" s="1706">
        <v>136</v>
      </c>
    </row>
    <row r="137" spans="3:26" s="144" customFormat="1" ht="11.25" hidden="1" customHeight="1">
      <c r="C137" s="243"/>
      <c r="D137" s="260"/>
      <c r="E137" s="246" t="s">
        <v>6223</v>
      </c>
      <c r="F137" s="247"/>
      <c r="H137" s="3096"/>
      <c r="I137" s="3097"/>
      <c r="J137" s="3098"/>
      <c r="K137" s="3099"/>
      <c r="L137" s="3097"/>
      <c r="M137" s="3097"/>
      <c r="N137" s="3100"/>
      <c r="O137" s="259" t="s">
        <v>575</v>
      </c>
      <c r="P137" s="261"/>
      <c r="Q137" s="3101"/>
      <c r="R137" s="3102"/>
      <c r="S137" s="3103"/>
      <c r="Z137" s="1706">
        <v>137</v>
      </c>
    </row>
    <row r="138" spans="3:26" s="144" customFormat="1" ht="11.25" hidden="1" customHeight="1">
      <c r="C138" s="243"/>
      <c r="D138" s="260"/>
      <c r="E138" s="246" t="s">
        <v>1671</v>
      </c>
      <c r="H138" s="1261"/>
      <c r="I138" s="676" t="s">
        <v>2061</v>
      </c>
      <c r="J138" s="3104"/>
      <c r="K138" s="3105"/>
      <c r="L138" s="262" t="s">
        <v>1842</v>
      </c>
      <c r="M138" s="3106"/>
      <c r="N138" s="3062"/>
      <c r="O138" s="3062"/>
      <c r="P138" s="3062"/>
      <c r="Q138" s="3087"/>
      <c r="R138" s="3087"/>
      <c r="S138" s="3107"/>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6473</v>
      </c>
      <c r="H140" s="3058"/>
      <c r="I140" s="3059"/>
      <c r="J140" s="3060"/>
      <c r="K140" s="262" t="s">
        <v>1670</v>
      </c>
      <c r="L140" s="3058"/>
      <c r="M140" s="3108"/>
      <c r="N140" s="3109"/>
      <c r="O140" s="259" t="s">
        <v>3140</v>
      </c>
      <c r="P140" s="261"/>
      <c r="Q140" s="3110"/>
      <c r="R140" s="3111"/>
      <c r="S140" s="3112"/>
      <c r="Z140" s="1706">
        <v>140</v>
      </c>
    </row>
    <row r="141" spans="3:26" s="144" customFormat="1" ht="11.25" hidden="1" customHeight="1">
      <c r="C141" s="243"/>
      <c r="D141" s="260"/>
      <c r="E141" s="246" t="s">
        <v>6223</v>
      </c>
      <c r="F141" s="247"/>
      <c r="H141" s="3096"/>
      <c r="I141" s="3097"/>
      <c r="J141" s="3098"/>
      <c r="K141" s="3099"/>
      <c r="L141" s="3097"/>
      <c r="M141" s="3097"/>
      <c r="N141" s="3100"/>
      <c r="O141" s="259" t="s">
        <v>575</v>
      </c>
      <c r="P141" s="261"/>
      <c r="Q141" s="3101"/>
      <c r="R141" s="3102"/>
      <c r="S141" s="3103"/>
      <c r="Z141" s="1706">
        <v>141</v>
      </c>
    </row>
    <row r="142" spans="3:26" s="144" customFormat="1" ht="11.25" hidden="1" customHeight="1">
      <c r="C142" s="243"/>
      <c r="D142" s="260"/>
      <c r="E142" s="246" t="s">
        <v>1671</v>
      </c>
      <c r="H142" s="1261"/>
      <c r="I142" s="676" t="s">
        <v>2061</v>
      </c>
      <c r="J142" s="3104"/>
      <c r="K142" s="3105"/>
      <c r="L142" s="262" t="s">
        <v>1842</v>
      </c>
      <c r="M142" s="3106"/>
      <c r="N142" s="3062"/>
      <c r="O142" s="3062"/>
      <c r="P142" s="3062"/>
      <c r="Q142" s="3087"/>
      <c r="R142" s="3087"/>
      <c r="S142" s="3107"/>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6467</v>
      </c>
      <c r="H144" s="3058"/>
      <c r="I144" s="3059"/>
      <c r="J144" s="3060"/>
      <c r="K144" s="262" t="s">
        <v>1670</v>
      </c>
      <c r="L144" s="3058"/>
      <c r="M144" s="3108"/>
      <c r="N144" s="3109"/>
      <c r="O144" s="259" t="s">
        <v>3140</v>
      </c>
      <c r="P144" s="261"/>
      <c r="Q144" s="3110"/>
      <c r="R144" s="3111"/>
      <c r="S144" s="3112"/>
      <c r="Z144" s="1706">
        <v>144</v>
      </c>
    </row>
    <row r="145" spans="1:26" s="144" customFormat="1" ht="11.25" customHeight="1">
      <c r="C145" s="243"/>
      <c r="D145" s="260"/>
      <c r="E145" s="246" t="s">
        <v>6223</v>
      </c>
      <c r="F145" s="247"/>
      <c r="H145" s="3096"/>
      <c r="I145" s="3097"/>
      <c r="J145" s="3098"/>
      <c r="K145" s="3099"/>
      <c r="L145" s="3097"/>
      <c r="M145" s="3097"/>
      <c r="N145" s="3100"/>
      <c r="O145" s="259" t="s">
        <v>575</v>
      </c>
      <c r="P145" s="261"/>
      <c r="Q145" s="3101"/>
      <c r="R145" s="3102"/>
      <c r="S145" s="3103"/>
      <c r="Z145" s="1706">
        <v>145</v>
      </c>
    </row>
    <row r="146" spans="1:26" s="144" customFormat="1" ht="11.25" customHeight="1">
      <c r="C146" s="243"/>
      <c r="D146" s="260"/>
      <c r="E146" s="246" t="s">
        <v>1671</v>
      </c>
      <c r="H146" s="1261"/>
      <c r="I146" s="676" t="s">
        <v>2061</v>
      </c>
      <c r="J146" s="3104"/>
      <c r="K146" s="3105"/>
      <c r="L146" s="262" t="s">
        <v>1842</v>
      </c>
      <c r="M146" s="3106"/>
      <c r="N146" s="3062"/>
      <c r="O146" s="3062"/>
      <c r="P146" s="3062"/>
      <c r="Q146" s="3087"/>
      <c r="R146" s="3087"/>
      <c r="S146" s="3107"/>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6468</v>
      </c>
      <c r="H148" s="3058"/>
      <c r="I148" s="3059"/>
      <c r="J148" s="3060"/>
      <c r="K148" s="262" t="s">
        <v>1670</v>
      </c>
      <c r="L148" s="3058"/>
      <c r="M148" s="3108"/>
      <c r="N148" s="3109"/>
      <c r="O148" s="259" t="s">
        <v>3140</v>
      </c>
      <c r="P148" s="261"/>
      <c r="Q148" s="3110"/>
      <c r="R148" s="3111"/>
      <c r="S148" s="3112"/>
      <c r="Z148" s="1706">
        <v>148</v>
      </c>
    </row>
    <row r="149" spans="1:26" s="144" customFormat="1" ht="11.25" customHeight="1">
      <c r="D149" s="260"/>
      <c r="E149" s="246" t="s">
        <v>6223</v>
      </c>
      <c r="F149" s="247"/>
      <c r="H149" s="3096"/>
      <c r="I149" s="3097"/>
      <c r="J149" s="3098"/>
      <c r="K149" s="3099"/>
      <c r="L149" s="3097"/>
      <c r="M149" s="3097"/>
      <c r="N149" s="3100"/>
      <c r="O149" s="259" t="s">
        <v>575</v>
      </c>
      <c r="P149" s="261"/>
      <c r="Q149" s="3101"/>
      <c r="R149" s="3102"/>
      <c r="S149" s="3103"/>
      <c r="Z149" s="1706">
        <v>149</v>
      </c>
    </row>
    <row r="150" spans="1:26" s="144" customFormat="1" ht="11.25" customHeight="1">
      <c r="D150" s="260"/>
      <c r="E150" s="246" t="s">
        <v>1671</v>
      </c>
      <c r="H150" s="1261"/>
      <c r="I150" s="676" t="s">
        <v>2061</v>
      </c>
      <c r="J150" s="3104"/>
      <c r="K150" s="3105"/>
      <c r="L150" s="262" t="s">
        <v>1842</v>
      </c>
      <c r="M150" s="3106"/>
      <c r="N150" s="3062"/>
      <c r="O150" s="3062"/>
      <c r="P150" s="3062"/>
      <c r="Q150" s="3087"/>
      <c r="R150" s="3087"/>
      <c r="S150" s="3107"/>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3881</v>
      </c>
      <c r="H152" s="480"/>
      <c r="I152" s="480"/>
      <c r="J152" s="480"/>
      <c r="K152" s="480"/>
      <c r="L152" s="480"/>
      <c r="M152" s="480"/>
      <c r="N152" s="480"/>
      <c r="O152" s="480"/>
      <c r="P152" s="480"/>
      <c r="Q152" s="480"/>
      <c r="R152" s="480"/>
      <c r="S152" s="480"/>
      <c r="Z152" s="1706">
        <v>152</v>
      </c>
    </row>
    <row r="153" spans="1:26" ht="14.4" thickBot="1">
      <c r="A153" s="3113" t="s">
        <v>3297</v>
      </c>
      <c r="B153" s="3113"/>
      <c r="C153" s="3113"/>
      <c r="D153" s="3113"/>
      <c r="E153" s="3113"/>
      <c r="H153" s="1263" t="s">
        <v>2308</v>
      </c>
      <c r="I153" s="3090" t="s">
        <v>6517</v>
      </c>
      <c r="J153" s="3091"/>
      <c r="K153" s="3091"/>
      <c r="L153" s="3091"/>
      <c r="M153" s="3091"/>
      <c r="N153" s="3091"/>
      <c r="O153" s="3091"/>
      <c r="P153" s="3091"/>
      <c r="Q153" s="3091"/>
      <c r="R153" s="3091"/>
      <c r="S153" s="3092"/>
      <c r="Z153" s="1706">
        <v>153</v>
      </c>
    </row>
    <row r="154" spans="1:26" s="144" customFormat="1" ht="15" customHeight="1" thickBot="1">
      <c r="B154" s="476" t="s">
        <v>1844</v>
      </c>
      <c r="C154" s="256" t="s">
        <v>2520</v>
      </c>
      <c r="E154" s="256"/>
      <c r="H154" s="1216" t="s">
        <v>3839</v>
      </c>
      <c r="I154" s="3197"/>
      <c r="J154" s="3118"/>
      <c r="K154" s="3118"/>
      <c r="L154" s="3118"/>
      <c r="M154" s="3118"/>
      <c r="N154" s="3118"/>
      <c r="O154" s="3118"/>
      <c r="P154" s="3118"/>
      <c r="Q154" s="3118"/>
      <c r="R154" s="3118"/>
      <c r="S154" s="3120"/>
      <c r="U154" s="3027" t="s">
        <v>1883</v>
      </c>
      <c r="V154" s="3027"/>
      <c r="Z154" s="1706">
        <v>154</v>
      </c>
    </row>
    <row r="155" spans="1:26" s="144" customFormat="1" ht="15" customHeight="1" thickBot="1">
      <c r="B155" s="476" t="s">
        <v>1846</v>
      </c>
      <c r="C155" s="256" t="s">
        <v>6221</v>
      </c>
      <c r="E155" s="256"/>
      <c r="H155" s="1216" t="s">
        <v>3839</v>
      </c>
      <c r="I155" s="3196"/>
      <c r="J155" s="3125"/>
      <c r="K155" s="3125"/>
      <c r="L155" s="3125"/>
      <c r="M155" s="3125"/>
      <c r="N155" s="3125"/>
      <c r="O155" s="3125"/>
      <c r="P155" s="3125"/>
      <c r="Q155" s="3125"/>
      <c r="R155" s="3125"/>
      <c r="S155" s="3127"/>
      <c r="U155" s="3027"/>
      <c r="V155" s="3027"/>
      <c r="Z155" s="1706">
        <v>155</v>
      </c>
    </row>
    <row r="156" spans="1:26" s="144" customFormat="1" ht="15" customHeight="1" thickBot="1">
      <c r="B156" s="476" t="s">
        <v>2332</v>
      </c>
      <c r="C156" s="256" t="s">
        <v>2556</v>
      </c>
      <c r="E156" s="256"/>
      <c r="H156" s="1216" t="s">
        <v>3839</v>
      </c>
      <c r="I156" s="3196"/>
      <c r="J156" s="3125"/>
      <c r="K156" s="3125"/>
      <c r="L156" s="3125"/>
      <c r="M156" s="3125"/>
      <c r="N156" s="3125"/>
      <c r="O156" s="3125"/>
      <c r="P156" s="3125"/>
      <c r="Q156" s="3125"/>
      <c r="R156" s="3125"/>
      <c r="S156" s="3127"/>
      <c r="U156" s="3027"/>
      <c r="V156" s="3027"/>
      <c r="Z156" s="1706">
        <v>156</v>
      </c>
    </row>
    <row r="157" spans="1:26" s="144" customFormat="1" ht="15" customHeight="1" thickBot="1">
      <c r="B157" s="476" t="s">
        <v>1150</v>
      </c>
      <c r="C157" s="256" t="s">
        <v>2521</v>
      </c>
      <c r="E157" s="256"/>
      <c r="H157" s="1216" t="s">
        <v>3839</v>
      </c>
      <c r="I157" s="3196"/>
      <c r="J157" s="3125"/>
      <c r="K157" s="3125"/>
      <c r="L157" s="3125"/>
      <c r="M157" s="3125"/>
      <c r="N157" s="3125"/>
      <c r="O157" s="3125"/>
      <c r="P157" s="3125"/>
      <c r="Q157" s="3125"/>
      <c r="R157" s="3125"/>
      <c r="S157" s="3127"/>
      <c r="U157" s="3027"/>
      <c r="V157" s="3027"/>
      <c r="Z157" s="1706">
        <v>157</v>
      </c>
    </row>
    <row r="158" spans="1:26" s="144" customFormat="1" ht="15" customHeight="1" thickBot="1">
      <c r="B158" s="476" t="s">
        <v>1151</v>
      </c>
      <c r="C158" s="256" t="s">
        <v>3074</v>
      </c>
      <c r="E158" s="256"/>
      <c r="H158" s="1216" t="s">
        <v>3839</v>
      </c>
      <c r="I158" s="3196"/>
      <c r="J158" s="3125"/>
      <c r="K158" s="3125"/>
      <c r="L158" s="3125"/>
      <c r="M158" s="3125"/>
      <c r="N158" s="3125"/>
      <c r="O158" s="3125"/>
      <c r="P158" s="3125"/>
      <c r="Q158" s="3125"/>
      <c r="R158" s="3125"/>
      <c r="S158" s="3127"/>
      <c r="U158" s="3027"/>
      <c r="V158" s="3027"/>
      <c r="Z158" s="1706">
        <v>158</v>
      </c>
    </row>
    <row r="159" spans="1:26" s="144" customFormat="1" ht="15" customHeight="1" thickBot="1">
      <c r="B159" s="476" t="s">
        <v>1742</v>
      </c>
      <c r="C159" s="256" t="s">
        <v>3075</v>
      </c>
      <c r="E159" s="256"/>
      <c r="H159" s="1216" t="s">
        <v>3839</v>
      </c>
      <c r="I159" s="3196"/>
      <c r="J159" s="3125"/>
      <c r="K159" s="3125"/>
      <c r="L159" s="3125"/>
      <c r="M159" s="3125"/>
      <c r="N159" s="3125"/>
      <c r="O159" s="3125"/>
      <c r="P159" s="3125"/>
      <c r="Q159" s="3125"/>
      <c r="R159" s="3125"/>
      <c r="S159" s="3127"/>
      <c r="U159" s="3027"/>
      <c r="V159" s="3027"/>
      <c r="Z159" s="1706">
        <v>159</v>
      </c>
    </row>
    <row r="160" spans="1:26" s="144" customFormat="1" ht="15" customHeight="1" thickBot="1">
      <c r="B160" s="476" t="s">
        <v>473</v>
      </c>
      <c r="C160" s="256" t="s">
        <v>2522</v>
      </c>
      <c r="E160" s="256"/>
      <c r="H160" s="1216" t="s">
        <v>3839</v>
      </c>
      <c r="I160" s="3196"/>
      <c r="J160" s="3125"/>
      <c r="K160" s="3125"/>
      <c r="L160" s="3125"/>
      <c r="M160" s="3125"/>
      <c r="N160" s="3125"/>
      <c r="O160" s="3125"/>
      <c r="P160" s="3125"/>
      <c r="Q160" s="3125"/>
      <c r="R160" s="3125"/>
      <c r="S160" s="3127"/>
      <c r="Z160" s="1706">
        <v>160</v>
      </c>
    </row>
    <row r="161" spans="1:26" s="144" customFormat="1" ht="15" customHeight="1" thickBot="1">
      <c r="B161" s="476" t="s">
        <v>474</v>
      </c>
      <c r="C161" s="256" t="s">
        <v>3890</v>
      </c>
      <c r="E161" s="256"/>
      <c r="H161" s="1216" t="s">
        <v>3839</v>
      </c>
      <c r="I161" s="3196"/>
      <c r="J161" s="3125"/>
      <c r="K161" s="3125"/>
      <c r="L161" s="3125"/>
      <c r="M161" s="3125"/>
      <c r="N161" s="3125"/>
      <c r="O161" s="3125"/>
      <c r="P161" s="3125"/>
      <c r="Q161" s="3125"/>
      <c r="R161" s="3125"/>
      <c r="S161" s="3127"/>
      <c r="Z161" s="1706">
        <v>161</v>
      </c>
    </row>
    <row r="162" spans="1:26" s="144" customFormat="1" ht="15" customHeight="1" thickBot="1">
      <c r="B162" s="476" t="s">
        <v>3889</v>
      </c>
      <c r="C162" s="3093" t="s">
        <v>6474</v>
      </c>
      <c r="D162" s="3094"/>
      <c r="E162" s="3094"/>
      <c r="F162" s="3094"/>
      <c r="G162" s="3095"/>
      <c r="H162" s="1216" t="s">
        <v>3839</v>
      </c>
      <c r="I162" s="3195"/>
      <c r="J162" s="3164"/>
      <c r="K162" s="3164"/>
      <c r="L162" s="3164"/>
      <c r="M162" s="3164"/>
      <c r="N162" s="3164"/>
      <c r="O162" s="3164"/>
      <c r="P162" s="3164"/>
      <c r="Q162" s="3164"/>
      <c r="R162" s="3164"/>
      <c r="S162" s="3166"/>
      <c r="Z162" s="1706">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3882</v>
      </c>
      <c r="Z165" s="1706">
        <v>165</v>
      </c>
    </row>
    <row r="166" spans="1:26" s="144" customFormat="1" ht="12.75" customHeight="1">
      <c r="A166" s="3128" t="s">
        <v>594</v>
      </c>
      <c r="B166" s="3129"/>
      <c r="C166" s="3129"/>
      <c r="D166" s="3129"/>
      <c r="E166" s="3134" t="s">
        <v>3063</v>
      </c>
      <c r="F166" s="3135"/>
      <c r="G166" s="3135"/>
      <c r="H166" s="3135"/>
      <c r="I166" s="3136"/>
      <c r="J166" s="3140" t="s">
        <v>3064</v>
      </c>
      <c r="K166" s="3143" t="s">
        <v>2578</v>
      </c>
      <c r="L166" s="3143" t="s">
        <v>2579</v>
      </c>
      <c r="M166" s="3146" t="s">
        <v>6475</v>
      </c>
      <c r="N166" s="3147"/>
      <c r="O166" s="3147"/>
      <c r="P166" s="3147"/>
      <c r="Q166" s="3147"/>
      <c r="R166" s="3147"/>
      <c r="S166" s="3148"/>
      <c r="Z166" s="1706">
        <v>166</v>
      </c>
    </row>
    <row r="167" spans="1:26" s="144" customFormat="1" ht="12.75" customHeight="1">
      <c r="A167" s="3130"/>
      <c r="B167" s="3131"/>
      <c r="C167" s="3131"/>
      <c r="D167" s="3131"/>
      <c r="E167" s="3137"/>
      <c r="F167" s="3138"/>
      <c r="G167" s="3138"/>
      <c r="H167" s="3138"/>
      <c r="I167" s="3139"/>
      <c r="J167" s="3141"/>
      <c r="K167" s="3144"/>
      <c r="L167" s="3144"/>
      <c r="M167" s="3149"/>
      <c r="N167" s="3150"/>
      <c r="O167" s="3150"/>
      <c r="P167" s="3150"/>
      <c r="Q167" s="3150"/>
      <c r="R167" s="3150"/>
      <c r="S167" s="3151"/>
      <c r="Z167" s="1706">
        <v>167</v>
      </c>
    </row>
    <row r="168" spans="1:26" s="144" customFormat="1" ht="12.75" customHeight="1">
      <c r="A168" s="3130"/>
      <c r="B168" s="3131"/>
      <c r="C168" s="3131"/>
      <c r="D168" s="3131"/>
      <c r="E168" s="3137"/>
      <c r="F168" s="3138"/>
      <c r="G168" s="3138"/>
      <c r="H168" s="3138"/>
      <c r="I168" s="3139"/>
      <c r="J168" s="3141"/>
      <c r="K168" s="3144"/>
      <c r="L168" s="3144"/>
      <c r="M168" s="3149"/>
      <c r="N168" s="3150"/>
      <c r="O168" s="3150"/>
      <c r="P168" s="3150"/>
      <c r="Q168" s="3150"/>
      <c r="R168" s="3150"/>
      <c r="S168" s="3151"/>
      <c r="Z168" s="1706">
        <v>168</v>
      </c>
    </row>
    <row r="169" spans="1:26" s="144" customFormat="1" ht="12.75" customHeight="1">
      <c r="A169" s="3130"/>
      <c r="B169" s="3131"/>
      <c r="C169" s="3131"/>
      <c r="D169" s="3131"/>
      <c r="E169" s="3152" t="s">
        <v>3217</v>
      </c>
      <c r="F169" s="3153"/>
      <c r="G169" s="3153"/>
      <c r="H169" s="3154"/>
      <c r="I169" s="481"/>
      <c r="J169" s="3141"/>
      <c r="K169" s="3144"/>
      <c r="L169" s="3144"/>
      <c r="M169" s="3149"/>
      <c r="N169" s="3150"/>
      <c r="O169" s="3150"/>
      <c r="P169" s="3150"/>
      <c r="Q169" s="3150"/>
      <c r="R169" s="3150"/>
      <c r="S169" s="3151"/>
      <c r="Z169" s="1706">
        <v>169</v>
      </c>
    </row>
    <row r="170" spans="1:26" s="144" customFormat="1" ht="13.5" customHeight="1">
      <c r="A170" s="3132"/>
      <c r="B170" s="3133"/>
      <c r="C170" s="3133"/>
      <c r="D170" s="3133"/>
      <c r="E170" s="3155"/>
      <c r="F170" s="3156"/>
      <c r="G170" s="3156"/>
      <c r="H170" s="3157"/>
      <c r="I170" s="1217" t="s">
        <v>2308</v>
      </c>
      <c r="J170" s="3142"/>
      <c r="K170" s="3145"/>
      <c r="L170" s="3144"/>
      <c r="M170" s="1218" t="s">
        <v>2308</v>
      </c>
      <c r="N170" s="3158" t="s">
        <v>2577</v>
      </c>
      <c r="O170" s="3158"/>
      <c r="P170" s="3158"/>
      <c r="Q170" s="3158"/>
      <c r="R170" s="3158"/>
      <c r="S170" s="3159"/>
      <c r="Z170" s="1706">
        <v>170</v>
      </c>
    </row>
    <row r="171" spans="1:26" s="144" customFormat="1" ht="23.25" customHeight="1">
      <c r="A171" s="3114" t="s">
        <v>3058</v>
      </c>
      <c r="B171" s="3115"/>
      <c r="C171" s="3115"/>
      <c r="D171" s="3116"/>
      <c r="E171" s="3117"/>
      <c r="F171" s="3118"/>
      <c r="G171" s="3118"/>
      <c r="H171" s="3118"/>
      <c r="I171" s="646" t="s">
        <v>3839</v>
      </c>
      <c r="J171" s="477" t="s">
        <v>3839</v>
      </c>
      <c r="K171" s="477"/>
      <c r="L171" s="649"/>
      <c r="M171" s="482" t="s">
        <v>3839</v>
      </c>
      <c r="N171" s="3119"/>
      <c r="O171" s="3118"/>
      <c r="P171" s="3118"/>
      <c r="Q171" s="3118"/>
      <c r="R171" s="3118"/>
      <c r="S171" s="3120"/>
      <c r="Z171" s="1706">
        <v>171</v>
      </c>
    </row>
    <row r="172" spans="1:26" s="144" customFormat="1" ht="23.25" customHeight="1">
      <c r="A172" s="3121" t="s">
        <v>3059</v>
      </c>
      <c r="B172" s="3122"/>
      <c r="C172" s="3122"/>
      <c r="D172" s="3123"/>
      <c r="E172" s="3124"/>
      <c r="F172" s="3125"/>
      <c r="G172" s="3125"/>
      <c r="H172" s="3125"/>
      <c r="I172" s="647" t="s">
        <v>3839</v>
      </c>
      <c r="J172" s="478" t="s">
        <v>3839</v>
      </c>
      <c r="K172" s="478"/>
      <c r="L172" s="650"/>
      <c r="M172" s="483" t="s">
        <v>3839</v>
      </c>
      <c r="N172" s="3126"/>
      <c r="O172" s="3125"/>
      <c r="P172" s="3125"/>
      <c r="Q172" s="3125"/>
      <c r="R172" s="3125"/>
      <c r="S172" s="3127"/>
      <c r="U172" s="3027" t="s">
        <v>1883</v>
      </c>
      <c r="V172" s="3027"/>
      <c r="Z172" s="1706">
        <v>172</v>
      </c>
    </row>
    <row r="173" spans="1:26" s="144" customFormat="1" ht="23.25" customHeight="1">
      <c r="A173" s="3121" t="s">
        <v>3060</v>
      </c>
      <c r="B173" s="3122"/>
      <c r="C173" s="3122"/>
      <c r="D173" s="3123"/>
      <c r="E173" s="3124"/>
      <c r="F173" s="3125"/>
      <c r="G173" s="3125"/>
      <c r="H173" s="3125"/>
      <c r="I173" s="647" t="s">
        <v>3839</v>
      </c>
      <c r="J173" s="478" t="s">
        <v>3839</v>
      </c>
      <c r="K173" s="478"/>
      <c r="L173" s="650"/>
      <c r="M173" s="483" t="s">
        <v>3839</v>
      </c>
      <c r="N173" s="3126"/>
      <c r="O173" s="3125"/>
      <c r="P173" s="3125"/>
      <c r="Q173" s="3125"/>
      <c r="R173" s="3125"/>
      <c r="S173" s="3127"/>
      <c r="U173" s="3027"/>
      <c r="V173" s="3027"/>
      <c r="Z173" s="1706">
        <v>173</v>
      </c>
    </row>
    <row r="174" spans="1:26" s="144" customFormat="1" ht="23.25" customHeight="1">
      <c r="A174" s="3121" t="s">
        <v>3061</v>
      </c>
      <c r="B174" s="3122"/>
      <c r="C174" s="3122"/>
      <c r="D174" s="3123"/>
      <c r="E174" s="3124"/>
      <c r="F174" s="3125"/>
      <c r="G174" s="3125"/>
      <c r="H174" s="3125"/>
      <c r="I174" s="647" t="s">
        <v>3839</v>
      </c>
      <c r="J174" s="478" t="s">
        <v>3839</v>
      </c>
      <c r="K174" s="478"/>
      <c r="L174" s="650"/>
      <c r="M174" s="483" t="s">
        <v>3839</v>
      </c>
      <c r="N174" s="3126"/>
      <c r="O174" s="3125"/>
      <c r="P174" s="3125"/>
      <c r="Q174" s="3125"/>
      <c r="R174" s="3125"/>
      <c r="S174" s="3127"/>
      <c r="U174" s="3027"/>
      <c r="V174" s="3027"/>
      <c r="Z174" s="1706">
        <v>174</v>
      </c>
    </row>
    <row r="175" spans="1:26" s="144" customFormat="1" ht="23.25" customHeight="1">
      <c r="A175" s="3121" t="s">
        <v>3062</v>
      </c>
      <c r="B175" s="3122"/>
      <c r="C175" s="3122"/>
      <c r="D175" s="3123"/>
      <c r="E175" s="3124"/>
      <c r="F175" s="3125"/>
      <c r="G175" s="3125"/>
      <c r="H175" s="3125"/>
      <c r="I175" s="647" t="s">
        <v>3839</v>
      </c>
      <c r="J175" s="478" t="s">
        <v>3839</v>
      </c>
      <c r="K175" s="478"/>
      <c r="L175" s="650"/>
      <c r="M175" s="483" t="s">
        <v>3839</v>
      </c>
      <c r="N175" s="3126"/>
      <c r="O175" s="3125"/>
      <c r="P175" s="3125"/>
      <c r="Q175" s="3125"/>
      <c r="R175" s="3125"/>
      <c r="S175" s="3127"/>
      <c r="U175" s="3027"/>
      <c r="V175" s="3027"/>
      <c r="Z175" s="1706">
        <v>175</v>
      </c>
    </row>
    <row r="176" spans="1:26" s="144" customFormat="1" ht="23.25" customHeight="1">
      <c r="A176" s="3121" t="s">
        <v>2568</v>
      </c>
      <c r="B176" s="3122"/>
      <c r="C176" s="3122"/>
      <c r="D176" s="3123"/>
      <c r="E176" s="3124"/>
      <c r="F176" s="3125"/>
      <c r="G176" s="3125"/>
      <c r="H176" s="3125"/>
      <c r="I176" s="647" t="s">
        <v>3839</v>
      </c>
      <c r="J176" s="478" t="s">
        <v>3839</v>
      </c>
      <c r="K176" s="478"/>
      <c r="L176" s="650"/>
      <c r="M176" s="483" t="s">
        <v>3839</v>
      </c>
      <c r="N176" s="3126"/>
      <c r="O176" s="3125"/>
      <c r="P176" s="3125"/>
      <c r="Q176" s="3125"/>
      <c r="R176" s="3125"/>
      <c r="S176" s="3127"/>
      <c r="U176" s="3027"/>
      <c r="V176" s="3027"/>
      <c r="Z176" s="1706">
        <v>176</v>
      </c>
    </row>
    <row r="177" spans="1:26" s="144" customFormat="1" ht="23.25" customHeight="1">
      <c r="A177" s="3121" t="s">
        <v>607</v>
      </c>
      <c r="B177" s="3122"/>
      <c r="C177" s="3122"/>
      <c r="D177" s="3123"/>
      <c r="E177" s="3124"/>
      <c r="F177" s="3125"/>
      <c r="G177" s="3125"/>
      <c r="H177" s="3125"/>
      <c r="I177" s="647" t="s">
        <v>3839</v>
      </c>
      <c r="J177" s="478" t="s">
        <v>3839</v>
      </c>
      <c r="K177" s="478"/>
      <c r="L177" s="650"/>
      <c r="M177" s="483" t="s">
        <v>3839</v>
      </c>
      <c r="N177" s="3126"/>
      <c r="O177" s="3125"/>
      <c r="P177" s="3125"/>
      <c r="Q177" s="3125"/>
      <c r="R177" s="3125"/>
      <c r="S177" s="3127"/>
      <c r="U177" s="3027"/>
      <c r="V177" s="3027"/>
      <c r="Z177" s="1706">
        <v>177</v>
      </c>
    </row>
    <row r="178" spans="1:26" s="144" customFormat="1" ht="23.25" customHeight="1">
      <c r="A178" s="3121" t="s">
        <v>2569</v>
      </c>
      <c r="B178" s="3122"/>
      <c r="C178" s="3122"/>
      <c r="D178" s="3123"/>
      <c r="E178" s="3124"/>
      <c r="F178" s="3125"/>
      <c r="G178" s="3125"/>
      <c r="H178" s="3125"/>
      <c r="I178" s="647" t="s">
        <v>3839</v>
      </c>
      <c r="J178" s="478" t="s">
        <v>3839</v>
      </c>
      <c r="K178" s="478"/>
      <c r="L178" s="650"/>
      <c r="M178" s="483" t="s">
        <v>3839</v>
      </c>
      <c r="N178" s="3126"/>
      <c r="O178" s="3125"/>
      <c r="P178" s="3125"/>
      <c r="Q178" s="3125"/>
      <c r="R178" s="3125"/>
      <c r="S178" s="3127"/>
      <c r="Z178" s="1706">
        <v>178</v>
      </c>
    </row>
    <row r="179" spans="1:26" s="144" customFormat="1" ht="23.25" customHeight="1">
      <c r="A179" s="3121" t="s">
        <v>2570</v>
      </c>
      <c r="B179" s="3122"/>
      <c r="C179" s="3122"/>
      <c r="D179" s="3123"/>
      <c r="E179" s="3124"/>
      <c r="F179" s="3125"/>
      <c r="G179" s="3125"/>
      <c r="H179" s="3125"/>
      <c r="I179" s="647" t="s">
        <v>3839</v>
      </c>
      <c r="J179" s="478" t="s">
        <v>3839</v>
      </c>
      <c r="K179" s="478"/>
      <c r="L179" s="650"/>
      <c r="M179" s="483" t="s">
        <v>3839</v>
      </c>
      <c r="N179" s="3126"/>
      <c r="O179" s="3125"/>
      <c r="P179" s="3125"/>
      <c r="Q179" s="3125"/>
      <c r="R179" s="3125"/>
      <c r="S179" s="3127"/>
      <c r="Z179" s="1706">
        <v>179</v>
      </c>
    </row>
    <row r="180" spans="1:26" s="144" customFormat="1" ht="23.25" customHeight="1">
      <c r="A180" s="3121" t="s">
        <v>2572</v>
      </c>
      <c r="B180" s="3122"/>
      <c r="C180" s="3122"/>
      <c r="D180" s="3123"/>
      <c r="E180" s="3124"/>
      <c r="F180" s="3125"/>
      <c r="G180" s="3125"/>
      <c r="H180" s="3125"/>
      <c r="I180" s="647" t="s">
        <v>3839</v>
      </c>
      <c r="J180" s="478" t="s">
        <v>3839</v>
      </c>
      <c r="K180" s="478"/>
      <c r="L180" s="650"/>
      <c r="M180" s="483" t="s">
        <v>3839</v>
      </c>
      <c r="N180" s="3126"/>
      <c r="O180" s="3125"/>
      <c r="P180" s="3125"/>
      <c r="Q180" s="3125"/>
      <c r="R180" s="3125"/>
      <c r="S180" s="3127"/>
      <c r="Z180" s="1706">
        <v>180</v>
      </c>
    </row>
    <row r="181" spans="1:26" s="144" customFormat="1" ht="23.25" customHeight="1">
      <c r="A181" s="3121" t="s">
        <v>2571</v>
      </c>
      <c r="B181" s="3122"/>
      <c r="C181" s="3122"/>
      <c r="D181" s="3123"/>
      <c r="E181" s="3124"/>
      <c r="F181" s="3125"/>
      <c r="G181" s="3125"/>
      <c r="H181" s="3125"/>
      <c r="I181" s="647" t="s">
        <v>3839</v>
      </c>
      <c r="J181" s="478" t="s">
        <v>3839</v>
      </c>
      <c r="K181" s="478"/>
      <c r="L181" s="650"/>
      <c r="M181" s="483" t="s">
        <v>3839</v>
      </c>
      <c r="N181" s="3126"/>
      <c r="O181" s="3125"/>
      <c r="P181" s="3125"/>
      <c r="Q181" s="3125"/>
      <c r="R181" s="3125"/>
      <c r="S181" s="3127"/>
      <c r="Z181" s="1706">
        <v>181</v>
      </c>
    </row>
    <row r="182" spans="1:26" s="144" customFormat="1" ht="23.25" customHeight="1">
      <c r="A182" s="3121" t="s">
        <v>1431</v>
      </c>
      <c r="B182" s="3122"/>
      <c r="C182" s="3122"/>
      <c r="D182" s="3123"/>
      <c r="E182" s="3124"/>
      <c r="F182" s="3125"/>
      <c r="G182" s="3125"/>
      <c r="H182" s="3125"/>
      <c r="I182" s="647" t="s">
        <v>3839</v>
      </c>
      <c r="J182" s="478" t="s">
        <v>3839</v>
      </c>
      <c r="K182" s="478"/>
      <c r="L182" s="650"/>
      <c r="M182" s="483" t="s">
        <v>3839</v>
      </c>
      <c r="N182" s="3126"/>
      <c r="O182" s="3125"/>
      <c r="P182" s="3125"/>
      <c r="Q182" s="3125"/>
      <c r="R182" s="3125"/>
      <c r="S182" s="3127"/>
      <c r="Z182" s="1706">
        <v>182</v>
      </c>
    </row>
    <row r="183" spans="1:26" s="144" customFormat="1" ht="23.25" customHeight="1">
      <c r="A183" s="3160" t="s">
        <v>2573</v>
      </c>
      <c r="B183" s="3161"/>
      <c r="C183" s="3161"/>
      <c r="D183" s="3162"/>
      <c r="E183" s="3163"/>
      <c r="F183" s="3164"/>
      <c r="G183" s="3164"/>
      <c r="H183" s="3164"/>
      <c r="I183" s="648" t="s">
        <v>3839</v>
      </c>
      <c r="J183" s="479" t="s">
        <v>3839</v>
      </c>
      <c r="K183" s="479"/>
      <c r="L183" s="651"/>
      <c r="M183" s="484" t="s">
        <v>3839</v>
      </c>
      <c r="N183" s="3165"/>
      <c r="O183" s="3164"/>
      <c r="P183" s="3164"/>
      <c r="Q183" s="3164"/>
      <c r="R183" s="3164"/>
      <c r="S183" s="3166"/>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67"/>
      <c r="B186" s="3168"/>
      <c r="C186" s="3168"/>
      <c r="D186" s="3168"/>
      <c r="E186" s="3168"/>
      <c r="F186" s="3168"/>
      <c r="G186" s="3168"/>
      <c r="H186" s="3168"/>
      <c r="I186" s="3168"/>
      <c r="J186" s="3168"/>
      <c r="K186" s="3168"/>
      <c r="L186" s="3168"/>
      <c r="M186" s="3169"/>
      <c r="N186" s="3170"/>
      <c r="O186" s="3171"/>
      <c r="P186" s="3171"/>
      <c r="Q186" s="3171"/>
      <c r="R186" s="3171"/>
      <c r="S186" s="3172"/>
      <c r="T186" s="3027" t="s">
        <v>2452</v>
      </c>
      <c r="U186" s="3027"/>
      <c r="V186" s="3027"/>
      <c r="W186" s="3027"/>
      <c r="X186" s="3027"/>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27"/>
      <c r="U187" s="3027"/>
      <c r="V187" s="3027"/>
      <c r="W187" s="3027"/>
      <c r="X187" s="3027"/>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L35" sqref="L35:M35"/>
    </sheetView>
  </sheetViews>
  <sheetFormatPr defaultColWidth="9.33203125" defaultRowHeight="13.2"/>
  <cols>
    <col min="1" max="1" width="4.33203125" style="142" customWidth="1"/>
    <col min="2" max="17" width="8.33203125" style="142" customWidth="1"/>
    <col min="18" max="18" width="3.33203125" style="142" customWidth="1"/>
    <col min="19" max="19" width="13.5546875" style="142" customWidth="1"/>
    <col min="20" max="20" width="98.6640625" style="142" customWidth="1"/>
    <col min="21" max="24" width="9.33203125" style="142"/>
    <col min="25" max="25" width="16.5546875" style="1741" bestFit="1" customWidth="1"/>
    <col min="26" max="26" width="9.33203125" style="1741"/>
    <col min="27" max="51" width="9.33203125" style="142"/>
    <col min="52" max="52" width="9.33203125" style="1675"/>
    <col min="53" max="16384" width="9.33203125" style="142"/>
  </cols>
  <sheetData>
    <row r="1" spans="1:52" s="1741" customFormat="1" ht="12" hidden="1" customHeight="1">
      <c r="A1" s="1739"/>
      <c r="B1" s="1739" t="s">
        <v>6307</v>
      </c>
      <c r="C1" s="1739"/>
      <c r="D1" s="1739"/>
      <c r="E1" s="1739" t="s">
        <v>6326</v>
      </c>
      <c r="F1" s="1739"/>
      <c r="G1" s="1740"/>
      <c r="H1" s="1740" t="s">
        <v>6327</v>
      </c>
      <c r="I1" s="1740" t="s">
        <v>6328</v>
      </c>
      <c r="J1" s="1740"/>
      <c r="K1" s="1740" t="s">
        <v>6329</v>
      </c>
      <c r="L1" s="1740" t="s">
        <v>6330</v>
      </c>
      <c r="M1" s="1741" t="s">
        <v>6331</v>
      </c>
      <c r="N1" s="1741" t="s">
        <v>6332</v>
      </c>
      <c r="P1" s="1741" t="s">
        <v>6333</v>
      </c>
      <c r="Z1" s="1706">
        <v>1</v>
      </c>
    </row>
    <row r="2" spans="1:52" s="223" customFormat="1" ht="14.1" customHeight="1">
      <c r="A2" s="3183" t="str">
        <f>CONCATENATE("PART TWO - SOURCES OF FUNDS (Proposed)","  -  ",'Part I-Project Identification'!$O$7," ",'Part I-Project Identification'!$F$25,", ",'Part I-Project Identification'!$F$26,", ",'Part I-Project Identification'!$J$26," County")</f>
        <v>PART TWO - SOURCES OF FUNDS (Proposed)  -  2023-5 Brightwood Lane Apartments, Washington, Wilkes County</v>
      </c>
      <c r="B2" s="3184"/>
      <c r="C2" s="3184"/>
      <c r="D2" s="3184"/>
      <c r="E2" s="3184"/>
      <c r="F2" s="3184"/>
      <c r="G2" s="3184"/>
      <c r="H2" s="3184"/>
      <c r="I2" s="3184"/>
      <c r="J2" s="3184"/>
      <c r="K2" s="3184"/>
      <c r="L2" s="3184"/>
      <c r="M2" s="3184"/>
      <c r="N2" s="3184"/>
      <c r="O2" s="3184"/>
      <c r="P2" s="3184"/>
      <c r="Q2" s="3185"/>
      <c r="S2" s="3303" t="str">
        <f>$A$2</f>
        <v>PART TWO - SOURCES OF FUNDS (Proposed)  -  2023-5 Brightwood Lane Apartments, Washington, Wilkes County</v>
      </c>
      <c r="T2" s="3303"/>
      <c r="Y2" s="1742"/>
      <c r="Z2" s="1706">
        <v>2</v>
      </c>
      <c r="AZ2" s="1676"/>
    </row>
    <row r="3" spans="1:52" ht="17.7"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318" t="str">
        <f>'Part I-Project Identification'!$A$6</f>
        <v>Sept 2023</v>
      </c>
      <c r="M4" s="3319"/>
      <c r="N4" s="3319"/>
      <c r="O4" s="3319"/>
      <c r="P4" s="3320"/>
      <c r="S4" s="258" t="str">
        <f>B4</f>
        <v>GOVERNMENT FUNDING SOURCES  (check all that apply)</v>
      </c>
      <c r="Y4" s="1742"/>
      <c r="Z4" s="1706">
        <v>4</v>
      </c>
      <c r="AZ4" s="1676"/>
    </row>
    <row r="5" spans="1:52" s="223" customFormat="1" ht="15.75" customHeight="1">
      <c r="A5" s="253"/>
      <c r="B5" s="375"/>
      <c r="C5" s="253"/>
      <c r="D5" s="144"/>
      <c r="E5" s="144"/>
      <c r="F5" s="144"/>
      <c r="G5" s="144"/>
      <c r="S5" s="3264" t="s">
        <v>2448</v>
      </c>
      <c r="T5" s="3264"/>
      <c r="Y5" s="1742"/>
      <c r="Z5" s="1706">
        <v>5</v>
      </c>
      <c r="AZ5" s="1676"/>
    </row>
    <row r="6" spans="1:52" s="223" customFormat="1" ht="16.5" customHeight="1">
      <c r="A6" s="375"/>
      <c r="B6" s="1232" t="s">
        <v>2649</v>
      </c>
      <c r="C6" s="224" t="s">
        <v>2219</v>
      </c>
      <c r="D6" s="144"/>
      <c r="E6" s="1232" t="s">
        <v>2652</v>
      </c>
      <c r="F6" s="224" t="s">
        <v>6080</v>
      </c>
      <c r="G6" s="144"/>
      <c r="I6" s="3307"/>
      <c r="J6" s="3308"/>
      <c r="L6" s="1232" t="s">
        <v>2652</v>
      </c>
      <c r="M6" s="224" t="s">
        <v>1437</v>
      </c>
      <c r="Q6" s="1620"/>
      <c r="S6" s="3250"/>
      <c r="T6" s="3251"/>
      <c r="Y6" s="1742"/>
      <c r="Z6" s="1706">
        <v>6</v>
      </c>
      <c r="AZ6" s="1676"/>
    </row>
    <row r="7" spans="1:52" s="223" customFormat="1" ht="16.5" customHeight="1">
      <c r="A7" s="375"/>
      <c r="B7" s="823" t="s">
        <v>2652</v>
      </c>
      <c r="C7" s="224" t="s">
        <v>3877</v>
      </c>
      <c r="D7" s="144"/>
      <c r="E7" s="818" t="s">
        <v>2652</v>
      </c>
      <c r="F7" s="224" t="s">
        <v>6081</v>
      </c>
      <c r="I7" s="3309"/>
      <c r="J7" s="3310"/>
      <c r="L7" s="823" t="s">
        <v>2652</v>
      </c>
      <c r="M7" s="224" t="s">
        <v>514</v>
      </c>
      <c r="P7" s="1620"/>
      <c r="Q7" s="1620"/>
      <c r="S7" s="3211"/>
      <c r="T7" s="3212"/>
      <c r="Y7" s="1742"/>
      <c r="Z7" s="1706">
        <v>7</v>
      </c>
      <c r="AZ7" s="1676"/>
    </row>
    <row r="8" spans="1:52" s="223" customFormat="1" ht="16.5" customHeight="1">
      <c r="A8" s="144"/>
      <c r="B8" s="823" t="s">
        <v>2652</v>
      </c>
      <c r="C8" s="224" t="s">
        <v>6661</v>
      </c>
      <c r="F8" s="223" t="s">
        <v>6664</v>
      </c>
      <c r="H8" s="3321" t="s">
        <v>3065</v>
      </c>
      <c r="I8" s="3322"/>
      <c r="J8" s="3323"/>
      <c r="L8" s="823" t="s">
        <v>2652</v>
      </c>
      <c r="M8" s="224" t="s">
        <v>6666</v>
      </c>
      <c r="P8" s="1620"/>
      <c r="Q8" s="1620"/>
      <c r="S8" s="3211"/>
      <c r="T8" s="3212"/>
      <c r="Y8" s="1742"/>
      <c r="Z8" s="1706">
        <v>8</v>
      </c>
      <c r="AZ8" s="1676"/>
    </row>
    <row r="9" spans="1:52" s="223" customFormat="1" ht="16.5" customHeight="1">
      <c r="A9" s="375"/>
      <c r="B9" s="823" t="s">
        <v>2652</v>
      </c>
      <c r="C9" s="223" t="s">
        <v>3301</v>
      </c>
      <c r="E9" s="1235" t="s">
        <v>2652</v>
      </c>
      <c r="F9" s="3313" t="s">
        <v>6660</v>
      </c>
      <c r="G9" s="3314"/>
      <c r="H9" s="3311"/>
      <c r="I9" s="3311"/>
      <c r="J9" s="3312"/>
      <c r="L9" s="823" t="s">
        <v>2652</v>
      </c>
      <c r="M9" s="224" t="s">
        <v>3878</v>
      </c>
      <c r="Q9" s="1620"/>
      <c r="S9" s="3213"/>
      <c r="T9" s="3214"/>
      <c r="Y9" s="1742"/>
      <c r="Z9" s="1706">
        <v>9</v>
      </c>
      <c r="AZ9" s="1676"/>
    </row>
    <row r="10" spans="1:52" s="223" customFormat="1" ht="16.5" customHeight="1">
      <c r="A10" s="375"/>
      <c r="B10" s="823" t="s">
        <v>2649</v>
      </c>
      <c r="C10" s="224" t="s">
        <v>2394</v>
      </c>
      <c r="F10" s="3315" t="s">
        <v>3770</v>
      </c>
      <c r="G10" s="3316"/>
      <c r="H10" s="3316"/>
      <c r="I10" s="3316"/>
      <c r="J10" s="3317"/>
      <c r="L10" s="823" t="s">
        <v>2652</v>
      </c>
      <c r="M10" s="224" t="s">
        <v>3192</v>
      </c>
      <c r="P10" s="1620"/>
      <c r="Q10" s="1620"/>
      <c r="S10" s="3250"/>
      <c r="T10" s="3251"/>
      <c r="Y10" s="1742"/>
      <c r="Z10" s="1706">
        <v>10</v>
      </c>
      <c r="AZ10" s="1676"/>
    </row>
    <row r="11" spans="1:52" s="223" customFormat="1" ht="16.5" customHeight="1">
      <c r="A11" s="375"/>
      <c r="B11" s="823" t="s">
        <v>2649</v>
      </c>
      <c r="C11" s="224" t="s">
        <v>2395</v>
      </c>
      <c r="E11" s="1235" t="s">
        <v>2652</v>
      </c>
      <c r="F11" s="3311" t="s">
        <v>6662</v>
      </c>
      <c r="G11" s="3311"/>
      <c r="H11" s="3311"/>
      <c r="I11" s="3311"/>
      <c r="J11" s="3312"/>
      <c r="L11" s="823" t="s">
        <v>2652</v>
      </c>
      <c r="M11" s="223" t="s">
        <v>2398</v>
      </c>
      <c r="S11" s="3211"/>
      <c r="T11" s="3212"/>
      <c r="Y11" s="1742"/>
      <c r="Z11" s="1706">
        <v>11</v>
      </c>
      <c r="AZ11" s="1676"/>
    </row>
    <row r="12" spans="1:52" s="223" customFormat="1" ht="16.5" customHeight="1">
      <c r="A12" s="375"/>
      <c r="B12" s="823" t="s">
        <v>2649</v>
      </c>
      <c r="C12" s="224" t="s">
        <v>3193</v>
      </c>
      <c r="F12" s="3304" t="s">
        <v>3771</v>
      </c>
      <c r="G12" s="3305"/>
      <c r="H12" s="3324"/>
      <c r="I12" s="3324"/>
      <c r="J12" s="3325"/>
      <c r="L12" s="823" t="s">
        <v>2652</v>
      </c>
      <c r="M12" s="223" t="s">
        <v>3219</v>
      </c>
      <c r="S12" s="3211"/>
      <c r="T12" s="3212"/>
      <c r="Y12" s="1742"/>
      <c r="Z12" s="1706">
        <v>12</v>
      </c>
      <c r="AZ12" s="1676"/>
    </row>
    <row r="13" spans="1:52" s="223" customFormat="1" ht="16.5" customHeight="1">
      <c r="A13" s="375"/>
      <c r="B13" s="823" t="s">
        <v>2652</v>
      </c>
      <c r="C13" s="224" t="s">
        <v>6663</v>
      </c>
      <c r="E13" s="1232" t="s">
        <v>2652</v>
      </c>
      <c r="F13" s="224" t="s">
        <v>6665</v>
      </c>
      <c r="H13" s="3304" t="s">
        <v>3292</v>
      </c>
      <c r="I13" s="3305"/>
      <c r="J13" s="3306"/>
      <c r="L13" s="823" t="s">
        <v>2652</v>
      </c>
      <c r="M13" s="223" t="s">
        <v>6079</v>
      </c>
      <c r="S13" s="3211"/>
      <c r="T13" s="3212"/>
      <c r="Y13" s="1742"/>
      <c r="Z13" s="1706">
        <v>13</v>
      </c>
      <c r="AZ13" s="1676"/>
    </row>
    <row r="14" spans="1:52" s="223" customFormat="1" ht="16.5" customHeight="1">
      <c r="A14" s="375"/>
      <c r="B14" s="823" t="s">
        <v>2652</v>
      </c>
      <c r="C14" s="223" t="s">
        <v>2397</v>
      </c>
      <c r="E14" s="823" t="s">
        <v>2652</v>
      </c>
      <c r="F14" s="224" t="s">
        <v>3300</v>
      </c>
      <c r="L14" s="823" t="s">
        <v>2652</v>
      </c>
      <c r="M14" s="223" t="s">
        <v>6711</v>
      </c>
      <c r="S14" s="3213"/>
      <c r="T14" s="3214"/>
      <c r="Y14" s="1742"/>
      <c r="Z14" s="1706">
        <v>14</v>
      </c>
      <c r="AZ14" s="1676"/>
    </row>
    <row r="15" spans="1:52" s="223" customFormat="1" ht="16.5" customHeight="1">
      <c r="A15" s="375"/>
      <c r="B15" s="823" t="s">
        <v>2652</v>
      </c>
      <c r="C15" s="223" t="s">
        <v>3218</v>
      </c>
      <c r="E15" s="823" t="s">
        <v>2652</v>
      </c>
      <c r="F15" s="224" t="s">
        <v>6082</v>
      </c>
      <c r="L15" s="823" t="s">
        <v>2652</v>
      </c>
      <c r="M15" s="1621" t="s">
        <v>6083</v>
      </c>
      <c r="Y15" s="1742"/>
      <c r="Z15" s="1706">
        <v>15</v>
      </c>
      <c r="AZ15" s="1676"/>
    </row>
    <row r="16" spans="1:52" s="223" customFormat="1" ht="16.5" customHeight="1">
      <c r="A16" s="375"/>
      <c r="B16" s="818" t="s">
        <v>2652</v>
      </c>
      <c r="C16" s="224" t="s">
        <v>1673</v>
      </c>
      <c r="E16" s="818" t="s">
        <v>2649</v>
      </c>
      <c r="F16" s="224" t="s">
        <v>6500</v>
      </c>
      <c r="I16" s="3326">
        <v>2063000</v>
      </c>
      <c r="J16" s="3327"/>
      <c r="L16" s="818" t="s">
        <v>2652</v>
      </c>
      <c r="M16" s="1621" t="s">
        <v>6078</v>
      </c>
      <c r="Y16" s="1742"/>
      <c r="Z16" s="1706">
        <v>16</v>
      </c>
      <c r="AZ16" s="1676"/>
    </row>
    <row r="17" spans="1:52" s="223" customFormat="1" ht="17.100000000000001" customHeight="1">
      <c r="A17" s="375"/>
      <c r="B17" s="223" t="s">
        <v>3879</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59"/>
      <c r="O19" s="3259"/>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328" t="s">
        <v>1220</v>
      </c>
      <c r="I21" s="3328"/>
      <c r="J21" s="3328"/>
      <c r="K21" s="3328"/>
      <c r="L21" s="3263" t="s">
        <v>3845</v>
      </c>
      <c r="M21" s="3263"/>
      <c r="N21" s="3263" t="s">
        <v>1410</v>
      </c>
      <c r="O21" s="3263"/>
      <c r="P21" s="3263" t="s">
        <v>1523</v>
      </c>
      <c r="Q21" s="3263"/>
      <c r="S21" s="3264" t="s">
        <v>2448</v>
      </c>
      <c r="T21" s="3264"/>
      <c r="Y21" s="1742"/>
      <c r="Z21" s="1706">
        <v>21</v>
      </c>
      <c r="AZ21" s="1676" t="s">
        <v>6341</v>
      </c>
    </row>
    <row r="22" spans="1:52" s="223" customFormat="1" ht="15.75" customHeight="1">
      <c r="A22" s="144"/>
      <c r="B22" s="3267" t="s">
        <v>1486</v>
      </c>
      <c r="C22" s="3268"/>
      <c r="D22" s="3268"/>
      <c r="E22" s="821"/>
      <c r="F22" s="821"/>
      <c r="G22" s="821"/>
      <c r="H22" s="3236" t="s">
        <v>7048</v>
      </c>
      <c r="I22" s="3237"/>
      <c r="J22" s="3237"/>
      <c r="K22" s="3238"/>
      <c r="L22" s="3286">
        <v>769000</v>
      </c>
      <c r="M22" s="3287"/>
      <c r="N22" s="3288">
        <v>6.7500000000000004E-2</v>
      </c>
      <c r="O22" s="3289"/>
      <c r="P22" s="3290">
        <v>480</v>
      </c>
      <c r="Q22" s="3291"/>
      <c r="S22" s="3250"/>
      <c r="T22" s="3251"/>
      <c r="Y22" s="1742" t="s">
        <v>6341</v>
      </c>
      <c r="Z22" s="1706">
        <v>22</v>
      </c>
      <c r="AZ22" s="1676" t="s">
        <v>6342</v>
      </c>
    </row>
    <row r="23" spans="1:52" s="223" customFormat="1" ht="15.75" customHeight="1">
      <c r="A23" s="144"/>
      <c r="B23" s="3252" t="s">
        <v>1487</v>
      </c>
      <c r="C23" s="3253"/>
      <c r="D23" s="3253"/>
      <c r="E23" s="144"/>
      <c r="F23" s="144"/>
      <c r="G23" s="144"/>
      <c r="H23" s="3198" t="s">
        <v>7049</v>
      </c>
      <c r="I23" s="3199"/>
      <c r="J23" s="3199"/>
      <c r="K23" s="3200"/>
      <c r="L23" s="3274">
        <v>1028757</v>
      </c>
      <c r="M23" s="3275"/>
      <c r="N23" s="3297">
        <v>0.01</v>
      </c>
      <c r="O23" s="3298"/>
      <c r="P23" s="3299">
        <v>360</v>
      </c>
      <c r="Q23" s="3300"/>
      <c r="S23" s="3211"/>
      <c r="T23" s="3212"/>
      <c r="Y23" s="1742" t="s">
        <v>6342</v>
      </c>
      <c r="Z23" s="1706">
        <v>23</v>
      </c>
      <c r="AZ23" s="1676" t="s">
        <v>6343</v>
      </c>
    </row>
    <row r="24" spans="1:52" s="223" customFormat="1" ht="15.75" customHeight="1">
      <c r="A24" s="144"/>
      <c r="B24" s="3301" t="s">
        <v>1488</v>
      </c>
      <c r="C24" s="3302"/>
      <c r="D24" s="3302"/>
      <c r="E24" s="826"/>
      <c r="F24" s="826"/>
      <c r="G24" s="826"/>
      <c r="H24" s="3216"/>
      <c r="I24" s="3217"/>
      <c r="J24" s="3217"/>
      <c r="K24" s="3218"/>
      <c r="L24" s="3278"/>
      <c r="M24" s="3279"/>
      <c r="N24" s="3329"/>
      <c r="O24" s="3330"/>
      <c r="P24" s="3331"/>
      <c r="Q24" s="3332"/>
      <c r="S24" s="3211"/>
      <c r="T24" s="3212"/>
      <c r="Y24" s="1742" t="s">
        <v>6343</v>
      </c>
      <c r="Z24" s="1706">
        <v>24</v>
      </c>
      <c r="AZ24" s="1676" t="s">
        <v>6344</v>
      </c>
    </row>
    <row r="25" spans="1:52" s="223" customFormat="1" ht="15.75" customHeight="1">
      <c r="A25" s="144"/>
      <c r="B25" s="3267" t="s">
        <v>2047</v>
      </c>
      <c r="C25" s="3268"/>
      <c r="D25" s="3268"/>
      <c r="E25" s="144"/>
      <c r="F25" s="144"/>
      <c r="G25" s="144"/>
      <c r="H25" s="3292"/>
      <c r="I25" s="3293"/>
      <c r="J25" s="3293"/>
      <c r="K25" s="3294"/>
      <c r="L25" s="3295"/>
      <c r="M25" s="3296"/>
      <c r="N25" s="3276"/>
      <c r="O25" s="3277"/>
      <c r="P25" s="3259"/>
      <c r="Q25" s="3259"/>
      <c r="S25" s="3211"/>
      <c r="T25" s="3212"/>
      <c r="Y25" s="1742" t="s">
        <v>6344</v>
      </c>
      <c r="Z25" s="1706">
        <v>25</v>
      </c>
      <c r="AZ25" s="1676" t="s">
        <v>6345</v>
      </c>
    </row>
    <row r="26" spans="1:52" s="223" customFormat="1" ht="15.75" customHeight="1">
      <c r="A26" s="144"/>
      <c r="B26" s="3252" t="s">
        <v>745</v>
      </c>
      <c r="C26" s="3253"/>
      <c r="D26" s="3253"/>
      <c r="E26" s="144"/>
      <c r="H26" s="3198"/>
      <c r="I26" s="3199"/>
      <c r="J26" s="3199"/>
      <c r="K26" s="3200"/>
      <c r="L26" s="3274"/>
      <c r="M26" s="3275"/>
      <c r="N26" s="3276"/>
      <c r="O26" s="3277"/>
      <c r="P26" s="3259"/>
      <c r="Q26" s="3259"/>
      <c r="S26" s="3211"/>
      <c r="T26" s="3212"/>
      <c r="Y26" s="1742" t="s">
        <v>6345</v>
      </c>
      <c r="Z26" s="1706">
        <v>26</v>
      </c>
      <c r="AZ26" s="1676" t="s">
        <v>6346</v>
      </c>
    </row>
    <row r="27" spans="1:52" s="223" customFormat="1" ht="15.75" customHeight="1">
      <c r="A27" s="144"/>
      <c r="B27" s="3252" t="s">
        <v>595</v>
      </c>
      <c r="C27" s="3253"/>
      <c r="D27" s="3253"/>
      <c r="E27" s="144"/>
      <c r="H27" s="3198"/>
      <c r="I27" s="3199"/>
      <c r="J27" s="3199"/>
      <c r="K27" s="3200"/>
      <c r="L27" s="3274"/>
      <c r="M27" s="3275"/>
      <c r="N27" s="3276"/>
      <c r="O27" s="3277"/>
      <c r="P27" s="3259"/>
      <c r="Q27" s="3259"/>
      <c r="S27" s="3211"/>
      <c r="T27" s="3212"/>
      <c r="Y27" s="1742" t="s">
        <v>6346</v>
      </c>
      <c r="Z27" s="1706">
        <v>27</v>
      </c>
      <c r="AZ27" s="1676" t="s">
        <v>6347</v>
      </c>
    </row>
    <row r="28" spans="1:52" s="223" customFormat="1" ht="15.75" customHeight="1">
      <c r="A28" s="144"/>
      <c r="B28" s="3252" t="s">
        <v>746</v>
      </c>
      <c r="C28" s="3253"/>
      <c r="D28" s="3253"/>
      <c r="E28" s="144"/>
      <c r="H28" s="3198" t="s">
        <v>7050</v>
      </c>
      <c r="I28" s="3199"/>
      <c r="J28" s="3199"/>
      <c r="K28" s="3200"/>
      <c r="L28" s="3274">
        <v>234227</v>
      </c>
      <c r="M28" s="3275"/>
      <c r="N28" s="144"/>
      <c r="Q28" s="144"/>
      <c r="S28" s="3213"/>
      <c r="T28" s="3214"/>
      <c r="Y28" s="1742" t="s">
        <v>6347</v>
      </c>
      <c r="Z28" s="1706">
        <v>28</v>
      </c>
      <c r="AZ28" s="1676" t="s">
        <v>6348</v>
      </c>
    </row>
    <row r="29" spans="1:52" s="223" customFormat="1" ht="15.75" customHeight="1">
      <c r="A29" s="144"/>
      <c r="B29" s="3252" t="s">
        <v>747</v>
      </c>
      <c r="C29" s="3253"/>
      <c r="D29" s="3253"/>
      <c r="E29" s="144"/>
      <c r="H29" s="3198" t="s">
        <v>7051</v>
      </c>
      <c r="I29" s="3199"/>
      <c r="J29" s="3199"/>
      <c r="K29" s="3200"/>
      <c r="L29" s="3274">
        <v>191142</v>
      </c>
      <c r="M29" s="3275"/>
      <c r="N29" s="144"/>
      <c r="Q29" s="144"/>
      <c r="S29" s="3250"/>
      <c r="T29" s="3251"/>
      <c r="Y29" s="1742" t="s">
        <v>6348</v>
      </c>
      <c r="Z29" s="1706">
        <v>29</v>
      </c>
      <c r="AZ29" s="1676" t="s">
        <v>6349</v>
      </c>
    </row>
    <row r="30" spans="1:52" s="223" customFormat="1" ht="15.75" customHeight="1">
      <c r="A30" s="144"/>
      <c r="B30" s="820" t="s">
        <v>232</v>
      </c>
      <c r="C30" s="144"/>
      <c r="D30" s="3226" t="s">
        <v>7054</v>
      </c>
      <c r="E30" s="3226"/>
      <c r="F30" s="3226"/>
      <c r="G30" s="3226"/>
      <c r="H30" s="3198" t="s">
        <v>7052</v>
      </c>
      <c r="I30" s="3199"/>
      <c r="J30" s="3199"/>
      <c r="K30" s="3200"/>
      <c r="L30" s="3274">
        <v>50000</v>
      </c>
      <c r="M30" s="3275"/>
      <c r="N30" s="144"/>
      <c r="Q30" s="144"/>
      <c r="S30" s="3211"/>
      <c r="T30" s="3212"/>
      <c r="Y30" s="1742" t="s">
        <v>6349</v>
      </c>
      <c r="Z30" s="1706">
        <v>30</v>
      </c>
      <c r="AZ30" s="1676" t="s">
        <v>6350</v>
      </c>
    </row>
    <row r="31" spans="1:52" s="223" customFormat="1" ht="15.75" customHeight="1">
      <c r="A31" s="144"/>
      <c r="B31" s="820" t="s">
        <v>232</v>
      </c>
      <c r="C31" s="144"/>
      <c r="D31" s="3227" t="s">
        <v>7055</v>
      </c>
      <c r="E31" s="3227"/>
      <c r="F31" s="3227"/>
      <c r="G31" s="3227"/>
      <c r="H31" s="3198" t="s">
        <v>7053</v>
      </c>
      <c r="I31" s="3199"/>
      <c r="J31" s="3199"/>
      <c r="K31" s="3200"/>
      <c r="L31" s="3274">
        <v>2063000</v>
      </c>
      <c r="M31" s="3275"/>
      <c r="N31" s="144"/>
      <c r="S31" s="3211"/>
      <c r="T31" s="3212"/>
      <c r="Y31" s="1742" t="s">
        <v>6350</v>
      </c>
      <c r="Z31" s="1706">
        <v>31</v>
      </c>
      <c r="AZ31" s="1676" t="s">
        <v>6351</v>
      </c>
    </row>
    <row r="32" spans="1:52" s="223" customFormat="1" ht="15.75" customHeight="1">
      <c r="A32" s="144"/>
      <c r="B32" s="825" t="s">
        <v>232</v>
      </c>
      <c r="C32" s="826"/>
      <c r="D32" s="3215"/>
      <c r="E32" s="3215"/>
      <c r="F32" s="3215"/>
      <c r="G32" s="3215"/>
      <c r="H32" s="3216"/>
      <c r="I32" s="3217"/>
      <c r="J32" s="3217"/>
      <c r="K32" s="3218"/>
      <c r="L32" s="3278"/>
      <c r="M32" s="3279"/>
      <c r="N32" s="144"/>
      <c r="S32" s="3211"/>
      <c r="T32" s="3212"/>
      <c r="Y32" s="1742" t="s">
        <v>6351</v>
      </c>
      <c r="Z32" s="1706">
        <v>32</v>
      </c>
      <c r="AZ32" s="1676"/>
    </row>
    <row r="33" spans="1:52" s="223" customFormat="1" ht="16.5" customHeight="1">
      <c r="A33" s="144"/>
      <c r="B33" s="222" t="s">
        <v>1221</v>
      </c>
      <c r="C33" s="144"/>
      <c r="D33" s="144"/>
      <c r="E33" s="144"/>
      <c r="F33" s="144"/>
      <c r="G33" s="144"/>
      <c r="H33" s="144"/>
      <c r="I33" s="144"/>
      <c r="L33" s="3280">
        <f>SUM(L22:L32)</f>
        <v>4336126</v>
      </c>
      <c r="M33" s="3281"/>
      <c r="N33" s="145"/>
      <c r="S33" s="3211"/>
      <c r="T33" s="3212"/>
      <c r="Y33" s="1742"/>
      <c r="Z33" s="1706">
        <v>33</v>
      </c>
      <c r="AZ33" s="1676"/>
    </row>
    <row r="34" spans="1:52" s="223" customFormat="1" ht="16.5" customHeight="1">
      <c r="A34" s="144"/>
      <c r="B34" s="246" t="s">
        <v>1222</v>
      </c>
      <c r="C34" s="144"/>
      <c r="D34" s="144"/>
      <c r="E34" s="144"/>
      <c r="F34" s="144"/>
      <c r="G34" s="144"/>
      <c r="H34" s="144"/>
      <c r="I34" s="144"/>
      <c r="L34" s="3282">
        <f>'Part III-A-Uses of Funds'!$G$146-'Part III-A-Uses of Funds'!$G$103-'Part III-A-Uses of Funds'!$G$109-'Part III-A-Uses of Funds'!$G$130-'Part III-A-Uses of Funds'!$G$131-'Part III-A-Uses of Funds'!$G$132-'Part III-A-Uses of Funds'!$G$127+'Part III-A-Uses of Funds'!$F$123</f>
        <v>4336126</v>
      </c>
      <c r="M34" s="3283"/>
      <c r="N34" s="657"/>
      <c r="S34" s="3211"/>
      <c r="T34" s="3212"/>
      <c r="Y34" s="1742"/>
      <c r="Z34" s="1706">
        <v>34</v>
      </c>
      <c r="AZ34" s="1676"/>
    </row>
    <row r="35" spans="1:52" s="223" customFormat="1" ht="16.5" customHeight="1">
      <c r="A35" s="144"/>
      <c r="B35" s="246" t="s">
        <v>2002</v>
      </c>
      <c r="C35" s="144"/>
      <c r="D35" s="144"/>
      <c r="E35" s="144"/>
      <c r="F35" s="144"/>
      <c r="G35" s="144"/>
      <c r="H35" s="144"/>
      <c r="I35" s="144"/>
      <c r="L35" s="3284">
        <f>L33-L34</f>
        <v>0</v>
      </c>
      <c r="M35" s="3285"/>
      <c r="N35" s="657"/>
      <c r="S35" s="3213"/>
      <c r="T35" s="3214"/>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59"/>
      <c r="I38" s="3259"/>
      <c r="K38" s="252" t="s">
        <v>1948</v>
      </c>
      <c r="L38" s="248" t="s">
        <v>1218</v>
      </c>
      <c r="M38" s="248" t="s">
        <v>1223</v>
      </c>
      <c r="P38" s="3260" t="s">
        <v>31</v>
      </c>
      <c r="Q38" s="3260"/>
      <c r="S38" s="258"/>
      <c r="Y38" s="1742"/>
      <c r="Z38" s="1706">
        <v>38</v>
      </c>
      <c r="AZ38" s="1676"/>
    </row>
    <row r="39" spans="1:52" s="223" customFormat="1" ht="13.35" customHeight="1">
      <c r="A39" s="144"/>
      <c r="B39" s="827" t="s">
        <v>1734</v>
      </c>
      <c r="C39" s="826"/>
      <c r="D39" s="826"/>
      <c r="E39" s="3262" t="s">
        <v>1220</v>
      </c>
      <c r="F39" s="3262"/>
      <c r="G39" s="3262"/>
      <c r="H39" s="3262"/>
      <c r="I39" s="3263" t="s">
        <v>3844</v>
      </c>
      <c r="J39" s="3263"/>
      <c r="K39" s="446" t="s">
        <v>1675</v>
      </c>
      <c r="L39" s="446" t="s">
        <v>2046</v>
      </c>
      <c r="M39" s="446" t="s">
        <v>2046</v>
      </c>
      <c r="N39" s="3263" t="s">
        <v>69</v>
      </c>
      <c r="O39" s="3263"/>
      <c r="P39" s="3261"/>
      <c r="Q39" s="3261"/>
      <c r="S39" s="3264" t="s">
        <v>2448</v>
      </c>
      <c r="T39" s="3264"/>
      <c r="Y39" s="1742"/>
      <c r="Z39" s="1706">
        <v>39</v>
      </c>
      <c r="AZ39" s="1676" t="s">
        <v>6352</v>
      </c>
    </row>
    <row r="40" spans="1:52" s="223" customFormat="1" ht="15" customHeight="1">
      <c r="A40" s="144"/>
      <c r="B40" s="3267" t="s">
        <v>2402</v>
      </c>
      <c r="C40" s="3268"/>
      <c r="D40" s="3268"/>
      <c r="E40" s="3236" t="s">
        <v>7048</v>
      </c>
      <c r="F40" s="3237"/>
      <c r="G40" s="3237"/>
      <c r="H40" s="3238"/>
      <c r="I40" s="3231">
        <v>769000</v>
      </c>
      <c r="J40" s="3232"/>
      <c r="K40" s="654">
        <v>6.7500000000000004E-2</v>
      </c>
      <c r="L40" s="822">
        <v>40</v>
      </c>
      <c r="M40" s="822">
        <v>40</v>
      </c>
      <c r="N40" s="3269" t="s">
        <v>7056</v>
      </c>
      <c r="O40" s="3269"/>
      <c r="P40" s="3230">
        <f>IF(OR(I40&lt;=0,I40=""),"",IF(N40="Cash Flow",0,IF(N40="Amortizing",-PMT(K40/12,M40*12,I40,0,0)*12,"")))</f>
        <v>55677.768952730781</v>
      </c>
      <c r="Q40" s="3230"/>
      <c r="S40" s="3250"/>
      <c r="T40" s="3251"/>
      <c r="Y40" s="1742" t="s">
        <v>6352</v>
      </c>
      <c r="Z40" s="1706">
        <v>40</v>
      </c>
      <c r="AZ40" s="1676" t="s">
        <v>6353</v>
      </c>
    </row>
    <row r="41" spans="1:52" s="223" customFormat="1" ht="15" customHeight="1">
      <c r="A41" s="144"/>
      <c r="B41" s="3252" t="s">
        <v>2403</v>
      </c>
      <c r="C41" s="3253"/>
      <c r="D41" s="3253"/>
      <c r="E41" s="3198" t="s">
        <v>7049</v>
      </c>
      <c r="F41" s="3199"/>
      <c r="G41" s="3199"/>
      <c r="H41" s="3200"/>
      <c r="I41" s="3201">
        <v>1028757</v>
      </c>
      <c r="J41" s="3247"/>
      <c r="K41" s="655">
        <v>0.01</v>
      </c>
      <c r="L41" s="823">
        <v>30</v>
      </c>
      <c r="M41" s="823">
        <v>50</v>
      </c>
      <c r="N41" s="3265" t="s">
        <v>7057</v>
      </c>
      <c r="O41" s="3265"/>
      <c r="P41" s="3266" t="str">
        <f>IF(OR(I41&lt;=0,I41=""),"",IF(N41="Cash Flow",0,IF(N41="Amortizing",-PMT(K41/12,M41*12,I41,0,0)*12,"")))</f>
        <v/>
      </c>
      <c r="Q41" s="3266"/>
      <c r="S41" s="3211"/>
      <c r="T41" s="3212"/>
      <c r="Y41" s="1742" t="s">
        <v>6353</v>
      </c>
      <c r="Z41" s="1706">
        <v>41</v>
      </c>
      <c r="AZ41" s="1676" t="s">
        <v>6354</v>
      </c>
    </row>
    <row r="42" spans="1:52" s="223" customFormat="1" ht="15" customHeight="1">
      <c r="A42" s="144"/>
      <c r="B42" s="3252" t="s">
        <v>2404</v>
      </c>
      <c r="C42" s="3253"/>
      <c r="D42" s="3253"/>
      <c r="E42" s="3198"/>
      <c r="F42" s="3199"/>
      <c r="G42" s="3199"/>
      <c r="H42" s="3200"/>
      <c r="I42" s="3201"/>
      <c r="J42" s="3247"/>
      <c r="K42" s="655"/>
      <c r="L42" s="823"/>
      <c r="M42" s="823"/>
      <c r="N42" s="3265"/>
      <c r="O42" s="3265"/>
      <c r="P42" s="3266" t="str">
        <f>IF(OR(I42&lt;=0,I42=""),"",IF(N42="Cash Flow",0,IF(N42="Amortizing",-PMT(K42/12,M42*12,I42,0,0)*12,"")))</f>
        <v/>
      </c>
      <c r="Q42" s="3266"/>
      <c r="S42" s="3211"/>
      <c r="T42" s="3212"/>
      <c r="Y42" s="1742" t="s">
        <v>6354</v>
      </c>
      <c r="Z42" s="1706">
        <v>42</v>
      </c>
      <c r="AZ42" s="1676" t="s">
        <v>6355</v>
      </c>
    </row>
    <row r="43" spans="1:52" s="223" customFormat="1" ht="15" customHeight="1">
      <c r="A43" s="144"/>
      <c r="B43" s="820" t="s">
        <v>690</v>
      </c>
      <c r="C43" s="3241"/>
      <c r="D43" s="3242"/>
      <c r="E43" s="3198"/>
      <c r="F43" s="3199"/>
      <c r="G43" s="3199"/>
      <c r="H43" s="3200"/>
      <c r="I43" s="3243"/>
      <c r="J43" s="3244"/>
      <c r="K43" s="656"/>
      <c r="L43" s="818"/>
      <c r="M43" s="818"/>
      <c r="N43" s="3246"/>
      <c r="O43" s="3246"/>
      <c r="P43" s="3245" t="str">
        <f>IF(OR(I43&lt;=0,I43=""),"",IF(N43="Cash Flow",0,IF(N43="Amortizing",-PMT(K43/12,M43*12,I43,0,0)*12,"")))</f>
        <v/>
      </c>
      <c r="Q43" s="3245"/>
      <c r="S43" s="3211"/>
      <c r="T43" s="3212"/>
      <c r="Y43" s="1742" t="s">
        <v>6355</v>
      </c>
      <c r="Z43" s="1706">
        <v>43</v>
      </c>
      <c r="AZ43" s="1676" t="s">
        <v>6356</v>
      </c>
    </row>
    <row r="44" spans="1:52" s="223" customFormat="1" ht="15" customHeight="1">
      <c r="A44" s="144"/>
      <c r="B44" s="820" t="s">
        <v>3944</v>
      </c>
      <c r="C44" s="144"/>
      <c r="D44" s="824"/>
      <c r="E44" s="3198"/>
      <c r="F44" s="3199"/>
      <c r="G44" s="3199"/>
      <c r="H44" s="3200"/>
      <c r="I44" s="3201"/>
      <c r="J44" s="3247"/>
      <c r="K44" s="364"/>
      <c r="L44" s="819"/>
      <c r="M44" s="819"/>
      <c r="N44" s="3249"/>
      <c r="O44" s="3249"/>
      <c r="P44" s="3248"/>
      <c r="Q44" s="3248"/>
      <c r="S44" s="3211"/>
      <c r="T44" s="3212"/>
      <c r="Y44" s="1742" t="s">
        <v>6356</v>
      </c>
      <c r="Z44" s="1706">
        <v>44</v>
      </c>
      <c r="AZ44" s="1676" t="s">
        <v>6357</v>
      </c>
    </row>
    <row r="45" spans="1:52" s="223" customFormat="1" ht="15" customHeight="1">
      <c r="A45" s="144"/>
      <c r="B45" s="825" t="s">
        <v>220</v>
      </c>
      <c r="C45" s="826"/>
      <c r="D45" s="300">
        <f>IF(OR(I45="",I45=0,'Part III-A-Uses of Funds'!$G$127="",'Part III-A-Uses of Funds'!$G$127=0),"",I45/'Part III-A-Uses of Funds'!$G$127)</f>
        <v>7.4637149792657023E-2</v>
      </c>
      <c r="E45" s="3216" t="s">
        <v>7058</v>
      </c>
      <c r="F45" s="3217"/>
      <c r="G45" s="3217"/>
      <c r="H45" s="3218"/>
      <c r="I45" s="3270">
        <v>35421</v>
      </c>
      <c r="J45" s="3271"/>
      <c r="K45" s="653">
        <v>0</v>
      </c>
      <c r="L45" s="652">
        <v>15</v>
      </c>
      <c r="M45" s="652">
        <v>15</v>
      </c>
      <c r="N45" s="3080" t="s">
        <v>1096</v>
      </c>
      <c r="O45" s="3081"/>
      <c r="P45" s="3272">
        <f>IF(OR(I45&lt;=0,I45=""),"",IF(N45="Cash Flow",0,IF(N45="Amortizing",-PMT(K45/12,M45*12,I45,0,0)*12,"")))</f>
        <v>0</v>
      </c>
      <c r="Q45" s="3273"/>
      <c r="S45" s="3211"/>
      <c r="T45" s="3212"/>
      <c r="Y45" s="1742" t="s">
        <v>6357</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11"/>
      <c r="T46" s="3212"/>
      <c r="Y46" s="1742"/>
      <c r="Z46" s="1706">
        <v>46</v>
      </c>
      <c r="AZ46" s="1676"/>
    </row>
    <row r="47" spans="1:52" s="223" customFormat="1" ht="15" customHeight="1">
      <c r="A47" s="144"/>
      <c r="B47" s="223" t="s">
        <v>3406</v>
      </c>
      <c r="C47" s="144"/>
      <c r="E47" s="223" t="s">
        <v>3364</v>
      </c>
      <c r="F47" s="3205">
        <f>IF(OR($I$45="",$I$45=0,'Part VI-Pro Forma'!$S$35=0,'Part VI-Pro Forma'!$S$35=""),"",VLOOKUP($L$45,'Part VI-Pro Forma'!$Q$21:$S$40,3))</f>
        <v>187008.37542131686</v>
      </c>
      <c r="G47" s="3206"/>
      <c r="H47" s="485" t="s">
        <v>3405</v>
      </c>
      <c r="I47" s="3205">
        <f>IF(OR($I$45="",$I$45=0,'Part VI-Pro Forma'!$R$35=0,'Part VI-Pro Forma'!$R$35=""),"",VLOOKUP($L$45,'Part VI-Pro Forma'!$Q$21:$S$35,2))</f>
        <v>35421</v>
      </c>
      <c r="J47" s="3206"/>
      <c r="K47" s="485" t="s">
        <v>3407</v>
      </c>
      <c r="L47" s="3228">
        <f>IF(OR($F$47 = 0,$F$47 =""),"",$I$47/$F$47)</f>
        <v>0.18940862899963143</v>
      </c>
      <c r="M47" s="3229"/>
      <c r="N47" s="3209" t="s">
        <v>3848</v>
      </c>
      <c r="O47" s="3210"/>
      <c r="P47" s="3207">
        <f>IF(OR($I$62=0,$I$60&gt;$I$61),0,ABS($I$60-$I$61))</f>
        <v>0</v>
      </c>
      <c r="Q47" s="3208"/>
      <c r="S47" s="3211"/>
      <c r="T47" s="3212"/>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13"/>
      <c r="T48" s="3214"/>
      <c r="Y48" s="1742"/>
      <c r="Z48" s="1706">
        <v>48</v>
      </c>
      <c r="AZ48" s="1676" t="s">
        <v>6358</v>
      </c>
    </row>
    <row r="49" spans="1:52" s="223" customFormat="1" ht="15" customHeight="1">
      <c r="A49" s="144"/>
      <c r="B49" s="3233" t="s">
        <v>2047</v>
      </c>
      <c r="C49" s="3234"/>
      <c r="D49" s="3235"/>
      <c r="E49" s="3236"/>
      <c r="F49" s="3237"/>
      <c r="G49" s="3237"/>
      <c r="H49" s="3238"/>
      <c r="I49" s="3239"/>
      <c r="J49" s="3240"/>
      <c r="K49" s="144"/>
      <c r="L49" s="144"/>
      <c r="M49" s="144"/>
      <c r="N49" s="144"/>
      <c r="O49" s="144"/>
      <c r="P49" s="248" t="s">
        <v>483</v>
      </c>
      <c r="Q49" s="144"/>
      <c r="S49" s="3250"/>
      <c r="T49" s="3251"/>
      <c r="Y49" s="1742" t="s">
        <v>6358</v>
      </c>
      <c r="Z49" s="1706">
        <v>49</v>
      </c>
      <c r="AZ49" s="1676" t="s">
        <v>6359</v>
      </c>
    </row>
    <row r="50" spans="1:52" s="223" customFormat="1" ht="15" customHeight="1">
      <c r="A50" s="144"/>
      <c r="B50" s="3252" t="s">
        <v>745</v>
      </c>
      <c r="C50" s="3253"/>
      <c r="D50" s="3254"/>
      <c r="E50" s="3198"/>
      <c r="F50" s="3199"/>
      <c r="G50" s="3199"/>
      <c r="H50" s="3200"/>
      <c r="I50" s="3201"/>
      <c r="J50" s="3247"/>
      <c r="L50" s="3255" t="s">
        <v>484</v>
      </c>
      <c r="M50" s="3255"/>
      <c r="N50" s="3256" t="s">
        <v>485</v>
      </c>
      <c r="O50" s="3256"/>
      <c r="P50" s="313" t="s">
        <v>2357</v>
      </c>
      <c r="Q50" s="144"/>
      <c r="S50" s="3211"/>
      <c r="T50" s="3212"/>
      <c r="Y50" s="1742" t="s">
        <v>6359</v>
      </c>
      <c r="Z50" s="1706">
        <v>50</v>
      </c>
      <c r="AZ50" s="1676" t="s">
        <v>6360</v>
      </c>
    </row>
    <row r="51" spans="1:52" s="223" customFormat="1" ht="15" customHeight="1">
      <c r="A51" s="144"/>
      <c r="B51" s="3252" t="s">
        <v>746</v>
      </c>
      <c r="C51" s="3253"/>
      <c r="D51" s="3254"/>
      <c r="E51" s="3198" t="s">
        <v>7059</v>
      </c>
      <c r="F51" s="3199"/>
      <c r="G51" s="3199"/>
      <c r="H51" s="3200"/>
      <c r="I51" s="3201">
        <f>1570379+15864</f>
        <v>1586243</v>
      </c>
      <c r="J51" s="3201"/>
      <c r="L51" s="3257">
        <f>'Part III-A-Uses of Funds'!$J$191*10*'Part III-A-Uses of Funds'!$N$182</f>
        <v>1586242.5148845001</v>
      </c>
      <c r="M51" s="3257"/>
      <c r="N51" s="3258">
        <f>I51-L51</f>
        <v>0.48511549993418157</v>
      </c>
      <c r="O51" s="3258"/>
      <c r="P51" s="324">
        <f>I51/I61</f>
        <v>0.328439383746646</v>
      </c>
      <c r="Q51" s="144"/>
      <c r="S51" s="3211"/>
      <c r="T51" s="3212"/>
      <c r="Y51" s="1742" t="s">
        <v>6360</v>
      </c>
      <c r="Z51" s="1706">
        <v>51</v>
      </c>
      <c r="AZ51" s="1676" t="s">
        <v>6361</v>
      </c>
    </row>
    <row r="52" spans="1:52" s="223" customFormat="1" ht="15" customHeight="1">
      <c r="A52" s="144"/>
      <c r="B52" s="3252" t="s">
        <v>747</v>
      </c>
      <c r="C52" s="3253"/>
      <c r="D52" s="3254"/>
      <c r="E52" s="3198" t="s">
        <v>7051</v>
      </c>
      <c r="F52" s="3199"/>
      <c r="G52" s="3199"/>
      <c r="H52" s="3200"/>
      <c r="I52" s="3201">
        <v>1265647</v>
      </c>
      <c r="J52" s="3201"/>
      <c r="L52" s="3257">
        <f>'Part III-A-Uses of Funds'!$J$191*10*'Part III-A-Uses of Funds'!$Q$182</f>
        <v>1265646.5999999999</v>
      </c>
      <c r="M52" s="3257"/>
      <c r="N52" s="3258">
        <f>I52-L52</f>
        <v>0.40000000013969839</v>
      </c>
      <c r="O52" s="3258"/>
      <c r="P52" s="324">
        <f>I52/I61</f>
        <v>0.26205841142926478</v>
      </c>
      <c r="Q52" s="144"/>
      <c r="S52" s="3211"/>
      <c r="T52" s="3212"/>
      <c r="Y52" s="1742" t="s">
        <v>6361</v>
      </c>
      <c r="Z52" s="1706">
        <v>52</v>
      </c>
      <c r="AZ52" s="1676" t="s">
        <v>6362</v>
      </c>
    </row>
    <row r="53" spans="1:52" s="223" customFormat="1" ht="15" customHeight="1">
      <c r="A53" s="144"/>
      <c r="B53" s="3252" t="s">
        <v>1331</v>
      </c>
      <c r="C53" s="3253"/>
      <c r="D53" s="3254"/>
      <c r="E53" s="3198"/>
      <c r="F53" s="3199"/>
      <c r="G53" s="3199"/>
      <c r="H53" s="3200"/>
      <c r="I53" s="3201"/>
      <c r="J53" s="3201"/>
      <c r="P53" s="325">
        <f>SUM(P51:P52)</f>
        <v>0.59049779517591072</v>
      </c>
      <c r="Q53" s="144"/>
      <c r="S53" s="3213"/>
      <c r="T53" s="3214"/>
      <c r="Y53" s="1742" t="s">
        <v>6362</v>
      </c>
      <c r="Z53" s="1706">
        <v>53</v>
      </c>
      <c r="AZ53" s="1676"/>
    </row>
    <row r="54" spans="1:52" s="223" customFormat="1" ht="15" customHeight="1">
      <c r="A54" s="144"/>
      <c r="B54" s="820" t="s">
        <v>497</v>
      </c>
      <c r="C54" s="144"/>
      <c r="D54" s="824"/>
      <c r="E54" s="3198"/>
      <c r="F54" s="3199"/>
      <c r="G54" s="3199"/>
      <c r="H54" s="3200"/>
      <c r="I54" s="3201"/>
      <c r="J54" s="3201"/>
      <c r="K54" s="144"/>
      <c r="Q54" s="144"/>
      <c r="S54" s="3211"/>
      <c r="T54" s="3212"/>
      <c r="Y54" s="1742"/>
      <c r="Z54" s="1706">
        <v>54</v>
      </c>
      <c r="AZ54" s="1676"/>
    </row>
    <row r="55" spans="1:52" s="223" customFormat="1" ht="15" customHeight="1">
      <c r="A55" s="144"/>
      <c r="B55" s="820" t="s">
        <v>1732</v>
      </c>
      <c r="C55" s="144"/>
      <c r="D55" s="824"/>
      <c r="E55" s="3198" t="s">
        <v>2852</v>
      </c>
      <c r="F55" s="3199"/>
      <c r="G55" s="3199"/>
      <c r="H55" s="3200"/>
      <c r="I55" s="3201">
        <v>144410</v>
      </c>
      <c r="J55" s="3201"/>
      <c r="N55" s="301"/>
      <c r="O55" s="301"/>
      <c r="P55" s="301"/>
      <c r="Q55" s="144"/>
      <c r="S55" s="3211"/>
      <c r="T55" s="3212"/>
      <c r="Y55" s="1742"/>
      <c r="Z55" s="1706">
        <v>55</v>
      </c>
      <c r="AZ55" s="1676"/>
    </row>
    <row r="56" spans="1:52" s="223" customFormat="1" ht="15" customHeight="1">
      <c r="A56" s="144"/>
      <c r="B56" s="820" t="s">
        <v>1733</v>
      </c>
      <c r="C56" s="144"/>
      <c r="D56" s="824"/>
      <c r="E56" s="3198"/>
      <c r="F56" s="3199"/>
      <c r="G56" s="3199"/>
      <c r="H56" s="3200"/>
      <c r="I56" s="3201"/>
      <c r="J56" s="3201"/>
      <c r="M56" s="301"/>
      <c r="N56" s="301"/>
      <c r="O56" s="301"/>
      <c r="P56" s="301"/>
      <c r="Q56" s="144"/>
      <c r="S56" s="3211"/>
      <c r="T56" s="3212"/>
      <c r="Y56" s="1742"/>
      <c r="Z56" s="1706">
        <v>56</v>
      </c>
      <c r="AZ56" s="1676" t="s">
        <v>6363</v>
      </c>
    </row>
    <row r="57" spans="1:52" s="223" customFormat="1" ht="15" customHeight="1">
      <c r="A57" s="144"/>
      <c r="B57" s="820" t="s">
        <v>690</v>
      </c>
      <c r="C57" s="3226" t="s">
        <v>7060</v>
      </c>
      <c r="D57" s="3226"/>
      <c r="E57" s="3198" t="s">
        <v>7058</v>
      </c>
      <c r="F57" s="3199"/>
      <c r="G57" s="3199"/>
      <c r="H57" s="3200"/>
      <c r="I57" s="3201">
        <v>159</v>
      </c>
      <c r="J57" s="3201"/>
      <c r="M57" s="301"/>
      <c r="N57" s="301"/>
      <c r="O57" s="301"/>
      <c r="P57" s="301"/>
      <c r="Q57" s="144"/>
      <c r="S57" s="3211"/>
      <c r="T57" s="3212"/>
      <c r="Y57" s="1742" t="s">
        <v>6363</v>
      </c>
      <c r="Z57" s="1706">
        <v>57</v>
      </c>
      <c r="AZ57" s="1676" t="s">
        <v>6364</v>
      </c>
    </row>
    <row r="58" spans="1:52" s="223" customFormat="1" ht="15" customHeight="1">
      <c r="A58" s="144"/>
      <c r="B58" s="820" t="s">
        <v>690</v>
      </c>
      <c r="C58" s="3227"/>
      <c r="D58" s="3227"/>
      <c r="E58" s="3198"/>
      <c r="F58" s="3199"/>
      <c r="G58" s="3199"/>
      <c r="H58" s="3200"/>
      <c r="I58" s="3201"/>
      <c r="J58" s="3201"/>
      <c r="K58" s="144"/>
      <c r="L58" s="248"/>
      <c r="M58" s="301"/>
      <c r="N58" s="301"/>
      <c r="O58" s="301"/>
      <c r="P58" s="301"/>
      <c r="Q58" s="144"/>
      <c r="S58" s="3211"/>
      <c r="T58" s="3212"/>
      <c r="Y58" s="1742" t="s">
        <v>6364</v>
      </c>
      <c r="Z58" s="1706">
        <v>58</v>
      </c>
      <c r="AZ58" s="1676" t="s">
        <v>6365</v>
      </c>
    </row>
    <row r="59" spans="1:52" s="223" customFormat="1" ht="15" customHeight="1">
      <c r="A59" s="144"/>
      <c r="B59" s="825" t="s">
        <v>690</v>
      </c>
      <c r="C59" s="3215"/>
      <c r="D59" s="3215"/>
      <c r="E59" s="3216"/>
      <c r="F59" s="3217"/>
      <c r="G59" s="3217"/>
      <c r="H59" s="3218"/>
      <c r="I59" s="3219"/>
      <c r="J59" s="3219"/>
      <c r="K59" s="144"/>
      <c r="L59" s="248"/>
      <c r="M59" s="301"/>
      <c r="N59" s="301"/>
      <c r="O59" s="301"/>
      <c r="P59" s="301"/>
      <c r="Q59" s="144"/>
      <c r="S59" s="3211"/>
      <c r="T59" s="3212"/>
      <c r="Y59" s="1742" t="s">
        <v>6365</v>
      </c>
      <c r="Z59" s="1706">
        <v>59</v>
      </c>
      <c r="AZ59" s="1676"/>
    </row>
    <row r="60" spans="1:52" s="223" customFormat="1" ht="14.25" customHeight="1">
      <c r="A60" s="144"/>
      <c r="B60" s="246" t="s">
        <v>2048</v>
      </c>
      <c r="C60" s="144"/>
      <c r="D60" s="144"/>
      <c r="E60" s="144"/>
      <c r="F60" s="144"/>
      <c r="G60" s="144"/>
      <c r="I60" s="3220">
        <f>SUM(I40:J45)+SUM(I49:J59)</f>
        <v>4829637</v>
      </c>
      <c r="J60" s="3221"/>
      <c r="K60" s="144"/>
      <c r="L60" s="248"/>
      <c r="M60" s="301"/>
      <c r="N60" s="301"/>
      <c r="O60" s="301"/>
      <c r="P60" s="301"/>
      <c r="Q60" s="144"/>
      <c r="S60" s="3211"/>
      <c r="T60" s="3212"/>
      <c r="Y60" s="1742"/>
      <c r="Z60" s="1706">
        <v>60</v>
      </c>
      <c r="AZ60" s="1676"/>
    </row>
    <row r="61" spans="1:52" s="223" customFormat="1" ht="14.25" customHeight="1" thickBot="1">
      <c r="A61" s="144"/>
      <c r="B61" s="246" t="s">
        <v>2049</v>
      </c>
      <c r="C61" s="144"/>
      <c r="D61" s="144"/>
      <c r="E61" s="144"/>
      <c r="F61" s="144"/>
      <c r="G61" s="144"/>
      <c r="I61" s="3222">
        <f>'Part III-A-Uses of Funds'!$G$146</f>
        <v>4829637</v>
      </c>
      <c r="J61" s="3223"/>
      <c r="K61" s="144"/>
      <c r="L61" s="248"/>
      <c r="M61" s="301"/>
      <c r="N61" s="301"/>
      <c r="O61" s="301"/>
      <c r="P61" s="301"/>
      <c r="Q61" s="144"/>
      <c r="S61" s="3211"/>
      <c r="T61" s="3212"/>
      <c r="Y61" s="1742"/>
      <c r="Z61" s="1706">
        <v>61</v>
      </c>
      <c r="AZ61" s="1676"/>
    </row>
    <row r="62" spans="1:52" s="223" customFormat="1" ht="14.25" customHeight="1" thickBot="1">
      <c r="A62" s="144"/>
      <c r="B62" s="246" t="s">
        <v>1428</v>
      </c>
      <c r="C62" s="144"/>
      <c r="D62" s="144"/>
      <c r="E62" s="144"/>
      <c r="F62" s="144"/>
      <c r="G62" s="144"/>
      <c r="I62" s="3224">
        <f>I60-I61</f>
        <v>0</v>
      </c>
      <c r="J62" s="3225"/>
      <c r="K62" s="144"/>
      <c r="L62" s="248"/>
      <c r="M62" s="301"/>
      <c r="N62" s="301"/>
      <c r="O62" s="301"/>
      <c r="P62" s="301"/>
      <c r="Q62" s="144"/>
      <c r="S62" s="3213"/>
      <c r="T62" s="3214"/>
      <c r="Y62" s="1742"/>
      <c r="Z62" s="1706">
        <v>62</v>
      </c>
      <c r="AZ62" s="1676"/>
    </row>
    <row r="63" spans="1:52" s="223" customFormat="1" ht="13.35" customHeight="1">
      <c r="A63" s="144" t="s">
        <v>3945</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204" t="s">
        <v>7061</v>
      </c>
      <c r="B66" s="3204"/>
      <c r="C66" s="3204"/>
      <c r="D66" s="3204"/>
      <c r="E66" s="3204"/>
      <c r="F66" s="3204"/>
      <c r="G66" s="3204"/>
      <c r="H66" s="3204"/>
      <c r="I66" s="3204"/>
      <c r="J66" s="3204"/>
      <c r="K66" s="3204"/>
      <c r="L66" s="3204"/>
      <c r="M66" s="3203"/>
      <c r="N66" s="3203"/>
      <c r="O66" s="3203"/>
      <c r="P66" s="3203"/>
      <c r="Q66" s="3203"/>
      <c r="S66" s="3202" t="s">
        <v>2452</v>
      </c>
      <c r="T66" s="32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7" customHeight="1">
      <c r="AZ70" s="1676"/>
    </row>
    <row r="71" spans="1:52" s="223" customFormat="1" ht="14.7" customHeight="1">
      <c r="Y71" s="1742"/>
      <c r="Z71" s="1742"/>
      <c r="AZ71" s="1676"/>
    </row>
    <row r="72" spans="1:52" s="223" customFormat="1" ht="14.7" customHeight="1">
      <c r="Y72" s="1742"/>
      <c r="Z72" s="1742"/>
      <c r="AZ72" s="1676"/>
    </row>
    <row r="73" spans="1:52" s="223" customFormat="1" ht="14.7" customHeight="1">
      <c r="Y73" s="1742"/>
      <c r="Z73" s="1742"/>
      <c r="AZ73" s="1675"/>
    </row>
    <row r="74" spans="1:52" ht="14.7" customHeight="1">
      <c r="AZ74" s="1676"/>
    </row>
    <row r="75" spans="1:52" s="223" customFormat="1" ht="14.7" customHeight="1">
      <c r="A75" s="278"/>
      <c r="Y75" s="1742"/>
      <c r="Z75" s="1742"/>
      <c r="AZ75" s="1676"/>
    </row>
    <row r="76" spans="1:52" s="223" customFormat="1" ht="14.7" customHeight="1">
      <c r="A76" s="278"/>
      <c r="Y76" s="1742"/>
      <c r="Z76" s="1742"/>
      <c r="AZ76" s="1676"/>
    </row>
    <row r="77" spans="1:52" s="223" customFormat="1" ht="14.7" customHeight="1">
      <c r="Y77" s="1742"/>
      <c r="Z77" s="1742"/>
      <c r="AZ77" s="1676"/>
    </row>
    <row r="78" spans="1:52" s="223" customFormat="1" ht="14.7" customHeight="1">
      <c r="A78" s="278"/>
      <c r="Y78" s="1742"/>
      <c r="Z78" s="1742"/>
      <c r="AZ78" s="1676"/>
    </row>
    <row r="79" spans="1:52" s="223" customFormat="1" ht="14.7" customHeight="1">
      <c r="A79" s="276"/>
      <c r="Y79" s="1742"/>
      <c r="Z79" s="1742"/>
      <c r="AZ79" s="1676"/>
    </row>
    <row r="80" spans="1:52" s="223" customFormat="1" ht="14.7" customHeight="1">
      <c r="A80" s="276"/>
      <c r="Y80" s="1742"/>
      <c r="Z80" s="1742"/>
      <c r="AZ80" s="1676"/>
    </row>
    <row r="81" spans="1:52" s="223" customFormat="1" ht="14.7" customHeight="1">
      <c r="A81" s="279"/>
      <c r="Y81" s="1742"/>
      <c r="Z81" s="1742"/>
      <c r="AZ81" s="1676"/>
    </row>
    <row r="82" spans="1:52" s="223" customFormat="1" ht="14.7" customHeight="1">
      <c r="A82" s="278"/>
      <c r="Y82" s="1742"/>
      <c r="Z82" s="1742"/>
      <c r="AZ82" s="1676"/>
    </row>
    <row r="83" spans="1:52" s="223" customFormat="1" ht="14.7" customHeight="1">
      <c r="A83" s="276"/>
      <c r="Y83" s="1742"/>
      <c r="Z83" s="1742"/>
      <c r="AZ83" s="1676"/>
    </row>
    <row r="84" spans="1:52" s="223" customFormat="1" ht="14.7" customHeight="1">
      <c r="A84" s="276"/>
      <c r="Y84" s="1742"/>
      <c r="Z84" s="1742"/>
      <c r="AZ84" s="1676"/>
    </row>
    <row r="85" spans="1:52" s="223" customFormat="1" ht="14.7" customHeight="1">
      <c r="A85" s="279"/>
      <c r="Y85" s="1742"/>
      <c r="Z85" s="1742"/>
      <c r="AZ85" s="1676"/>
    </row>
    <row r="86" spans="1:52" s="223" customFormat="1" ht="14.7" customHeight="1">
      <c r="A86" s="278"/>
      <c r="Y86" s="1742"/>
      <c r="Z86" s="1742"/>
      <c r="AZ86" s="1676"/>
    </row>
    <row r="87" spans="1:52" s="223" customFormat="1" ht="14.7" customHeight="1">
      <c r="A87" s="276"/>
      <c r="Y87" s="1742"/>
      <c r="Z87" s="1742"/>
      <c r="AZ87" s="1676"/>
    </row>
    <row r="88" spans="1:52" s="223" customFormat="1" ht="14.7" customHeight="1">
      <c r="A88" s="276"/>
      <c r="Y88" s="1742"/>
      <c r="Z88" s="1742"/>
      <c r="AZ88" s="1676"/>
    </row>
    <row r="89" spans="1:52" s="223" customFormat="1" ht="14.7" customHeight="1">
      <c r="A89" s="279"/>
      <c r="Y89" s="1742"/>
      <c r="Z89" s="1742"/>
      <c r="AZ89" s="1676"/>
    </row>
    <row r="90" spans="1:52" s="223" customFormat="1" ht="14.7" customHeight="1">
      <c r="A90" s="279"/>
      <c r="Y90" s="1742"/>
      <c r="Z90" s="1742"/>
      <c r="AZ90" s="1676"/>
    </row>
    <row r="91" spans="1:52" s="223" customFormat="1" ht="14.7" customHeight="1">
      <c r="A91" s="279"/>
      <c r="Y91" s="1742"/>
      <c r="Z91" s="1742"/>
      <c r="AZ91" s="1676"/>
    </row>
    <row r="92" spans="1:52" s="223" customFormat="1" ht="14.7" customHeight="1">
      <c r="A92" s="279"/>
      <c r="Y92" s="1742"/>
      <c r="Z92" s="1742"/>
      <c r="AZ92" s="1676"/>
    </row>
    <row r="93" spans="1:52" s="223" customFormat="1" ht="14.7" customHeight="1">
      <c r="Y93" s="1742"/>
      <c r="Z93" s="1742"/>
      <c r="AZ93" s="1676"/>
    </row>
    <row r="94" spans="1:52" s="223" customFormat="1" ht="14.7" customHeight="1">
      <c r="Y94" s="1742"/>
      <c r="Z94" s="1742"/>
      <c r="AZ94" s="1675"/>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4"/>
      <c r="L101" s="223"/>
      <c r="M101" s="223"/>
      <c r="N101" s="223"/>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TQYHmHvFxPboTC1iuO1yv966T0gqjINOA42MCbeKUCw8yuoHRwpT61ylG/Pi6BqIREGvGUFdkXISssmFmnExcA==" saltValue="Wav8Er0Z0dzshulvfUKVSQ=="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333" t="e">
        <f>CONCATENATE("PART III B: USD 538 LOAN","  -  ",#REF!," ",#REF!,", ",#REF!,", ",#REF!," County")</f>
        <v>#REF!</v>
      </c>
      <c r="B1" s="3334"/>
      <c r="C1" s="3334"/>
      <c r="D1" s="3334"/>
      <c r="E1" s="3334"/>
      <c r="F1" s="3335"/>
      <c r="G1" s="139"/>
      <c r="H1" s="139"/>
      <c r="I1" s="139"/>
      <c r="J1" s="139"/>
      <c r="K1" s="139"/>
      <c r="L1" s="139"/>
      <c r="M1" s="139"/>
      <c r="N1" s="139"/>
      <c r="O1" s="139"/>
      <c r="P1" s="139"/>
      <c r="Q1" s="139"/>
    </row>
    <row r="2" spans="1:17" ht="11.1" customHeight="1">
      <c r="A2" s="162"/>
      <c r="B2" s="162"/>
      <c r="C2" s="162"/>
      <c r="D2" s="162"/>
      <c r="E2" s="162"/>
      <c r="F2" s="162"/>
      <c r="G2" s="162"/>
      <c r="H2" s="162"/>
    </row>
    <row r="3" spans="1:17" ht="14.7" customHeight="1">
      <c r="A3" s="3341" t="s">
        <v>210</v>
      </c>
      <c r="B3" s="3341"/>
      <c r="C3" s="3341"/>
      <c r="D3" s="3341"/>
      <c r="E3" s="3341"/>
      <c r="F3" s="3341"/>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42" t="s">
        <v>122</v>
      </c>
      <c r="B14" s="3342"/>
      <c r="C14" s="3342"/>
      <c r="D14" s="3342"/>
      <c r="E14" s="3342"/>
      <c r="F14" s="3342"/>
      <c r="G14" s="162"/>
      <c r="H14" s="162"/>
    </row>
    <row r="15" spans="1:17" ht="5.7" customHeight="1">
      <c r="A15" s="10"/>
      <c r="E15" s="169"/>
      <c r="F15" s="162"/>
      <c r="G15" s="162"/>
      <c r="H15" s="162"/>
    </row>
    <row r="16" spans="1:17" ht="13.35" customHeight="1">
      <c r="A16" s="170" t="s">
        <v>2284</v>
      </c>
      <c r="B16" s="171" t="s">
        <v>2281</v>
      </c>
      <c r="C16" s="171" t="s">
        <v>2282</v>
      </c>
      <c r="D16" s="3339" t="s">
        <v>2082</v>
      </c>
      <c r="E16" s="3339"/>
      <c r="F16" s="162"/>
      <c r="G16" s="162"/>
      <c r="H16" s="162"/>
    </row>
    <row r="17" spans="1:8" ht="12.6" customHeight="1">
      <c r="A17" s="60">
        <v>1</v>
      </c>
      <c r="B17" s="155">
        <f>IF(A17&gt;$C$9,0,SUM(C64:C75)*($C$6/$C$7))</f>
        <v>0</v>
      </c>
      <c r="C17" s="158">
        <f>IF(A17&gt;C9,0,(E63+K63)*$C$8)</f>
        <v>0</v>
      </c>
      <c r="D17" s="3343">
        <f t="shared" ref="D17:D56" si="0">IF(A17&gt;$C$9,0,$C$11+C17)</f>
        <v>0</v>
      </c>
      <c r="E17" s="3343"/>
      <c r="F17" s="162"/>
      <c r="G17" s="162"/>
      <c r="H17" s="162"/>
    </row>
    <row r="18" spans="1:8" ht="12.6" customHeight="1">
      <c r="A18" s="60">
        <v>2</v>
      </c>
      <c r="B18" s="155">
        <f>IF(A18&gt;C9,0,SUM(C76:C87)*($C$6/$C$7))</f>
        <v>0</v>
      </c>
      <c r="C18" s="158">
        <f>IF(A18&gt;C9,0,(E75+K75)*$C$8)</f>
        <v>0</v>
      </c>
      <c r="D18" s="3336">
        <f t="shared" si="0"/>
        <v>0</v>
      </c>
      <c r="E18" s="3336"/>
      <c r="F18" s="162"/>
      <c r="G18" s="162"/>
      <c r="H18" s="162"/>
    </row>
    <row r="19" spans="1:8" ht="12.6" customHeight="1">
      <c r="A19" s="60">
        <v>3</v>
      </c>
      <c r="B19" s="155">
        <f>IF(A19&gt;C9,0,SUM(C88:C99)*($C$6/$C$7))</f>
        <v>0</v>
      </c>
      <c r="C19" s="158">
        <f>IF(A19&gt;C9,0,(E87+K87)*$C$8)</f>
        <v>0</v>
      </c>
      <c r="D19" s="3336">
        <f t="shared" si="0"/>
        <v>0</v>
      </c>
      <c r="E19" s="3336"/>
      <c r="F19" s="162"/>
      <c r="G19" s="162"/>
      <c r="H19" s="162"/>
    </row>
    <row r="20" spans="1:8" ht="12.6" customHeight="1">
      <c r="A20" s="60">
        <v>4</v>
      </c>
      <c r="B20" s="155">
        <f>IF(A20&gt;C9,0,SUM(C100:C111)*($C$6/$C$7))</f>
        <v>0</v>
      </c>
      <c r="C20" s="158">
        <f>IF(A20&gt;C9,0,(E99+K99)*$C$8)</f>
        <v>0</v>
      </c>
      <c r="D20" s="3336">
        <f t="shared" si="0"/>
        <v>0</v>
      </c>
      <c r="E20" s="3336"/>
      <c r="F20" s="162"/>
      <c r="G20" s="162"/>
      <c r="H20" s="162"/>
    </row>
    <row r="21" spans="1:8" ht="12.6" customHeight="1">
      <c r="A21" s="60">
        <v>5</v>
      </c>
      <c r="B21" s="155">
        <f>IF(A21&gt;C9,0,SUM(C112:C123)*($C$6/$C$7))</f>
        <v>0</v>
      </c>
      <c r="C21" s="158">
        <f>IF(A21&gt;C9,0,(E111+K111)*$C$8)</f>
        <v>0</v>
      </c>
      <c r="D21" s="3337">
        <f t="shared" si="0"/>
        <v>0</v>
      </c>
      <c r="E21" s="3337"/>
      <c r="F21" s="162"/>
      <c r="G21" s="162"/>
      <c r="H21" s="162"/>
    </row>
    <row r="22" spans="1:8" ht="12.6" customHeight="1">
      <c r="A22" s="156">
        <v>6</v>
      </c>
      <c r="B22" s="157">
        <f>IF(A22&gt;C9,0,SUM(C124:C135)*($C$6/$C$7))</f>
        <v>0</v>
      </c>
      <c r="C22" s="173">
        <f>IF(A22&gt;C9,0,(E123+K123)*$C$8)</f>
        <v>0</v>
      </c>
      <c r="D22" s="3336">
        <f t="shared" si="0"/>
        <v>0</v>
      </c>
      <c r="E22" s="3336"/>
      <c r="F22" s="162"/>
      <c r="G22" s="162"/>
      <c r="H22" s="162"/>
    </row>
    <row r="23" spans="1:8" ht="12.6" customHeight="1">
      <c r="A23" s="60">
        <v>7</v>
      </c>
      <c r="B23" s="155">
        <f>IF(A23&gt;C9,0,SUM(C136:C147)*($C$6/$C$7))</f>
        <v>0</v>
      </c>
      <c r="C23" s="158">
        <f>IF(A23&gt;C9,0,(E135+K135)*$C$8)</f>
        <v>0</v>
      </c>
      <c r="D23" s="3336">
        <f t="shared" si="0"/>
        <v>0</v>
      </c>
      <c r="E23" s="3336"/>
      <c r="F23" s="162"/>
      <c r="G23" s="162"/>
      <c r="H23" s="162"/>
    </row>
    <row r="24" spans="1:8" ht="12.6" customHeight="1">
      <c r="A24" s="60">
        <v>8</v>
      </c>
      <c r="B24" s="155">
        <f>IF(A24&gt;C9,0,SUM(C148:C159)*($C$6/$C$7))</f>
        <v>0</v>
      </c>
      <c r="C24" s="158">
        <f>IF(A24&gt;C9,0,(E147+K147)*$C$8)</f>
        <v>0</v>
      </c>
      <c r="D24" s="3336">
        <f t="shared" si="0"/>
        <v>0</v>
      </c>
      <c r="E24" s="3336"/>
      <c r="F24" s="162"/>
      <c r="G24" s="162"/>
      <c r="H24" s="162"/>
    </row>
    <row r="25" spans="1:8" ht="12.6" customHeight="1">
      <c r="A25" s="60">
        <v>9</v>
      </c>
      <c r="B25" s="155">
        <f>IF(A25&gt;C9,0,SUM(C160:C171)*($C$6/$C$7))</f>
        <v>0</v>
      </c>
      <c r="C25" s="158">
        <f>IF(A25&gt;C9,0,(E159+K159)*$C$8)</f>
        <v>0</v>
      </c>
      <c r="D25" s="3336">
        <f t="shared" si="0"/>
        <v>0</v>
      </c>
      <c r="E25" s="3336"/>
      <c r="F25" s="162"/>
      <c r="G25" s="162"/>
      <c r="H25" s="162"/>
    </row>
    <row r="26" spans="1:8" ht="12.6" customHeight="1">
      <c r="A26" s="159">
        <v>10</v>
      </c>
      <c r="B26" s="160">
        <f>IF(A26&gt;C9,0,SUM(C172:C183)*($C$6/$C$7))</f>
        <v>0</v>
      </c>
      <c r="C26" s="172">
        <f>IF(A26&gt;C9,0,(E171+K171)*$C$8)</f>
        <v>0</v>
      </c>
      <c r="D26" s="3337">
        <f t="shared" si="0"/>
        <v>0</v>
      </c>
      <c r="E26" s="3337"/>
      <c r="F26" s="162"/>
      <c r="G26" s="162"/>
      <c r="H26" s="162"/>
    </row>
    <row r="27" spans="1:8" ht="12.6" customHeight="1">
      <c r="A27" s="60">
        <v>11</v>
      </c>
      <c r="B27" s="155">
        <f>IF(A27&gt;C9,0,SUM(C184:C195)*($C$6/$C$7))</f>
        <v>0</v>
      </c>
      <c r="C27" s="158">
        <f>IF(A27&gt;C9,0,(E183+K183)*$C$8)</f>
        <v>0</v>
      </c>
      <c r="D27" s="3336">
        <f t="shared" si="0"/>
        <v>0</v>
      </c>
      <c r="E27" s="3336"/>
      <c r="F27" s="162"/>
      <c r="G27" s="162"/>
      <c r="H27" s="162"/>
    </row>
    <row r="28" spans="1:8" ht="12.6" customHeight="1">
      <c r="A28" s="60">
        <v>12</v>
      </c>
      <c r="B28" s="155">
        <f>IF(A28&gt;C9,0,SUM(C196:C207)*($C$6/$C$7))</f>
        <v>0</v>
      </c>
      <c r="C28" s="158">
        <f>IF(A28&gt;C9,0,(E195+K195)*$C$8)</f>
        <v>0</v>
      </c>
      <c r="D28" s="3336">
        <f t="shared" si="0"/>
        <v>0</v>
      </c>
      <c r="E28" s="3336"/>
      <c r="F28" s="162"/>
      <c r="G28" s="162"/>
      <c r="H28" s="162"/>
    </row>
    <row r="29" spans="1:8" ht="12.6" customHeight="1">
      <c r="A29" s="60">
        <v>13</v>
      </c>
      <c r="B29" s="155">
        <f>IF(A29&gt;C9,0,SUM(C208:C219)*($C$6/$C$7))</f>
        <v>0</v>
      </c>
      <c r="C29" s="158">
        <f>IF(A29&gt;C9,0,(E207+K207)*$C$8)</f>
        <v>0</v>
      </c>
      <c r="D29" s="3336">
        <f t="shared" si="0"/>
        <v>0</v>
      </c>
      <c r="E29" s="3336"/>
      <c r="F29" s="162"/>
      <c r="G29" s="162"/>
      <c r="H29" s="162"/>
    </row>
    <row r="30" spans="1:8" ht="12.6" customHeight="1">
      <c r="A30" s="60">
        <v>14</v>
      </c>
      <c r="B30" s="155">
        <f>IF(A30&gt;C9,0,SUM(C220:C231)*($C$6/$C$7))</f>
        <v>0</v>
      </c>
      <c r="C30" s="158">
        <f>IF(A30&gt;C9,0,(E219+K219)*$C$8)</f>
        <v>0</v>
      </c>
      <c r="D30" s="3336">
        <f t="shared" si="0"/>
        <v>0</v>
      </c>
      <c r="E30" s="3336"/>
      <c r="F30" s="162"/>
      <c r="G30" s="162"/>
      <c r="H30" s="162"/>
    </row>
    <row r="31" spans="1:8" ht="12.6" customHeight="1">
      <c r="A31" s="60">
        <v>15</v>
      </c>
      <c r="B31" s="155">
        <f>IF(A31&gt;C9,0,SUM(C232:C243)*($C$6/$C$7))</f>
        <v>0</v>
      </c>
      <c r="C31" s="158">
        <f>IF(A31&gt;C9,0,(E231+K231)*$C$8)</f>
        <v>0</v>
      </c>
      <c r="D31" s="3337">
        <f t="shared" si="0"/>
        <v>0</v>
      </c>
      <c r="E31" s="3337"/>
      <c r="F31" s="162"/>
      <c r="G31" s="162"/>
      <c r="H31" s="162"/>
    </row>
    <row r="32" spans="1:8" ht="12.6" customHeight="1">
      <c r="A32" s="156">
        <v>16</v>
      </c>
      <c r="B32" s="157">
        <f>IF(A32&gt;C9,0,SUM(C244:C255)*($C$6/$C$7))</f>
        <v>0</v>
      </c>
      <c r="C32" s="173">
        <f>IF(A32&gt;C9,0,(E243+K243)*$C$8)</f>
        <v>0</v>
      </c>
      <c r="D32" s="3336">
        <f t="shared" si="0"/>
        <v>0</v>
      </c>
      <c r="E32" s="3336"/>
      <c r="F32" s="162"/>
      <c r="G32" s="162"/>
      <c r="H32" s="162"/>
    </row>
    <row r="33" spans="1:8" ht="12.6" customHeight="1">
      <c r="A33" s="60">
        <v>17</v>
      </c>
      <c r="B33" s="155">
        <f>IF(A33&gt;C9,0,SUM(C256:C267)*($C$6/$C$7))</f>
        <v>0</v>
      </c>
      <c r="C33" s="158">
        <f>IF(A33&gt;C9,0,(E255+K255)*$C$8)</f>
        <v>0</v>
      </c>
      <c r="D33" s="3336">
        <f t="shared" si="0"/>
        <v>0</v>
      </c>
      <c r="E33" s="3336"/>
      <c r="F33" s="162"/>
      <c r="G33" s="162"/>
      <c r="H33" s="162"/>
    </row>
    <row r="34" spans="1:8" ht="12.6" customHeight="1">
      <c r="A34" s="60">
        <v>18</v>
      </c>
      <c r="B34" s="155">
        <f>IF(A34&gt;C9,0,SUM(C268:C279)*($C$6/$C$7))</f>
        <v>0</v>
      </c>
      <c r="C34" s="158">
        <f>IF(A34&gt;C9,0,(E267+K267)*$C$8)</f>
        <v>0</v>
      </c>
      <c r="D34" s="3336">
        <f t="shared" si="0"/>
        <v>0</v>
      </c>
      <c r="E34" s="3336"/>
      <c r="F34" s="162"/>
      <c r="G34" s="162"/>
      <c r="H34" s="162"/>
    </row>
    <row r="35" spans="1:8" ht="12.6" customHeight="1">
      <c r="A35" s="60">
        <v>19</v>
      </c>
      <c r="B35" s="155">
        <f>IF(A35&gt;C9,0,SUM(C280:C291)*($C$6/$C$7))</f>
        <v>0</v>
      </c>
      <c r="C35" s="158">
        <f>IF(A35&gt;C9,0,(E279+K279)*$C$8)</f>
        <v>0</v>
      </c>
      <c r="D35" s="3336">
        <f t="shared" si="0"/>
        <v>0</v>
      </c>
      <c r="E35" s="3336"/>
      <c r="F35" s="162"/>
      <c r="G35" s="162"/>
      <c r="H35" s="162"/>
    </row>
    <row r="36" spans="1:8" ht="12.6" customHeight="1">
      <c r="A36" s="159">
        <v>20</v>
      </c>
      <c r="B36" s="160">
        <f>IF(A36&gt;C9,0,SUM(C292:C303)*($C$6/$C$7))</f>
        <v>0</v>
      </c>
      <c r="C36" s="172">
        <f>IF(A36&gt;C9,0,(E291+K291)*$C$8)</f>
        <v>0</v>
      </c>
      <c r="D36" s="3337">
        <f t="shared" si="0"/>
        <v>0</v>
      </c>
      <c r="E36" s="3337"/>
      <c r="F36" s="162"/>
      <c r="G36" s="162"/>
      <c r="H36" s="162"/>
    </row>
    <row r="37" spans="1:8" ht="12.6" customHeight="1">
      <c r="A37" s="60">
        <v>21</v>
      </c>
      <c r="B37" s="157">
        <f>IF(A37&gt;C9,0,SUM(C293:C304)*($C$6/$C$7))</f>
        <v>0</v>
      </c>
      <c r="C37" s="173">
        <f>IF(A37&gt;C9,0,(E303+K303)*$C$8)</f>
        <v>0</v>
      </c>
      <c r="D37" s="3338">
        <f t="shared" si="0"/>
        <v>0</v>
      </c>
      <c r="E37" s="3338"/>
      <c r="F37" s="162"/>
      <c r="G37" s="162"/>
      <c r="H37" s="162"/>
    </row>
    <row r="38" spans="1:8" ht="12.6" customHeight="1">
      <c r="A38" s="60">
        <v>22</v>
      </c>
      <c r="B38" s="155">
        <f>IF(A38&gt;C9,0,SUM(C294:C305)*($C$6/$C$7))</f>
        <v>0</v>
      </c>
      <c r="C38" s="158">
        <f>IF(A38&gt;C9,0,(E315+K315)*$C$8)</f>
        <v>0</v>
      </c>
      <c r="D38" s="3336">
        <f t="shared" si="0"/>
        <v>0</v>
      </c>
      <c r="E38" s="3336"/>
      <c r="F38" s="162"/>
      <c r="G38" s="162"/>
      <c r="H38" s="162"/>
    </row>
    <row r="39" spans="1:8" ht="12.6" customHeight="1">
      <c r="A39" s="60">
        <v>23</v>
      </c>
      <c r="B39" s="155">
        <f>IF(A39&gt;C9,0,SUM(C295:C306)*($C$6/$C$7))</f>
        <v>0</v>
      </c>
      <c r="C39" s="158">
        <f>IF(A39&gt;C9,0,(E327+K327)*$C$8)</f>
        <v>0</v>
      </c>
      <c r="D39" s="3336">
        <f t="shared" si="0"/>
        <v>0</v>
      </c>
      <c r="E39" s="3336"/>
      <c r="F39" s="162"/>
      <c r="G39" s="162"/>
      <c r="H39" s="162"/>
    </row>
    <row r="40" spans="1:8" ht="12.6" customHeight="1">
      <c r="A40" s="60">
        <v>24</v>
      </c>
      <c r="B40" s="155">
        <f>IF(A40&gt;C9,0,SUM(C296:C307)*($C$6/$C$7))</f>
        <v>0</v>
      </c>
      <c r="C40" s="158">
        <f>IF(A40&gt;C9,0,(E339+K339)*$C$8)</f>
        <v>0</v>
      </c>
      <c r="D40" s="3336">
        <f t="shared" si="0"/>
        <v>0</v>
      </c>
      <c r="E40" s="3336"/>
      <c r="F40" s="162"/>
      <c r="G40" s="162"/>
      <c r="H40" s="162"/>
    </row>
    <row r="41" spans="1:8" ht="12.6" customHeight="1">
      <c r="A41" s="60">
        <v>25</v>
      </c>
      <c r="B41" s="160">
        <f>IF(A41&gt;C9,0,SUM(C297:C308)*($C$6/$C$7))</f>
        <v>0</v>
      </c>
      <c r="C41" s="172">
        <f>IF(A41&gt;C9,0,(E351+K351)*$C$8)</f>
        <v>0</v>
      </c>
      <c r="D41" s="3337">
        <f t="shared" si="0"/>
        <v>0</v>
      </c>
      <c r="E41" s="3337"/>
      <c r="F41" s="162"/>
      <c r="G41" s="162"/>
      <c r="H41" s="162"/>
    </row>
    <row r="42" spans="1:8" ht="12.6" customHeight="1">
      <c r="A42" s="156">
        <v>26</v>
      </c>
      <c r="B42" s="157">
        <f>IF(A42&gt;C9,0,SUM(C298:C309)*($C$6/$C$7))</f>
        <v>0</v>
      </c>
      <c r="C42" s="173">
        <f>IF(A42&gt;C9,0,(E363+K363)*$C$8)</f>
        <v>0</v>
      </c>
      <c r="D42" s="3338">
        <f t="shared" si="0"/>
        <v>0</v>
      </c>
      <c r="E42" s="3338"/>
      <c r="F42" s="162"/>
      <c r="G42" s="162"/>
      <c r="H42" s="162"/>
    </row>
    <row r="43" spans="1:8" ht="12.6" customHeight="1">
      <c r="A43" s="60">
        <v>27</v>
      </c>
      <c r="B43" s="155">
        <f>IF(A43&gt;C9,0,SUM(C299:C310)*($C$6/$C$7))</f>
        <v>0</v>
      </c>
      <c r="C43" s="158">
        <f>IF(A43&gt;C9,0,(E375+K375)*$C$8)</f>
        <v>0</v>
      </c>
      <c r="D43" s="3336">
        <f t="shared" si="0"/>
        <v>0</v>
      </c>
      <c r="E43" s="3336"/>
      <c r="F43" s="162"/>
      <c r="G43" s="162"/>
      <c r="H43" s="162"/>
    </row>
    <row r="44" spans="1:8" ht="12.6" customHeight="1">
      <c r="A44" s="60">
        <v>28</v>
      </c>
      <c r="B44" s="155">
        <f>IF(A44&gt;C9,0,SUM(C300:C311)*($C$6/$C$7))</f>
        <v>0</v>
      </c>
      <c r="C44" s="158">
        <f>IF(A44&gt;C9,0,(E387+K387)*$C$8)</f>
        <v>0</v>
      </c>
      <c r="D44" s="3336">
        <f t="shared" si="0"/>
        <v>0</v>
      </c>
      <c r="E44" s="3336"/>
      <c r="F44" s="162"/>
      <c r="G44" s="162"/>
      <c r="H44" s="162"/>
    </row>
    <row r="45" spans="1:8" ht="12.6" customHeight="1">
      <c r="A45" s="60">
        <v>29</v>
      </c>
      <c r="B45" s="155">
        <f>IF(A45&gt;C9,0,SUM(C301:C312)*($C$6/$C$7))</f>
        <v>0</v>
      </c>
      <c r="C45" s="158">
        <f>IF(A45&gt;C9,0,(E411+K411)*$C$8)</f>
        <v>0</v>
      </c>
      <c r="D45" s="3336">
        <f t="shared" si="0"/>
        <v>0</v>
      </c>
      <c r="E45" s="3336"/>
      <c r="F45" s="162"/>
      <c r="G45" s="162"/>
      <c r="H45" s="162"/>
    </row>
    <row r="46" spans="1:8" ht="12.6" customHeight="1">
      <c r="A46" s="159">
        <v>30</v>
      </c>
      <c r="B46" s="160">
        <f>IF(A46&gt;C9,0,SUM(C302:C313)*($C$6/$C$7))</f>
        <v>0</v>
      </c>
      <c r="C46" s="172">
        <f>IF(A46&gt;C9,0,(E423+K423)*$C$8)</f>
        <v>0</v>
      </c>
      <c r="D46" s="3337">
        <f t="shared" si="0"/>
        <v>0</v>
      </c>
      <c r="E46" s="3337"/>
      <c r="F46" s="162"/>
      <c r="G46" s="162"/>
      <c r="H46" s="162"/>
    </row>
    <row r="47" spans="1:8" ht="12.6" customHeight="1">
      <c r="A47" s="156">
        <v>31</v>
      </c>
      <c r="B47" s="157">
        <f>IF(A47&gt;C9,0,SUM(C303:C314)*($C$6/$C$7))</f>
        <v>0</v>
      </c>
      <c r="C47" s="173">
        <f>IF(A47&gt;C9,0,(E435+K435)*$C$8)</f>
        <v>0</v>
      </c>
      <c r="D47" s="3338">
        <f t="shared" si="0"/>
        <v>0</v>
      </c>
      <c r="E47" s="3338"/>
      <c r="F47" s="162"/>
      <c r="G47" s="162"/>
      <c r="H47" s="162"/>
    </row>
    <row r="48" spans="1:8" ht="12.6" customHeight="1">
      <c r="A48" s="60">
        <v>32</v>
      </c>
      <c r="B48" s="155">
        <f>IF(A48&gt;C9,0,SUM(C304:C315)*($C$6/$C$7))</f>
        <v>0</v>
      </c>
      <c r="C48" s="158">
        <f>IF(A48&gt;C9,0,(E447+K447)*$C$8)</f>
        <v>0</v>
      </c>
      <c r="D48" s="3336">
        <f t="shared" si="0"/>
        <v>0</v>
      </c>
      <c r="E48" s="3336"/>
      <c r="F48" s="162"/>
      <c r="G48" s="162"/>
      <c r="H48" s="162"/>
    </row>
    <row r="49" spans="1:12" ht="12.6" customHeight="1">
      <c r="A49" s="60">
        <v>33</v>
      </c>
      <c r="B49" s="155">
        <f>IF(A49&gt;C9,0,SUM(C305:C316)*($C$6/$C$7))</f>
        <v>0</v>
      </c>
      <c r="C49" s="158">
        <f>IF(A49&gt;C9,0,(E459+K459)*$C$8)</f>
        <v>0</v>
      </c>
      <c r="D49" s="3336">
        <f t="shared" si="0"/>
        <v>0</v>
      </c>
      <c r="E49" s="3336"/>
      <c r="F49" s="162"/>
      <c r="G49" s="162"/>
      <c r="H49" s="162"/>
    </row>
    <row r="50" spans="1:12" ht="12.6" customHeight="1">
      <c r="A50" s="60">
        <v>34</v>
      </c>
      <c r="B50" s="155">
        <f>IF(A50&gt;C9,0,SUM(C306:C317)*($C$6/$C$7))</f>
        <v>0</v>
      </c>
      <c r="C50" s="158">
        <f>IF(A50&gt;C9,0,(E471+K471)*$C$8)</f>
        <v>0</v>
      </c>
      <c r="D50" s="3336">
        <f t="shared" si="0"/>
        <v>0</v>
      </c>
      <c r="E50" s="3336"/>
      <c r="F50" s="162"/>
      <c r="G50" s="162"/>
      <c r="H50" s="162"/>
    </row>
    <row r="51" spans="1:12" ht="12.6" customHeight="1">
      <c r="A51" s="159">
        <v>35</v>
      </c>
      <c r="B51" s="160">
        <f>IF(A51&gt;C9,0,SUM(C307:C318)*($C$6/$C$7))</f>
        <v>0</v>
      </c>
      <c r="C51" s="172">
        <f>IF(A51&gt;C9,0,(E483+K483)*$C$8)</f>
        <v>0</v>
      </c>
      <c r="D51" s="3337">
        <f t="shared" si="0"/>
        <v>0</v>
      </c>
      <c r="E51" s="3337"/>
      <c r="F51" s="162"/>
      <c r="G51" s="162"/>
      <c r="H51" s="162"/>
    </row>
    <row r="52" spans="1:12" ht="12.6" customHeight="1">
      <c r="A52" s="156">
        <v>36</v>
      </c>
      <c r="B52" s="157">
        <f>IF(A52&gt;C9,0,SUM(C308:C319)*($C$6/$C$7))</f>
        <v>0</v>
      </c>
      <c r="C52" s="173">
        <f>IF(A52&gt;C9,0,(E495+K495)*$C$8)</f>
        <v>0</v>
      </c>
      <c r="D52" s="3338">
        <f t="shared" si="0"/>
        <v>0</v>
      </c>
      <c r="E52" s="3338"/>
      <c r="F52" s="162"/>
      <c r="G52" s="162"/>
      <c r="H52" s="162"/>
    </row>
    <row r="53" spans="1:12" ht="12.6" customHeight="1">
      <c r="A53" s="60">
        <v>37</v>
      </c>
      <c r="B53" s="155">
        <f>IF(A53&gt;C9,0,SUM(C309:C320)*($C$6/$C$7))</f>
        <v>0</v>
      </c>
      <c r="C53" s="158">
        <f>IF(A53&gt;C9,0,(E507+K507)*$C$8)</f>
        <v>0</v>
      </c>
      <c r="D53" s="3336">
        <f t="shared" si="0"/>
        <v>0</v>
      </c>
      <c r="E53" s="3336"/>
      <c r="F53" s="162"/>
      <c r="G53" s="162"/>
      <c r="H53" s="162"/>
    </row>
    <row r="54" spans="1:12" ht="12.6" customHeight="1">
      <c r="A54" s="60">
        <v>38</v>
      </c>
      <c r="B54" s="155">
        <f>IF(A54&gt;C9,0,SUM(C310:C321)*($C$6/$C$7))</f>
        <v>0</v>
      </c>
      <c r="C54" s="158">
        <f>IF(A54&gt;C9,0,(E519+K519)*$C$8)</f>
        <v>0</v>
      </c>
      <c r="D54" s="3336">
        <f t="shared" si="0"/>
        <v>0</v>
      </c>
      <c r="E54" s="3336"/>
      <c r="F54" s="162"/>
      <c r="G54" s="162"/>
      <c r="H54" s="162"/>
    </row>
    <row r="55" spans="1:12" ht="12.6" customHeight="1">
      <c r="A55" s="60">
        <v>39</v>
      </c>
      <c r="B55" s="155">
        <f>IF(A55&gt;C9,0,SUM(C311:C322)*($C$6/$C$7))</f>
        <v>0</v>
      </c>
      <c r="C55" s="158">
        <f>IF(A55&gt;C9,0,(E531+K531)*$C$8)</f>
        <v>0</v>
      </c>
      <c r="D55" s="3336">
        <f t="shared" si="0"/>
        <v>0</v>
      </c>
      <c r="E55" s="3336"/>
      <c r="F55" s="162"/>
      <c r="G55" s="162"/>
      <c r="H55" s="162"/>
    </row>
    <row r="56" spans="1:12" ht="12.6" customHeight="1">
      <c r="A56" s="159">
        <v>40</v>
      </c>
      <c r="B56" s="160">
        <f>IF(A56&gt;C9,0,SUM(C312:C323)*($C$6/$C$7))</f>
        <v>0</v>
      </c>
      <c r="C56" s="172">
        <f>IF(A56&gt;C9,0,(E543+K543)*$C$8)</f>
        <v>0</v>
      </c>
      <c r="D56" s="3337">
        <f t="shared" si="0"/>
        <v>0</v>
      </c>
      <c r="E56" s="3337"/>
      <c r="F56" s="162"/>
      <c r="G56" s="162"/>
      <c r="H56" s="162"/>
    </row>
    <row r="57" spans="1:12" ht="3" customHeight="1">
      <c r="A57" s="162"/>
      <c r="B57" s="162"/>
      <c r="C57" s="162"/>
      <c r="D57" s="162"/>
      <c r="E57" s="162"/>
      <c r="F57" s="162"/>
      <c r="G57" s="162"/>
      <c r="H57" s="162"/>
    </row>
    <row r="58" spans="1:12" ht="13.35" customHeight="1">
      <c r="A58" s="3340" t="e">
        <f>CONCATENATE(#REF!," ",#REF!,", ",#REF!,", ",#REF!," County")</f>
        <v>#REF!</v>
      </c>
      <c r="B58" s="3340"/>
      <c r="C58" s="3340"/>
      <c r="D58" s="3340"/>
      <c r="E58" s="3340"/>
      <c r="F58" s="3340"/>
      <c r="G58" s="3340" t="e">
        <f>CONCATENATE(#REF!," ",#REF!,", ",#REF!,", ",#REF!," County")</f>
        <v>#REF!</v>
      </c>
      <c r="H58" s="3340"/>
      <c r="I58" s="3340"/>
      <c r="J58" s="3340"/>
      <c r="K58" s="3340"/>
      <c r="L58" s="3340"/>
    </row>
    <row r="59" spans="1:12" ht="13.8">
      <c r="A59" s="3341" t="s">
        <v>2275</v>
      </c>
      <c r="B59" s="3341"/>
      <c r="C59" s="3341"/>
      <c r="D59" s="3341"/>
      <c r="E59" s="3341"/>
      <c r="F59" s="3341"/>
      <c r="G59" s="3341" t="s">
        <v>2275</v>
      </c>
      <c r="H59" s="3341"/>
      <c r="I59" s="3341"/>
      <c r="J59" s="3341"/>
      <c r="K59" s="3341"/>
      <c r="L59" s="3341"/>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333" t="e">
        <f>CONCATENATE("PART III C  - HUD INSURED LOAN","  -  ",#REF!," ",#REF!,", ",#REF!,", ",#REF!," County")</f>
        <v>#REF!</v>
      </c>
      <c r="B1" s="3334"/>
      <c r="C1" s="3334"/>
      <c r="D1" s="3334"/>
      <c r="E1" s="3334"/>
      <c r="F1" s="3335"/>
      <c r="G1" s="139"/>
      <c r="H1" s="139"/>
      <c r="I1" s="139"/>
      <c r="J1" s="139"/>
      <c r="K1" s="139"/>
      <c r="L1" s="139"/>
      <c r="M1" s="139"/>
      <c r="N1" s="139"/>
      <c r="O1" s="139"/>
      <c r="P1" s="139"/>
      <c r="Q1" s="139"/>
    </row>
    <row r="2" spans="1:17">
      <c r="A2" s="10"/>
    </row>
    <row r="3" spans="1:17" ht="15.6" customHeight="1">
      <c r="A3" s="3341" t="s">
        <v>210</v>
      </c>
      <c r="B3" s="3341"/>
      <c r="C3" s="3341"/>
      <c r="D3" s="3341"/>
      <c r="E3" s="3341"/>
      <c r="F3" s="3341"/>
      <c r="G3" s="189"/>
      <c r="H3" s="189"/>
    </row>
    <row r="4" spans="1:17">
      <c r="A4" s="10"/>
    </row>
    <row r="5" spans="1:17" ht="13.35" customHeight="1">
      <c r="A5" t="s">
        <v>2083</v>
      </c>
      <c r="D5" s="183"/>
      <c r="E5" s="3344" t="s">
        <v>895</v>
      </c>
      <c r="F5" s="3345"/>
      <c r="G5" s="126"/>
    </row>
    <row r="6" spans="1:17">
      <c r="E6" s="3345"/>
      <c r="F6" s="3345"/>
      <c r="G6" s="126"/>
    </row>
    <row r="7" spans="1:17">
      <c r="A7" t="s">
        <v>2267</v>
      </c>
      <c r="C7" t="s">
        <v>2268</v>
      </c>
      <c r="D7" s="184"/>
      <c r="E7" s="3345"/>
      <c r="F7" s="3345"/>
      <c r="G7" s="126"/>
    </row>
    <row r="8" spans="1:17">
      <c r="C8" t="s">
        <v>2269</v>
      </c>
      <c r="D8" s="184"/>
      <c r="E8" s="3345"/>
      <c r="F8" s="3345"/>
      <c r="G8" s="126"/>
    </row>
    <row r="9" spans="1:17">
      <c r="C9" t="s">
        <v>2270</v>
      </c>
      <c r="D9" s="184"/>
      <c r="E9" s="3345"/>
      <c r="F9" s="3345"/>
      <c r="G9" s="126"/>
    </row>
    <row r="10" spans="1:17">
      <c r="C10" t="s">
        <v>2283</v>
      </c>
      <c r="D10" s="190">
        <f>D7+D8+D9</f>
        <v>0</v>
      </c>
      <c r="E10" s="3345"/>
      <c r="F10" s="3345"/>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42" t="s">
        <v>1596</v>
      </c>
      <c r="B24" s="3342"/>
      <c r="C24" s="3342"/>
      <c r="D24" s="3342"/>
      <c r="E24" s="3342"/>
      <c r="F24" s="3342"/>
      <c r="J24" s="192"/>
    </row>
    <row r="25" spans="1:10">
      <c r="C25" s="161"/>
      <c r="J25" s="192"/>
    </row>
    <row r="26" spans="1:10">
      <c r="A26" s="82"/>
      <c r="B26" s="60"/>
      <c r="C26" s="3346" t="s">
        <v>2082</v>
      </c>
      <c r="D26" s="188"/>
      <c r="E26" s="60"/>
      <c r="F26" s="3346" t="s">
        <v>2082</v>
      </c>
      <c r="J26" s="192"/>
    </row>
    <row r="27" spans="1:10">
      <c r="A27" s="193" t="s">
        <v>2284</v>
      </c>
      <c r="B27" s="24" t="s">
        <v>962</v>
      </c>
      <c r="C27" s="3347"/>
      <c r="D27" s="194" t="s">
        <v>2284</v>
      </c>
      <c r="E27" s="24" t="s">
        <v>962</v>
      </c>
      <c r="F27" s="334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40" t="e">
        <f>CONCATENATE(#REF!," ",#REF!,", ",#REF!,", ",#REF!," County")</f>
        <v>#REF!</v>
      </c>
      <c r="B50" s="3340"/>
      <c r="C50" s="3340"/>
      <c r="D50" s="3340"/>
      <c r="E50" s="3340"/>
      <c r="F50" s="3340"/>
      <c r="G50" s="41"/>
      <c r="H50" s="41"/>
    </row>
    <row r="51" spans="1:10" ht="13.8">
      <c r="A51" s="3341" t="s">
        <v>2275</v>
      </c>
      <c r="B51" s="3341"/>
      <c r="C51" s="3341"/>
      <c r="D51" s="3341"/>
      <c r="E51" s="3341"/>
      <c r="F51" s="3341"/>
      <c r="G51" s="189"/>
      <c r="H51" s="189"/>
      <c r="I51" s="189"/>
      <c r="J51" s="189"/>
    </row>
    <row r="52" spans="1:10" ht="5.7"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C135" sqref="C135"/>
    </sheetView>
  </sheetViews>
  <sheetFormatPr defaultColWidth="9.33203125" defaultRowHeight="13.8"/>
  <cols>
    <col min="1" max="1" width="2.44140625" style="145" customWidth="1"/>
    <col min="2" max="2" width="5.44140625" style="145" customWidth="1"/>
    <col min="3" max="3" width="18.33203125" style="145" customWidth="1"/>
    <col min="4" max="4" width="7.33203125" style="145" customWidth="1"/>
    <col min="5" max="5" width="12.5546875" style="145" customWidth="1"/>
    <col min="6" max="6" width="10.44140625" style="145" customWidth="1"/>
    <col min="7" max="8" width="6.44140625" style="145" customWidth="1"/>
    <col min="9" max="9" width="1.6640625" style="145" customWidth="1"/>
    <col min="10" max="11" width="6.44140625" style="145" customWidth="1"/>
    <col min="12" max="12" width="1.6640625" style="145" customWidth="1"/>
    <col min="13" max="14" width="6.44140625" style="145" customWidth="1"/>
    <col min="15" max="15" width="1.6640625" style="145" customWidth="1"/>
    <col min="16" max="17" width="6.4414062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44140625" style="145" customWidth="1"/>
    <col min="25" max="25" width="9.33203125" style="145"/>
    <col min="26" max="29" width="8" style="145" customWidth="1"/>
    <col min="30" max="31" width="9.33203125" style="145" bestFit="1" customWidth="1"/>
    <col min="32" max="32" width="10.44140625" style="145" customWidth="1"/>
    <col min="33" max="33" width="10.33203125" style="145" customWidth="1"/>
    <col min="34" max="51" width="8" style="145" customWidth="1"/>
    <col min="52" max="52" width="9.33203125" style="744"/>
    <col min="53" max="53" width="9.33203125" style="1739"/>
    <col min="54" max="16384" width="9.33203125" style="145"/>
  </cols>
  <sheetData>
    <row r="1" spans="1:53" s="1739" customFormat="1" ht="13.5" hidden="1" customHeight="1">
      <c r="G1" s="1739" t="s">
        <v>6334</v>
      </c>
      <c r="J1" s="1739" t="s">
        <v>6335</v>
      </c>
      <c r="M1" s="1739" t="s">
        <v>6336</v>
      </c>
      <c r="N1" s="1739" t="s">
        <v>6337</v>
      </c>
      <c r="P1" s="1739" t="s">
        <v>6338</v>
      </c>
      <c r="Q1" s="1739" t="s">
        <v>6339</v>
      </c>
      <c r="S1" s="1739" t="s">
        <v>6340</v>
      </c>
      <c r="AZ1" s="744"/>
      <c r="BA1" s="1706">
        <v>1</v>
      </c>
    </row>
    <row r="2" spans="1:53" s="144" customFormat="1" ht="13.5" customHeight="1">
      <c r="A2" s="3508" t="str">
        <f>CONCATENATE("PART THREE (A):  USES OF FUNDS","  -  ",'Part I-Project Identification'!$O$7," ",'Part I-Project Identification'!$F$25,", ",'Part I-Project Identification'!F26,", ",'Part I-Project Identification'!J26," County")</f>
        <v>PART THREE (A):  USES OF FUNDS  -  2023-5 Brightwood Lane Apartments, Washington, Wilkes County</v>
      </c>
      <c r="B2" s="3509"/>
      <c r="C2" s="3509"/>
      <c r="D2" s="3509"/>
      <c r="E2" s="3509"/>
      <c r="F2" s="3509"/>
      <c r="G2" s="3509"/>
      <c r="H2" s="3509"/>
      <c r="I2" s="3509"/>
      <c r="J2" s="3509"/>
      <c r="K2" s="3509"/>
      <c r="L2" s="3509"/>
      <c r="M2" s="3509"/>
      <c r="N2" s="3509"/>
      <c r="O2" s="3509"/>
      <c r="P2" s="3509"/>
      <c r="Q2" s="3509"/>
      <c r="R2" s="3509"/>
      <c r="S2" s="3509"/>
      <c r="T2" s="3509"/>
      <c r="W2" s="3510" t="str">
        <f>A2</f>
        <v>PART THREE (A):  USES OF FUNDS  -  2023-5 Brightwood Lane Apartments, Washington, Wilkes County</v>
      </c>
      <c r="X2" s="3510"/>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389" t="str">
        <f>'Part I-Project Identification'!$A$6</f>
        <v>Sept 2023</v>
      </c>
      <c r="E6" s="3389"/>
      <c r="F6" s="3389"/>
      <c r="G6" s="3389"/>
      <c r="H6" s="3389"/>
      <c r="I6" s="376"/>
      <c r="J6" s="3364" t="s">
        <v>259</v>
      </c>
      <c r="K6" s="3365"/>
      <c r="L6" s="280"/>
      <c r="M6" s="3483" t="s">
        <v>460</v>
      </c>
      <c r="N6" s="3484"/>
      <c r="P6" s="3364" t="s">
        <v>260</v>
      </c>
      <c r="Q6" s="3365"/>
      <c r="S6" s="3364" t="s">
        <v>261</v>
      </c>
      <c r="T6" s="3365"/>
      <c r="V6" s="344" t="str">
        <f>B6</f>
        <v>DEVELOPMENT BUDGET</v>
      </c>
      <c r="AZ6" s="1968"/>
      <c r="BA6" s="1706">
        <v>6</v>
      </c>
    </row>
    <row r="7" spans="1:53" s="144" customFormat="1" ht="19.5" customHeight="1" thickBot="1">
      <c r="D7" s="1227"/>
      <c r="E7" s="1227"/>
      <c r="F7" s="1227"/>
      <c r="G7" s="3479" t="s">
        <v>95</v>
      </c>
      <c r="H7" s="3480"/>
      <c r="J7" s="3366"/>
      <c r="K7" s="3367"/>
      <c r="L7" s="280"/>
      <c r="M7" s="3485"/>
      <c r="N7" s="3486"/>
      <c r="P7" s="3366"/>
      <c r="Q7" s="3367"/>
      <c r="S7" s="3366"/>
      <c r="T7" s="3367"/>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86">
        <v>5700</v>
      </c>
      <c r="H9" s="3287"/>
      <c r="J9" s="3286"/>
      <c r="K9" s="3287"/>
      <c r="L9" s="828"/>
      <c r="M9" s="3286"/>
      <c r="N9" s="3287"/>
      <c r="P9" s="3286">
        <v>5700</v>
      </c>
      <c r="Q9" s="3287"/>
      <c r="S9" s="3286"/>
      <c r="T9" s="3287"/>
      <c r="V9" s="849"/>
      <c r="W9" s="3401"/>
      <c r="X9" s="3402"/>
      <c r="AZ9" s="1968"/>
      <c r="BA9" s="1706">
        <v>9</v>
      </c>
    </row>
    <row r="10" spans="1:53" s="144" customFormat="1" ht="11.25" customHeight="1">
      <c r="B10" s="144" t="s">
        <v>431</v>
      </c>
      <c r="G10" s="3274">
        <v>3900</v>
      </c>
      <c r="H10" s="3275"/>
      <c r="J10" s="3274"/>
      <c r="K10" s="3275"/>
      <c r="L10" s="828"/>
      <c r="M10" s="3274"/>
      <c r="N10" s="3275"/>
      <c r="P10" s="3274">
        <v>3900</v>
      </c>
      <c r="Q10" s="3275"/>
      <c r="S10" s="3274"/>
      <c r="T10" s="3275"/>
      <c r="V10" s="849"/>
      <c r="W10" s="3401"/>
      <c r="X10" s="3402"/>
      <c r="AZ10" s="1968"/>
      <c r="BA10" s="1706">
        <v>10</v>
      </c>
    </row>
    <row r="11" spans="1:53" s="144" customFormat="1" ht="11.25" customHeight="1">
      <c r="B11" s="144" t="s">
        <v>458</v>
      </c>
      <c r="G11" s="3274">
        <v>13950</v>
      </c>
      <c r="H11" s="3275"/>
      <c r="J11" s="3274"/>
      <c r="K11" s="3275"/>
      <c r="L11" s="828"/>
      <c r="M11" s="3274"/>
      <c r="N11" s="3275"/>
      <c r="P11" s="3274">
        <v>13950</v>
      </c>
      <c r="Q11" s="3275"/>
      <c r="S11" s="3274"/>
      <c r="T11" s="3275"/>
      <c r="V11" s="849"/>
      <c r="W11" s="3401"/>
      <c r="X11" s="3402"/>
      <c r="AZ11" s="1968"/>
      <c r="BA11" s="1706">
        <v>11</v>
      </c>
    </row>
    <row r="12" spans="1:53" s="144" customFormat="1" ht="11.25" customHeight="1">
      <c r="B12" s="144" t="s">
        <v>459</v>
      </c>
      <c r="G12" s="3274"/>
      <c r="H12" s="3275"/>
      <c r="J12" s="3274"/>
      <c r="K12" s="3275"/>
      <c r="L12" s="828"/>
      <c r="M12" s="3274"/>
      <c r="N12" s="3275"/>
      <c r="P12" s="3274"/>
      <c r="Q12" s="3275"/>
      <c r="S12" s="3274"/>
      <c r="T12" s="3275"/>
      <c r="V12" s="849"/>
      <c r="W12" s="3401"/>
      <c r="X12" s="3402"/>
      <c r="AZ12" s="1968"/>
      <c r="BA12" s="1706">
        <v>12</v>
      </c>
    </row>
    <row r="13" spans="1:53" s="144" customFormat="1" ht="11.25" customHeight="1">
      <c r="B13" s="144" t="s">
        <v>2301</v>
      </c>
      <c r="G13" s="3274">
        <v>12000</v>
      </c>
      <c r="H13" s="3275"/>
      <c r="J13" s="3274"/>
      <c r="K13" s="3275"/>
      <c r="L13" s="828"/>
      <c r="M13" s="3274"/>
      <c r="N13" s="3275"/>
      <c r="P13" s="3274">
        <v>12000</v>
      </c>
      <c r="Q13" s="3275"/>
      <c r="S13" s="3274"/>
      <c r="T13" s="3275"/>
      <c r="V13" s="849"/>
      <c r="W13" s="3401"/>
      <c r="X13" s="3402"/>
      <c r="AZ13" s="1968"/>
      <c r="BA13" s="1706">
        <v>13</v>
      </c>
    </row>
    <row r="14" spans="1:53" s="144" customFormat="1" ht="11.25" customHeight="1">
      <c r="B14" s="144" t="s">
        <v>183</v>
      </c>
      <c r="G14" s="3274"/>
      <c r="H14" s="3275"/>
      <c r="J14" s="3274"/>
      <c r="K14" s="3275"/>
      <c r="L14" s="828"/>
      <c r="M14" s="3274"/>
      <c r="N14" s="3275"/>
      <c r="P14" s="3274"/>
      <c r="Q14" s="3275"/>
      <c r="S14" s="3274"/>
      <c r="T14" s="3275"/>
      <c r="V14" s="849"/>
      <c r="W14" s="3401"/>
      <c r="X14" s="3402"/>
      <c r="AZ14" s="1968"/>
      <c r="BA14" s="1706">
        <v>14</v>
      </c>
    </row>
    <row r="15" spans="1:53" s="144" customFormat="1" ht="11.25" customHeight="1">
      <c r="A15" s="303" t="str">
        <f>IF(AND(G15&gt;0,OR(C15="",C15="&lt;Enter detailed description here; use Comments section if needed&gt;")),"X","")</f>
        <v/>
      </c>
      <c r="B15" s="147" t="s">
        <v>6272</v>
      </c>
      <c r="C15" s="3470" t="s">
        <v>7062</v>
      </c>
      <c r="D15" s="3470"/>
      <c r="E15" s="3470"/>
      <c r="F15" s="3471"/>
      <c r="G15" s="3274">
        <v>5400</v>
      </c>
      <c r="H15" s="3275"/>
      <c r="J15" s="3274"/>
      <c r="K15" s="3275"/>
      <c r="L15" s="828"/>
      <c r="M15" s="3274"/>
      <c r="N15" s="3275"/>
      <c r="P15" s="3274">
        <v>5400</v>
      </c>
      <c r="Q15" s="3275"/>
      <c r="S15" s="3274"/>
      <c r="T15" s="3275"/>
      <c r="U15" s="302" t="str">
        <f>IF(AND(G15&gt;0,OR(C15="",C15="&lt;Enter detailed description here; use Comments section if needed&gt;")),"NO DESCRIPTION PROVIDED - please enter detailed description in Other box at left; use Comments section below if needed.","")</f>
        <v/>
      </c>
      <c r="V15" s="850"/>
      <c r="W15" s="3401"/>
      <c r="X15" s="3402"/>
      <c r="AZ15" s="1968" t="s">
        <v>6366</v>
      </c>
      <c r="BA15" s="1706">
        <v>15</v>
      </c>
    </row>
    <row r="16" spans="1:53" s="144" customFormat="1" ht="11.25" customHeight="1">
      <c r="A16" s="303" t="str">
        <f>IF(AND(G16&gt;0,OR(C16="",C16="&lt;Enter detailed description here; use Comments section if needed&gt;")),"X","")</f>
        <v/>
      </c>
      <c r="B16" s="147" t="s">
        <v>6273</v>
      </c>
      <c r="C16" s="3470" t="s">
        <v>6722</v>
      </c>
      <c r="D16" s="3470"/>
      <c r="E16" s="3470"/>
      <c r="F16" s="3471"/>
      <c r="G16" s="3274"/>
      <c r="H16" s="3275"/>
      <c r="J16" s="3274"/>
      <c r="K16" s="3275"/>
      <c r="L16" s="828"/>
      <c r="M16" s="3274"/>
      <c r="N16" s="3275"/>
      <c r="P16" s="3274"/>
      <c r="Q16" s="3275"/>
      <c r="S16" s="3274"/>
      <c r="T16" s="3275"/>
      <c r="U16" s="302" t="str">
        <f>IF(AND(G16&gt;0,OR(C16="",C16="&lt;Enter detailed description here; use Comments section if needed&gt;")),"NO DESCRIPTION PROVIDED - please enter detailed description in Other box at left; use Comments section below if needed.","")</f>
        <v/>
      </c>
      <c r="V16" s="850"/>
      <c r="W16" s="3401"/>
      <c r="X16" s="3402"/>
      <c r="AZ16" s="1968" t="s">
        <v>6367</v>
      </c>
      <c r="BA16" s="1706">
        <v>16</v>
      </c>
    </row>
    <row r="17" spans="1:53" s="144" customFormat="1" ht="11.25" customHeight="1" thickBot="1">
      <c r="A17" s="303" t="str">
        <f>IF(AND(G17&gt;0,OR(C17="",C17="&lt;Enter detailed description here; use Comments section if needed&gt;")),"X","")</f>
        <v/>
      </c>
      <c r="B17" s="147" t="s">
        <v>6274</v>
      </c>
      <c r="C17" s="3470" t="s">
        <v>6722</v>
      </c>
      <c r="D17" s="3470"/>
      <c r="E17" s="3470"/>
      <c r="F17" s="3471"/>
      <c r="G17" s="3473"/>
      <c r="H17" s="3474"/>
      <c r="J17" s="3473"/>
      <c r="K17" s="3474"/>
      <c r="L17" s="828"/>
      <c r="M17" s="3473"/>
      <c r="N17" s="3474"/>
      <c r="P17" s="3473"/>
      <c r="Q17" s="3474"/>
      <c r="S17" s="3473"/>
      <c r="T17" s="3474"/>
      <c r="U17" s="302" t="str">
        <f>IF(AND(G17&gt;0,OR(C17="",C17="&lt;Enter detailed description here; use Comments section if needed&gt;")),"NO DESCRIPTION PROVIDED - please enter detailed description in Other box at left; use Comments section below if needed.","")</f>
        <v/>
      </c>
      <c r="V17" s="850"/>
      <c r="W17" s="3403"/>
      <c r="X17" s="3404"/>
      <c r="AZ17" s="1968" t="s">
        <v>6368</v>
      </c>
      <c r="BA17" s="1706">
        <v>17</v>
      </c>
    </row>
    <row r="18" spans="1:53" s="144" customFormat="1" ht="12.6" customHeight="1" thickTop="1">
      <c r="F18" s="281" t="s">
        <v>184</v>
      </c>
      <c r="G18" s="3387">
        <f>SUM(G9:G17)</f>
        <v>40950</v>
      </c>
      <c r="H18" s="3388"/>
      <c r="J18" s="3387">
        <f>SUM(J9:J17)</f>
        <v>0</v>
      </c>
      <c r="K18" s="3388"/>
      <c r="L18" s="828"/>
      <c r="M18" s="3387">
        <f>SUM(M9:M17)</f>
        <v>0</v>
      </c>
      <c r="N18" s="3388"/>
      <c r="P18" s="3387">
        <f>SUM(P9:P17)</f>
        <v>40950</v>
      </c>
      <c r="Q18" s="3388"/>
      <c r="S18" s="3387">
        <f>SUM(S9:S17)</f>
        <v>0</v>
      </c>
      <c r="T18" s="3388"/>
      <c r="V18" s="851">
        <f>SUM(V9:V17)</f>
        <v>0</v>
      </c>
      <c r="W18" s="3405"/>
      <c r="X18" s="3406"/>
      <c r="AZ18" s="1968" t="s">
        <v>6369</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3220</v>
      </c>
      <c r="F20" s="1900">
        <f>IF('Part I-Project Identification'!$O$27="","",G20/'Part I-Project Identification'!$O$27)</f>
        <v>11281.39534883721</v>
      </c>
      <c r="G20" s="3286">
        <v>38808</v>
      </c>
      <c r="H20" s="3287"/>
      <c r="J20" s="283"/>
      <c r="K20" s="280"/>
      <c r="L20" s="283"/>
      <c r="M20" s="283"/>
      <c r="N20" s="280"/>
      <c r="P20" s="283"/>
      <c r="Q20" s="280"/>
      <c r="S20" s="3286">
        <v>38808</v>
      </c>
      <c r="T20" s="3287"/>
      <c r="V20" s="849"/>
      <c r="W20" s="3401"/>
      <c r="X20" s="3402"/>
      <c r="AZ20" s="1968"/>
      <c r="BA20" s="1706">
        <v>20</v>
      </c>
    </row>
    <row r="21" spans="1:53" s="144" customFormat="1" ht="11.25" customHeight="1">
      <c r="B21" s="144" t="s">
        <v>1054</v>
      </c>
      <c r="G21" s="3274"/>
      <c r="H21" s="3275"/>
      <c r="J21" s="283"/>
      <c r="K21" s="280"/>
      <c r="L21" s="283"/>
      <c r="M21" s="283"/>
      <c r="N21" s="280"/>
      <c r="P21" s="283"/>
      <c r="Q21" s="280"/>
      <c r="S21" s="3274"/>
      <c r="T21" s="3275"/>
      <c r="V21" s="849"/>
      <c r="W21" s="3401"/>
      <c r="X21" s="3402"/>
      <c r="AZ21" s="1968"/>
      <c r="BA21" s="1706">
        <v>21</v>
      </c>
    </row>
    <row r="22" spans="1:53" s="144" customFormat="1" ht="11.25" customHeight="1">
      <c r="B22" s="144" t="s">
        <v>432</v>
      </c>
      <c r="G22" s="3274">
        <v>29500</v>
      </c>
      <c r="H22" s="3275"/>
      <c r="J22" s="283"/>
      <c r="K22" s="280"/>
      <c r="L22" s="283"/>
      <c r="M22" s="3286">
        <v>29040</v>
      </c>
      <c r="N22" s="3287"/>
      <c r="P22" s="283"/>
      <c r="Q22" s="280"/>
      <c r="S22" s="3274"/>
      <c r="T22" s="3275"/>
      <c r="V22" s="849"/>
      <c r="W22" s="3401"/>
      <c r="X22" s="3402"/>
      <c r="AZ22" s="1968"/>
      <c r="BA22" s="1706">
        <v>22</v>
      </c>
    </row>
    <row r="23" spans="1:53" s="144" customFormat="1" ht="11.25" customHeight="1" thickBot="1">
      <c r="B23" s="144" t="s">
        <v>405</v>
      </c>
      <c r="G23" s="3473">
        <v>1309949</v>
      </c>
      <c r="H23" s="3474"/>
      <c r="J23" s="283"/>
      <c r="K23" s="280"/>
      <c r="L23" s="283"/>
      <c r="M23" s="3473">
        <v>1236361</v>
      </c>
      <c r="N23" s="3474"/>
      <c r="P23" s="283"/>
      <c r="Q23" s="280"/>
      <c r="S23" s="3473">
        <v>73588</v>
      </c>
      <c r="T23" s="3474"/>
      <c r="V23" s="849"/>
      <c r="W23" s="3403"/>
      <c r="X23" s="3404"/>
      <c r="AZ23" s="1968"/>
      <c r="BA23" s="1706">
        <v>23</v>
      </c>
    </row>
    <row r="24" spans="1:53" s="144" customFormat="1" ht="12.6" customHeight="1" thickTop="1">
      <c r="F24" s="281" t="s">
        <v>184</v>
      </c>
      <c r="G24" s="3387">
        <f>SUM(G20:G23)</f>
        <v>1378257</v>
      </c>
      <c r="H24" s="3388"/>
      <c r="J24" s="283"/>
      <c r="K24" s="280"/>
      <c r="L24" s="283"/>
      <c r="M24" s="3387">
        <f>SUM(M22:M23)</f>
        <v>1265401</v>
      </c>
      <c r="N24" s="3388"/>
      <c r="P24" s="283"/>
      <c r="Q24" s="280"/>
      <c r="S24" s="3387">
        <f>SUM(S20:S23)</f>
        <v>112396</v>
      </c>
      <c r="T24" s="3388"/>
      <c r="V24" s="851">
        <f>SUM(V20:V23)</f>
        <v>0</v>
      </c>
      <c r="W24" s="3405"/>
      <c r="X24" s="3406"/>
      <c r="AZ24" s="1968" t="s">
        <v>6370</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3220</v>
      </c>
      <c r="F26" s="1900">
        <f>IF('Part I-Project Identification'!$O$27="","",G26/'Part I-Project Identification'!$O$27)</f>
        <v>0</v>
      </c>
      <c r="G26" s="3286"/>
      <c r="H26" s="3287"/>
      <c r="J26" s="3286"/>
      <c r="K26" s="3287"/>
      <c r="L26" s="828"/>
      <c r="M26" s="3504"/>
      <c r="N26" s="3505"/>
      <c r="P26" s="3504"/>
      <c r="Q26" s="3505"/>
      <c r="S26" s="3286"/>
      <c r="T26" s="3287"/>
      <c r="V26" s="849"/>
      <c r="W26" s="3401"/>
      <c r="X26" s="3402"/>
      <c r="AZ26" s="1968"/>
      <c r="BA26" s="1706">
        <v>26</v>
      </c>
    </row>
    <row r="27" spans="1:53" s="144" customFormat="1" ht="11.25" customHeight="1" thickBot="1">
      <c r="B27" s="144" t="s">
        <v>1057</v>
      </c>
      <c r="G27" s="3473"/>
      <c r="H27" s="3474"/>
      <c r="J27" s="3473"/>
      <c r="K27" s="3474"/>
      <c r="L27" s="284"/>
      <c r="M27" s="3503"/>
      <c r="N27" s="3503"/>
      <c r="P27" s="3503"/>
      <c r="Q27" s="3503"/>
      <c r="S27" s="3473"/>
      <c r="T27" s="3474"/>
      <c r="V27" s="849"/>
      <c r="W27" s="3403"/>
      <c r="X27" s="3404"/>
      <c r="AZ27" s="1968"/>
      <c r="BA27" s="1706">
        <v>27</v>
      </c>
    </row>
    <row r="28" spans="1:53" s="144" customFormat="1" ht="12.6" customHeight="1" thickTop="1">
      <c r="F28" s="281" t="s">
        <v>184</v>
      </c>
      <c r="G28" s="3387">
        <f>SUM(G26:G27)</f>
        <v>0</v>
      </c>
      <c r="H28" s="3388"/>
      <c r="J28" s="3387">
        <f>SUM(J26:J27)</f>
        <v>0</v>
      </c>
      <c r="K28" s="3388"/>
      <c r="L28" s="283"/>
      <c r="M28" s="3387">
        <f>M26</f>
        <v>0</v>
      </c>
      <c r="N28" s="3388"/>
      <c r="P28" s="3387">
        <f>P26</f>
        <v>0</v>
      </c>
      <c r="Q28" s="3388"/>
      <c r="S28" s="3387">
        <f>SUM(S26:S27)</f>
        <v>0</v>
      </c>
      <c r="T28" s="3388"/>
      <c r="V28" s="851">
        <f>SUM(V26:V27)</f>
        <v>0</v>
      </c>
      <c r="W28" s="3405"/>
      <c r="X28" s="3406"/>
      <c r="AZ28" s="1968" t="s">
        <v>6371</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86"/>
      <c r="H30" s="3287"/>
      <c r="J30" s="3286"/>
      <c r="K30" s="3287"/>
      <c r="L30" s="828"/>
      <c r="M30" s="3286"/>
      <c r="N30" s="3287"/>
      <c r="P30" s="3286"/>
      <c r="Q30" s="3287"/>
      <c r="S30" s="3286"/>
      <c r="T30" s="3287"/>
      <c r="V30" s="849"/>
      <c r="W30" s="3401"/>
      <c r="X30" s="3402"/>
      <c r="AZ30" s="1968"/>
      <c r="BA30" s="1706">
        <v>30</v>
      </c>
    </row>
    <row r="31" spans="1:53" s="144" customFormat="1" ht="11.25" customHeight="1">
      <c r="B31" s="144" t="s">
        <v>1060</v>
      </c>
      <c r="G31" s="3274">
        <v>1800000</v>
      </c>
      <c r="H31" s="3275"/>
      <c r="J31" s="3274"/>
      <c r="K31" s="3275"/>
      <c r="L31" s="828"/>
      <c r="M31" s="3274"/>
      <c r="N31" s="3275"/>
      <c r="P31" s="3274">
        <v>1800000</v>
      </c>
      <c r="Q31" s="3275"/>
      <c r="S31" s="3274"/>
      <c r="T31" s="3275"/>
      <c r="V31" s="849"/>
      <c r="W31" s="3401"/>
      <c r="X31" s="3402"/>
      <c r="AZ31" s="1968"/>
      <c r="BA31" s="1706">
        <v>31</v>
      </c>
    </row>
    <row r="32" spans="1:53" s="144" customFormat="1" ht="11.25" customHeight="1">
      <c r="B32" s="144" t="s">
        <v>6089</v>
      </c>
      <c r="G32" s="3274"/>
      <c r="H32" s="3275"/>
      <c r="J32" s="3274"/>
      <c r="K32" s="3275"/>
      <c r="L32" s="828"/>
      <c r="M32" s="3274"/>
      <c r="N32" s="3275"/>
      <c r="P32" s="3274"/>
      <c r="Q32" s="3275"/>
      <c r="S32" s="3274"/>
      <c r="T32" s="3275"/>
      <c r="V32" s="849"/>
      <c r="W32" s="3401"/>
      <c r="X32" s="3402"/>
      <c r="AZ32" s="1968"/>
      <c r="BA32" s="1706">
        <v>32</v>
      </c>
    </row>
    <row r="33" spans="1:53" s="144" customFormat="1" ht="11.25" customHeight="1">
      <c r="B33" s="144" t="s">
        <v>6087</v>
      </c>
      <c r="G33" s="3274"/>
      <c r="H33" s="3275"/>
      <c r="J33" s="3274"/>
      <c r="K33" s="3275"/>
      <c r="L33" s="828"/>
      <c r="M33" s="3274"/>
      <c r="N33" s="3275"/>
      <c r="P33" s="3274"/>
      <c r="Q33" s="3275"/>
      <c r="S33" s="3274"/>
      <c r="T33" s="3275"/>
      <c r="V33" s="849"/>
      <c r="W33" s="3401"/>
      <c r="X33" s="3402"/>
      <c r="AZ33" s="1968"/>
      <c r="BA33" s="1706">
        <v>33</v>
      </c>
    </row>
    <row r="34" spans="1:53" ht="11.25" customHeight="1">
      <c r="B34" s="144" t="s">
        <v>2494</v>
      </c>
      <c r="G34" s="3274"/>
      <c r="H34" s="3275"/>
      <c r="I34" s="144"/>
      <c r="J34" s="3274"/>
      <c r="K34" s="3275"/>
      <c r="L34" s="828"/>
      <c r="M34" s="3274"/>
      <c r="N34" s="3275"/>
      <c r="O34" s="144"/>
      <c r="P34" s="3274"/>
      <c r="Q34" s="3275"/>
      <c r="R34" s="144"/>
      <c r="S34" s="3274"/>
      <c r="T34" s="3275"/>
      <c r="V34" s="849"/>
      <c r="W34" s="3403"/>
      <c r="X34" s="3404"/>
      <c r="BA34" s="1706">
        <v>34</v>
      </c>
    </row>
    <row r="35" spans="1:53" ht="11.25" customHeight="1" thickBot="1">
      <c r="B35" s="144" t="s">
        <v>6088</v>
      </c>
      <c r="G35" s="3501"/>
      <c r="H35" s="3502"/>
      <c r="I35" s="144"/>
      <c r="J35" s="3501"/>
      <c r="K35" s="3502"/>
      <c r="L35" s="828"/>
      <c r="M35" s="3501"/>
      <c r="N35" s="3502"/>
      <c r="O35" s="144"/>
      <c r="P35" s="3501"/>
      <c r="Q35" s="3502"/>
      <c r="R35" s="144"/>
      <c r="S35" s="3501"/>
      <c r="T35" s="3502"/>
      <c r="V35" s="849"/>
      <c r="W35" s="3403"/>
      <c r="X35" s="3404"/>
      <c r="BA35" s="1706">
        <v>35</v>
      </c>
    </row>
    <row r="36" spans="1:53" s="144" customFormat="1" ht="12.6" customHeight="1" thickTop="1">
      <c r="C36" s="3500"/>
      <c r="D36" s="3500"/>
      <c r="E36" s="829"/>
      <c r="F36" s="281" t="s">
        <v>184</v>
      </c>
      <c r="G36" s="3387">
        <f>SUM(G30:G35)</f>
        <v>1800000</v>
      </c>
      <c r="H36" s="3388"/>
      <c r="J36" s="3387">
        <f>SUM(J30:J35)</f>
        <v>0</v>
      </c>
      <c r="K36" s="3388"/>
      <c r="L36" s="828"/>
      <c r="M36" s="3387">
        <f>SUM(M30:M35)</f>
        <v>0</v>
      </c>
      <c r="N36" s="3388"/>
      <c r="P36" s="3387">
        <f>SUM(P30:P35)</f>
        <v>1800000</v>
      </c>
      <c r="Q36" s="3388"/>
      <c r="S36" s="3387">
        <f>SUM(S30:S35)</f>
        <v>0</v>
      </c>
      <c r="T36" s="3388"/>
      <c r="V36" s="851">
        <f>SUM(V30:V35)</f>
        <v>0</v>
      </c>
      <c r="W36" s="3405"/>
      <c r="X36" s="3406"/>
      <c r="AZ36" s="1968" t="s">
        <v>6372</v>
      </c>
      <c r="BA36" s="1706">
        <v>36</v>
      </c>
    </row>
    <row r="37" spans="1:53" s="144" customFormat="1" ht="12" customHeight="1">
      <c r="B37" s="243" t="s">
        <v>2163</v>
      </c>
      <c r="D37" s="3499" t="s">
        <v>3224</v>
      </c>
      <c r="E37" s="3499"/>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108000</v>
      </c>
      <c r="F38" s="1949">
        <f>IF(($G$28+$G$36)=0,0,G38/($G$28+$G$36))</f>
        <v>0.06</v>
      </c>
      <c r="G38" s="3286">
        <v>108000</v>
      </c>
      <c r="H38" s="3287"/>
      <c r="I38" s="145"/>
      <c r="J38" s="3286"/>
      <c r="K38" s="3287"/>
      <c r="L38" s="828"/>
      <c r="M38" s="3286"/>
      <c r="N38" s="3287"/>
      <c r="P38" s="3286">
        <v>108000</v>
      </c>
      <c r="Q38" s="3287"/>
      <c r="S38" s="3286"/>
      <c r="T38" s="3287"/>
      <c r="V38" s="849"/>
      <c r="W38" s="3401"/>
      <c r="X38" s="3402"/>
      <c r="AZ38" s="1968"/>
      <c r="BA38" s="1706">
        <v>38</v>
      </c>
    </row>
    <row r="39" spans="1:53" s="144" customFormat="1" ht="11.25" customHeight="1">
      <c r="B39" s="144" t="s">
        <v>2475</v>
      </c>
      <c r="D39" s="1947">
        <f>'DCA Underwriting Assumptions'!$R$39</f>
        <v>0.02</v>
      </c>
      <c r="E39" s="1948">
        <f>ROUNDDOWN(D39*(G28+G36),0)</f>
        <v>36000</v>
      </c>
      <c r="F39" s="1949">
        <f>IF(($G$28+$G$36)=0,0,G39/($G$28+$G$36))</f>
        <v>0.02</v>
      </c>
      <c r="G39" s="3274">
        <v>36000</v>
      </c>
      <c r="H39" s="3275"/>
      <c r="I39" s="145"/>
      <c r="J39" s="3274"/>
      <c r="K39" s="3275"/>
      <c r="L39" s="828"/>
      <c r="M39" s="3274"/>
      <c r="N39" s="3275"/>
      <c r="P39" s="3274">
        <v>36000</v>
      </c>
      <c r="Q39" s="3275"/>
      <c r="S39" s="3274"/>
      <c r="T39" s="3275"/>
      <c r="V39" s="849"/>
      <c r="W39" s="3401"/>
      <c r="X39" s="3402"/>
      <c r="AZ39" s="1968"/>
      <c r="BA39" s="1706">
        <v>39</v>
      </c>
    </row>
    <row r="40" spans="1:53" s="144" customFormat="1" ht="11.25" customHeight="1" thickBot="1">
      <c r="B40" s="144" t="s">
        <v>2476</v>
      </c>
      <c r="D40" s="1950">
        <f>'DCA Underwriting Assumptions'!$R$40</f>
        <v>0.06</v>
      </c>
      <c r="E40" s="1951">
        <f>ROUNDDOWN(D40*(G28+G36),0)</f>
        <v>108000</v>
      </c>
      <c r="F40" s="1952">
        <f>IF(($G$28+$G$36)=0,0,G40/($G$28+$G$36))</f>
        <v>0.06</v>
      </c>
      <c r="G40" s="3473">
        <v>108000</v>
      </c>
      <c r="H40" s="3474"/>
      <c r="I40" s="145"/>
      <c r="J40" s="3473"/>
      <c r="K40" s="3474"/>
      <c r="L40" s="828"/>
      <c r="M40" s="3473"/>
      <c r="N40" s="3474"/>
      <c r="P40" s="3473">
        <v>108000</v>
      </c>
      <c r="Q40" s="3474"/>
      <c r="S40" s="3473"/>
      <c r="T40" s="3474"/>
      <c r="V40" s="849"/>
      <c r="W40" s="3403"/>
      <c r="X40" s="3404"/>
      <c r="AZ40" s="1968"/>
      <c r="BA40" s="1706">
        <v>40</v>
      </c>
    </row>
    <row r="41" spans="1:53" s="144" customFormat="1" ht="12.6" customHeight="1" thickTop="1">
      <c r="B41" s="147" t="s">
        <v>3225</v>
      </c>
      <c r="D41" s="761">
        <f>SUM(D38:D40)</f>
        <v>0.14000000000000001</v>
      </c>
      <c r="E41" s="762">
        <f>SUM(E38:E40)</f>
        <v>252000</v>
      </c>
      <c r="F41" s="1946" t="s">
        <v>184</v>
      </c>
      <c r="G41" s="3387">
        <f>SUM(G38:G40)</f>
        <v>252000</v>
      </c>
      <c r="H41" s="3388"/>
      <c r="J41" s="3387">
        <f>SUM(J38:J40)</f>
        <v>0</v>
      </c>
      <c r="K41" s="3388"/>
      <c r="L41" s="283"/>
      <c r="M41" s="3387">
        <f>SUM(M38:M40)</f>
        <v>0</v>
      </c>
      <c r="N41" s="3388"/>
      <c r="P41" s="3387">
        <f>SUM(P38:P40)</f>
        <v>252000</v>
      </c>
      <c r="Q41" s="3388"/>
      <c r="S41" s="3387">
        <f>SUM(S38:S40)</f>
        <v>0</v>
      </c>
      <c r="T41" s="3388"/>
      <c r="V41" s="851">
        <f>SUM(V38:V40)</f>
        <v>0</v>
      </c>
      <c r="W41" s="3405"/>
      <c r="X41" s="3406"/>
      <c r="AZ41" s="1968" t="s">
        <v>6373</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6490</v>
      </c>
      <c r="D43" s="1712"/>
      <c r="E43" s="1649"/>
      <c r="F43" s="1649"/>
      <c r="G43" s="3497">
        <f>G28+G36+G41</f>
        <v>2052000</v>
      </c>
      <c r="H43" s="3498"/>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6374</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6275</v>
      </c>
      <c r="C46" s="3470" t="s">
        <v>6722</v>
      </c>
      <c r="D46" s="3495"/>
      <c r="E46" s="3495"/>
      <c r="F46" s="3496"/>
      <c r="G46" s="3491"/>
      <c r="H46" s="3492"/>
      <c r="I46" s="144"/>
      <c r="J46" s="3491"/>
      <c r="K46" s="3492"/>
      <c r="L46" s="828"/>
      <c r="M46" s="3491"/>
      <c r="N46" s="3492"/>
      <c r="O46" s="144"/>
      <c r="P46" s="3491"/>
      <c r="Q46" s="3492"/>
      <c r="R46" s="144"/>
      <c r="S46" s="3491"/>
      <c r="T46" s="3492"/>
      <c r="V46" s="849"/>
      <c r="W46" s="3409"/>
      <c r="X46" s="3410"/>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11"/>
      <c r="X47" s="3412"/>
      <c r="AZ47" s="1968" t="s">
        <v>6375</v>
      </c>
      <c r="BA47" s="1706">
        <v>47</v>
      </c>
    </row>
    <row r="48" spans="1:53" s="144" customFormat="1" ht="12.6" customHeight="1">
      <c r="B48" s="1665" t="s">
        <v>2479</v>
      </c>
      <c r="C48" s="1666"/>
      <c r="E48" s="3493" t="s">
        <v>2478</v>
      </c>
      <c r="F48" s="1667">
        <f>C49/'Part V-Revenues &amp; Expenses'!$P$65</f>
        <v>51300</v>
      </c>
      <c r="G48" s="1668" t="s">
        <v>2492</v>
      </c>
      <c r="H48" s="1669"/>
      <c r="I48" s="1669"/>
      <c r="J48" s="3378">
        <f>C49/'Part V-Revenues &amp; Expenses'!$P$67</f>
        <v>51300</v>
      </c>
      <c r="K48" s="3378"/>
      <c r="L48" s="1669"/>
      <c r="M48" s="3379" t="s">
        <v>6476</v>
      </c>
      <c r="N48" s="3379"/>
      <c r="O48" s="1669"/>
      <c r="P48" s="3378">
        <f>C49/'Part V-Revenues &amp; Expenses'!$K$175</f>
        <v>68.746021642266072</v>
      </c>
      <c r="Q48" s="3378"/>
      <c r="R48" s="1669"/>
      <c r="S48" s="3380" t="s">
        <v>6478</v>
      </c>
      <c r="T48" s="3381"/>
      <c r="V48" s="852"/>
      <c r="W48" s="3411"/>
      <c r="X48" s="3412"/>
      <c r="AZ48" s="1968"/>
      <c r="BA48" s="1706">
        <v>48</v>
      </c>
    </row>
    <row r="49" spans="1:53" s="144" customFormat="1" ht="12.6" customHeight="1">
      <c r="B49" s="1714" t="s">
        <v>6489</v>
      </c>
      <c r="C49" s="1713">
        <f>G28+G36+G41+G46</f>
        <v>2052000</v>
      </c>
      <c r="E49" s="3494"/>
      <c r="F49" s="1670">
        <f>C49/'Part V-Revenues &amp; Expenses'!$P$166</f>
        <v>70.346246143297904</v>
      </c>
      <c r="G49" s="1671" t="s">
        <v>2493</v>
      </c>
      <c r="H49" s="1672"/>
      <c r="I49" s="1672"/>
      <c r="J49" s="3382">
        <f>C49/'Part V-Revenues &amp; Expenses'!$P$168</f>
        <v>70.346246143297904</v>
      </c>
      <c r="K49" s="3382"/>
      <c r="L49" s="1672"/>
      <c r="M49" s="3383" t="s">
        <v>6477</v>
      </c>
      <c r="N49" s="3383"/>
      <c r="O49" s="1672"/>
      <c r="P49" s="1672"/>
      <c r="Q49" s="1672"/>
      <c r="R49" s="1672"/>
      <c r="S49" s="1672"/>
      <c r="T49" s="1673"/>
      <c r="V49" s="852"/>
      <c r="W49" s="3413"/>
      <c r="X49" s="3414"/>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64" t="s">
        <v>259</v>
      </c>
      <c r="K51" s="3365"/>
      <c r="L51" s="280"/>
      <c r="M51" s="3483" t="s">
        <v>460</v>
      </c>
      <c r="N51" s="3484"/>
      <c r="P51" s="3364" t="s">
        <v>260</v>
      </c>
      <c r="Q51" s="3365"/>
      <c r="S51" s="3364" t="s">
        <v>261</v>
      </c>
      <c r="T51" s="3365"/>
      <c r="V51" s="852"/>
      <c r="W51" s="344" t="str">
        <f>B51</f>
        <v>DEVELOPMENT BUDGET (cont'd)</v>
      </c>
      <c r="AZ51" s="1968"/>
      <c r="BA51" s="1706">
        <v>58</v>
      </c>
    </row>
    <row r="52" spans="1:53" s="144" customFormat="1" ht="18.75" customHeight="1" thickBot="1">
      <c r="G52" s="3479" t="s">
        <v>95</v>
      </c>
      <c r="H52" s="3480"/>
      <c r="J52" s="3366"/>
      <c r="K52" s="3367"/>
      <c r="L52" s="280"/>
      <c r="M52" s="3485"/>
      <c r="N52" s="3486"/>
      <c r="P52" s="3366"/>
      <c r="Q52" s="3367"/>
      <c r="S52" s="3366"/>
      <c r="T52" s="3367"/>
      <c r="V52" s="852"/>
      <c r="W52" s="3416" t="s">
        <v>2448</v>
      </c>
      <c r="X52" s="3416"/>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6297</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3410</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205200</v>
      </c>
      <c r="F55" s="1756">
        <f>G55/C49</f>
        <v>0.1</v>
      </c>
      <c r="G55" s="3491">
        <v>205200</v>
      </c>
      <c r="H55" s="3492"/>
      <c r="I55" s="144"/>
      <c r="J55" s="3491"/>
      <c r="K55" s="3492"/>
      <c r="L55" s="828"/>
      <c r="M55" s="3491"/>
      <c r="N55" s="3492"/>
      <c r="O55" s="144"/>
      <c r="P55" s="3491">
        <v>205200</v>
      </c>
      <c r="Q55" s="3492"/>
      <c r="R55" s="144"/>
      <c r="S55" s="3491"/>
      <c r="T55" s="3492"/>
      <c r="V55" s="849"/>
      <c r="W55" s="3401"/>
      <c r="X55" s="3402"/>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09"/>
      <c r="X56" s="3410"/>
      <c r="AZ56" s="1968"/>
      <c r="BA56" s="1706">
        <v>53</v>
      </c>
    </row>
    <row r="57" spans="1:53" s="144" customFormat="1" ht="12.6" customHeight="1">
      <c r="B57" s="1674" t="s">
        <v>6298</v>
      </c>
      <c r="C57" s="1666"/>
      <c r="E57" s="3376" t="s">
        <v>6299</v>
      </c>
      <c r="F57" s="1667">
        <f>B58/'Part V-Revenues &amp; Expenses'!$P$65</f>
        <v>56430</v>
      </c>
      <c r="G57" s="1668" t="s">
        <v>2492</v>
      </c>
      <c r="H57" s="1669"/>
      <c r="I57" s="1669"/>
      <c r="J57" s="3378">
        <f>B58/'Part V-Revenues &amp; Expenses'!$P$67</f>
        <v>56430</v>
      </c>
      <c r="K57" s="3378"/>
      <c r="L57" s="1669"/>
      <c r="M57" s="3379" t="s">
        <v>6476</v>
      </c>
      <c r="N57" s="3379"/>
      <c r="O57" s="1669"/>
      <c r="P57" s="3378">
        <f>B58/'Part V-Revenues &amp; Expenses'!$K$175</f>
        <v>75.620623806492674</v>
      </c>
      <c r="Q57" s="3378"/>
      <c r="R57" s="1669"/>
      <c r="S57" s="3380" t="s">
        <v>6478</v>
      </c>
      <c r="T57" s="3381"/>
      <c r="V57" s="852"/>
      <c r="W57" s="3411"/>
      <c r="X57" s="3412"/>
      <c r="AZ57" s="1968"/>
      <c r="BA57" s="1706">
        <v>54</v>
      </c>
    </row>
    <row r="58" spans="1:53" s="144" customFormat="1" ht="12.6" customHeight="1">
      <c r="B58" s="3374">
        <f>C49+G55</f>
        <v>2257200</v>
      </c>
      <c r="C58" s="3375"/>
      <c r="E58" s="3377"/>
      <c r="F58" s="1670">
        <f>B58/'Part V-Revenues &amp; Expenses'!$P$166</f>
        <v>77.380870757627704</v>
      </c>
      <c r="G58" s="1671" t="s">
        <v>2493</v>
      </c>
      <c r="H58" s="1672"/>
      <c r="I58" s="1672"/>
      <c r="J58" s="3382">
        <f>B58/'Part V-Revenues &amp; Expenses'!$P$168</f>
        <v>77.380870757627704</v>
      </c>
      <c r="K58" s="3382"/>
      <c r="L58" s="1672"/>
      <c r="M58" s="3383" t="s">
        <v>6477</v>
      </c>
      <c r="N58" s="3383"/>
      <c r="O58" s="1672"/>
      <c r="P58" s="1672"/>
      <c r="Q58" s="1672"/>
      <c r="R58" s="1672"/>
      <c r="S58" s="1672"/>
      <c r="T58" s="1673"/>
      <c r="V58" s="852"/>
      <c r="W58" s="3411"/>
      <c r="X58" s="3412"/>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3"/>
      <c r="X59" s="3414"/>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3226</v>
      </c>
      <c r="G61" s="3286"/>
      <c r="H61" s="3287"/>
      <c r="J61" s="3286"/>
      <c r="K61" s="3287"/>
      <c r="L61" s="828"/>
      <c r="M61" s="3286"/>
      <c r="N61" s="3287"/>
      <c r="P61" s="3286"/>
      <c r="Q61" s="3287"/>
      <c r="S61" s="3286"/>
      <c r="T61" s="3287"/>
      <c r="V61" s="853"/>
      <c r="W61" s="3401"/>
      <c r="X61" s="3402"/>
      <c r="AZ61" s="1968"/>
      <c r="BA61" s="1706">
        <v>61</v>
      </c>
    </row>
    <row r="62" spans="1:53" s="144" customFormat="1" ht="12" customHeight="1">
      <c r="B62" s="144" t="s">
        <v>3227</v>
      </c>
      <c r="G62" s="3274"/>
      <c r="H62" s="3275"/>
      <c r="J62" s="3274"/>
      <c r="K62" s="3275"/>
      <c r="L62" s="828"/>
      <c r="M62" s="3274"/>
      <c r="N62" s="3275"/>
      <c r="P62" s="3274"/>
      <c r="Q62" s="3275"/>
      <c r="S62" s="3274"/>
      <c r="T62" s="3275"/>
      <c r="V62" s="853"/>
      <c r="W62" s="3401"/>
      <c r="X62" s="3402"/>
      <c r="AZ62" s="1968"/>
      <c r="BA62" s="1706">
        <v>62</v>
      </c>
    </row>
    <row r="63" spans="1:53" s="144" customFormat="1" ht="12" customHeight="1">
      <c r="B63" s="144" t="s">
        <v>2166</v>
      </c>
      <c r="G63" s="3274">
        <v>7127</v>
      </c>
      <c r="H63" s="3275"/>
      <c r="J63" s="3274"/>
      <c r="K63" s="3275"/>
      <c r="L63" s="828"/>
      <c r="M63" s="3274"/>
      <c r="N63" s="3275"/>
      <c r="P63" s="3274">
        <v>7127</v>
      </c>
      <c r="Q63" s="3275"/>
      <c r="S63" s="3274"/>
      <c r="T63" s="3275"/>
      <c r="V63" s="853"/>
      <c r="W63" s="3401"/>
      <c r="X63" s="3402"/>
      <c r="AZ63" s="1968"/>
      <c r="BA63" s="1706">
        <v>63</v>
      </c>
    </row>
    <row r="64" spans="1:53" s="144" customFormat="1" ht="12" customHeight="1">
      <c r="B64" s="144" t="s">
        <v>2167</v>
      </c>
      <c r="G64" s="3274">
        <v>10524</v>
      </c>
      <c r="H64" s="3275"/>
      <c r="J64" s="3274"/>
      <c r="K64" s="3275"/>
      <c r="L64" s="828"/>
      <c r="M64" s="3274"/>
      <c r="N64" s="3275"/>
      <c r="P64" s="3274">
        <v>10524</v>
      </c>
      <c r="Q64" s="3275"/>
      <c r="S64" s="3274"/>
      <c r="T64" s="3275"/>
      <c r="V64" s="853"/>
      <c r="W64" s="3401"/>
      <c r="X64" s="3402"/>
      <c r="AZ64" s="1968"/>
      <c r="BA64" s="1706">
        <v>64</v>
      </c>
    </row>
    <row r="65" spans="1:53" s="144" customFormat="1" ht="12" customHeight="1">
      <c r="B65" s="144" t="s">
        <v>2168</v>
      </c>
      <c r="G65" s="3274">
        <v>1000</v>
      </c>
      <c r="H65" s="3275"/>
      <c r="J65" s="3274"/>
      <c r="K65" s="3275"/>
      <c r="L65" s="828"/>
      <c r="M65" s="3274"/>
      <c r="N65" s="3275"/>
      <c r="P65" s="3274">
        <v>1000</v>
      </c>
      <c r="Q65" s="3275"/>
      <c r="S65" s="3274"/>
      <c r="T65" s="3275"/>
      <c r="V65" s="853"/>
      <c r="W65" s="3401"/>
      <c r="X65" s="3402"/>
      <c r="AZ65" s="1968" t="s">
        <v>6376</v>
      </c>
      <c r="BA65" s="1706">
        <v>65</v>
      </c>
    </row>
    <row r="66" spans="1:53" s="144" customFormat="1" ht="12" customHeight="1">
      <c r="B66" s="144" t="s">
        <v>2450</v>
      </c>
      <c r="G66" s="3274"/>
      <c r="H66" s="3275"/>
      <c r="J66" s="3274"/>
      <c r="K66" s="3275"/>
      <c r="L66" s="828"/>
      <c r="M66" s="3274"/>
      <c r="N66" s="3275"/>
      <c r="P66" s="3274"/>
      <c r="Q66" s="3275"/>
      <c r="S66" s="3274"/>
      <c r="T66" s="3275"/>
      <c r="V66" s="853"/>
      <c r="W66" s="3401"/>
      <c r="X66" s="3402"/>
      <c r="AZ66" s="1968" t="s">
        <v>6377</v>
      </c>
      <c r="BA66" s="1706">
        <v>66</v>
      </c>
    </row>
    <row r="67" spans="1:53" s="144" customFormat="1" ht="12" customHeight="1">
      <c r="B67" s="144" t="s">
        <v>676</v>
      </c>
      <c r="G67" s="3274"/>
      <c r="H67" s="3275"/>
      <c r="J67" s="3274"/>
      <c r="K67" s="3275"/>
      <c r="L67" s="828"/>
      <c r="M67" s="3274"/>
      <c r="N67" s="3275"/>
      <c r="P67" s="3274"/>
      <c r="Q67" s="3275"/>
      <c r="S67" s="3274"/>
      <c r="T67" s="3275"/>
      <c r="V67" s="853"/>
      <c r="W67" s="3401"/>
      <c r="X67" s="3402"/>
      <c r="AZ67" s="1968" t="s">
        <v>6378</v>
      </c>
      <c r="BA67" s="1706">
        <v>67</v>
      </c>
    </row>
    <row r="68" spans="1:53" s="144" customFormat="1" ht="12" customHeight="1">
      <c r="B68" s="144" t="s">
        <v>2169</v>
      </c>
      <c r="G68" s="3274"/>
      <c r="H68" s="3275"/>
      <c r="J68" s="3274"/>
      <c r="K68" s="3275"/>
      <c r="L68" s="828"/>
      <c r="M68" s="3274"/>
      <c r="N68" s="3275"/>
      <c r="P68" s="3274"/>
      <c r="Q68" s="3275"/>
      <c r="S68" s="3274"/>
      <c r="T68" s="3275"/>
      <c r="V68" s="853"/>
      <c r="W68" s="3401"/>
      <c r="X68" s="3402"/>
      <c r="AZ68" s="1968"/>
      <c r="BA68" s="1706">
        <v>68</v>
      </c>
    </row>
    <row r="69" spans="1:53" s="144" customFormat="1" ht="12" customHeight="1">
      <c r="B69" s="144" t="s">
        <v>1200</v>
      </c>
      <c r="G69" s="3274"/>
      <c r="H69" s="3275"/>
      <c r="J69" s="3274"/>
      <c r="K69" s="3275"/>
      <c r="L69" s="828"/>
      <c r="M69" s="3274"/>
      <c r="N69" s="3275"/>
      <c r="P69" s="3274"/>
      <c r="Q69" s="3275"/>
      <c r="S69" s="3274"/>
      <c r="T69" s="3275"/>
      <c r="V69" s="853"/>
      <c r="W69" s="3401"/>
      <c r="X69" s="3402"/>
      <c r="AZ69" s="1968"/>
      <c r="BA69" s="1706">
        <v>69</v>
      </c>
    </row>
    <row r="70" spans="1:53" s="144" customFormat="1" ht="12" customHeight="1">
      <c r="B70" s="287" t="s">
        <v>1085</v>
      </c>
      <c r="D70" s="285"/>
      <c r="E70" s="285"/>
      <c r="F70" s="286"/>
      <c r="G70" s="3274">
        <v>24624</v>
      </c>
      <c r="H70" s="3275"/>
      <c r="I70" s="145"/>
      <c r="J70" s="3274"/>
      <c r="K70" s="3275"/>
      <c r="L70" s="828"/>
      <c r="M70" s="3274"/>
      <c r="N70" s="3275"/>
      <c r="P70" s="3274">
        <v>24624</v>
      </c>
      <c r="Q70" s="3275"/>
      <c r="S70" s="3274"/>
      <c r="T70" s="3275"/>
      <c r="V70" s="853"/>
      <c r="W70" s="3401"/>
      <c r="X70" s="3402"/>
      <c r="AZ70" s="1968"/>
      <c r="BA70" s="1706">
        <v>70</v>
      </c>
    </row>
    <row r="71" spans="1:53" s="144" customFormat="1" ht="12" customHeight="1">
      <c r="A71" s="303" t="str">
        <f>IF(AND(G71&gt;0,OR(C71="",C71="&lt;Enter detailed description here; use Comments section if needed&gt;")),"X","")</f>
        <v/>
      </c>
      <c r="B71" s="147" t="s">
        <v>6277</v>
      </c>
      <c r="C71" s="3487" t="s">
        <v>7063</v>
      </c>
      <c r="D71" s="3487"/>
      <c r="E71" s="3487"/>
      <c r="F71" s="3488"/>
      <c r="G71" s="3274">
        <v>150428</v>
      </c>
      <c r="H71" s="3275"/>
      <c r="J71" s="3274"/>
      <c r="K71" s="3275"/>
      <c r="L71" s="828"/>
      <c r="M71" s="3274"/>
      <c r="N71" s="3275"/>
      <c r="P71" s="3274">
        <v>66188</v>
      </c>
      <c r="Q71" s="3275"/>
      <c r="S71" s="3274">
        <v>84240</v>
      </c>
      <c r="T71" s="3275"/>
      <c r="U71" s="302" t="str">
        <f>IF(AND(G71&gt;0,OR(C71="",C71="&lt;Enter detailed description here; use Comments section if needed&gt;")),"NO DESCRIPTION PROVIDED - please enter detailed description in Other box at left; use Comments section below if needed.","")</f>
        <v/>
      </c>
      <c r="V71" s="853"/>
      <c r="W71" s="3401"/>
      <c r="X71" s="3402"/>
      <c r="AZ71" s="1968"/>
      <c r="BA71" s="1706">
        <v>71</v>
      </c>
    </row>
    <row r="72" spans="1:53" s="144" customFormat="1" ht="12" customHeight="1" thickBot="1">
      <c r="A72" s="303" t="str">
        <f>IF(AND(G72&gt;0,OR(C72="",C72="&lt;Enter detailed description here; use Comments section if needed&gt;")),"X","")</f>
        <v/>
      </c>
      <c r="B72" s="147" t="s">
        <v>6278</v>
      </c>
      <c r="C72" s="3489" t="s">
        <v>7165</v>
      </c>
      <c r="D72" s="3489"/>
      <c r="E72" s="3489"/>
      <c r="F72" s="3490"/>
      <c r="G72" s="3278">
        <v>38793</v>
      </c>
      <c r="H72" s="3279"/>
      <c r="J72" s="3278"/>
      <c r="K72" s="3279"/>
      <c r="L72" s="828"/>
      <c r="M72" s="3278"/>
      <c r="N72" s="3279"/>
      <c r="P72" s="3278">
        <v>22131</v>
      </c>
      <c r="Q72" s="3279"/>
      <c r="S72" s="3278">
        <v>16662</v>
      </c>
      <c r="T72" s="3279"/>
      <c r="U72" s="302" t="str">
        <f>IF(AND(G72&gt;0,OR(C72="",C72="&lt;Enter detailed description here; use Comments section if needed&gt;")),"NO DESCRIPTION PROVIDED - please enter detailed description in Other box at left; use Comments section below if needed.","")</f>
        <v/>
      </c>
      <c r="V72" s="853"/>
      <c r="W72" s="3403"/>
      <c r="X72" s="3404"/>
      <c r="AZ72" s="1968"/>
      <c r="BA72" s="1706">
        <v>72</v>
      </c>
    </row>
    <row r="73" spans="1:53" s="144" customFormat="1" ht="12" customHeight="1" thickTop="1">
      <c r="F73" s="281" t="s">
        <v>184</v>
      </c>
      <c r="G73" s="3387">
        <f>SUM(G61:G72)</f>
        <v>232496</v>
      </c>
      <c r="H73" s="3388"/>
      <c r="J73" s="3387">
        <f>SUM(J61:J72)</f>
        <v>0</v>
      </c>
      <c r="K73" s="3388"/>
      <c r="L73" s="283"/>
      <c r="M73" s="3387">
        <f>SUM(M61:M72)</f>
        <v>0</v>
      </c>
      <c r="N73" s="3388"/>
      <c r="P73" s="3387">
        <f>SUM(P61:P72)</f>
        <v>131594</v>
      </c>
      <c r="Q73" s="3388"/>
      <c r="S73" s="3387">
        <f>SUM(S61:S72)</f>
        <v>100902</v>
      </c>
      <c r="T73" s="3388"/>
      <c r="V73" s="854">
        <f>SUM(V61:V72)</f>
        <v>0</v>
      </c>
      <c r="W73" s="3405"/>
      <c r="X73" s="3406"/>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86">
        <v>31200</v>
      </c>
      <c r="H75" s="3287"/>
      <c r="J75" s="3286"/>
      <c r="K75" s="3287"/>
      <c r="L75" s="828"/>
      <c r="M75" s="3286"/>
      <c r="N75" s="3287"/>
      <c r="P75" s="3286">
        <v>31200</v>
      </c>
      <c r="Q75" s="3287"/>
      <c r="S75" s="3286"/>
      <c r="T75" s="3287"/>
      <c r="V75" s="849"/>
      <c r="W75" s="3401"/>
      <c r="X75" s="3402"/>
      <c r="AZ75" s="1968"/>
      <c r="BA75" s="1706">
        <v>75</v>
      </c>
    </row>
    <row r="76" spans="1:53" s="144" customFormat="1" ht="12" customHeight="1">
      <c r="B76" s="144" t="s">
        <v>451</v>
      </c>
      <c r="G76" s="3274">
        <v>16800</v>
      </c>
      <c r="H76" s="3275"/>
      <c r="J76" s="3274"/>
      <c r="K76" s="3275"/>
      <c r="L76" s="828"/>
      <c r="M76" s="3274"/>
      <c r="N76" s="3275"/>
      <c r="P76" s="3274">
        <v>16800</v>
      </c>
      <c r="Q76" s="3275"/>
      <c r="S76" s="3274"/>
      <c r="T76" s="3275"/>
      <c r="V76" s="849"/>
      <c r="W76" s="3401"/>
      <c r="X76" s="3402"/>
      <c r="AZ76" s="1968"/>
      <c r="BA76" s="1706">
        <v>76</v>
      </c>
    </row>
    <row r="77" spans="1:53" s="144" customFormat="1" ht="12" customHeight="1">
      <c r="B77" s="144" t="s">
        <v>1061</v>
      </c>
      <c r="D77" s="247"/>
      <c r="E77" s="844"/>
      <c r="F77" s="393"/>
      <c r="G77" s="3274"/>
      <c r="H77" s="3275"/>
      <c r="J77" s="3274"/>
      <c r="K77" s="3275"/>
      <c r="L77" s="828"/>
      <c r="M77" s="3274"/>
      <c r="N77" s="3275"/>
      <c r="P77" s="3274"/>
      <c r="Q77" s="3275"/>
      <c r="S77" s="3274"/>
      <c r="T77" s="3275"/>
      <c r="V77" s="849"/>
      <c r="W77" s="3401"/>
      <c r="X77" s="3402"/>
      <c r="AZ77" s="1968"/>
      <c r="BA77" s="1706">
        <v>77</v>
      </c>
    </row>
    <row r="78" spans="1:53" s="144" customFormat="1" ht="12" customHeight="1">
      <c r="B78" s="144" t="s">
        <v>1062</v>
      </c>
      <c r="G78" s="3274"/>
      <c r="H78" s="3275"/>
      <c r="J78" s="3274"/>
      <c r="K78" s="3275"/>
      <c r="L78" s="828"/>
      <c r="M78" s="3274"/>
      <c r="N78" s="3275"/>
      <c r="P78" s="3274"/>
      <c r="Q78" s="3275"/>
      <c r="S78" s="3274"/>
      <c r="T78" s="3275"/>
      <c r="V78" s="849"/>
      <c r="W78" s="3401"/>
      <c r="X78" s="3402"/>
      <c r="AZ78" s="1968"/>
      <c r="BA78" s="1706">
        <v>78</v>
      </c>
    </row>
    <row r="79" spans="1:53" s="144" customFormat="1" ht="12" customHeight="1">
      <c r="B79" s="144" t="s">
        <v>1063</v>
      </c>
      <c r="G79" s="3274">
        <v>9500</v>
      </c>
      <c r="H79" s="3275"/>
      <c r="J79" s="3274"/>
      <c r="K79" s="3275"/>
      <c r="L79" s="828"/>
      <c r="M79" s="3274"/>
      <c r="N79" s="3275"/>
      <c r="P79" s="3274">
        <v>9500</v>
      </c>
      <c r="Q79" s="3275"/>
      <c r="S79" s="3274"/>
      <c r="T79" s="3275"/>
      <c r="V79" s="849"/>
      <c r="W79" s="3401"/>
      <c r="X79" s="3402"/>
      <c r="AZ79" s="1968" t="s">
        <v>6379</v>
      </c>
      <c r="BA79" s="1706">
        <v>79</v>
      </c>
    </row>
    <row r="80" spans="1:53" s="144" customFormat="1" ht="12" customHeight="1">
      <c r="B80" s="144" t="s">
        <v>1064</v>
      </c>
      <c r="G80" s="3274"/>
      <c r="H80" s="3275"/>
      <c r="J80" s="3274"/>
      <c r="K80" s="3275"/>
      <c r="L80" s="828"/>
      <c r="M80" s="3274"/>
      <c r="N80" s="3275"/>
      <c r="P80" s="3274"/>
      <c r="Q80" s="3275"/>
      <c r="S80" s="3274"/>
      <c r="T80" s="3275"/>
      <c r="V80" s="849"/>
      <c r="W80" s="3401"/>
      <c r="X80" s="3402"/>
      <c r="AZ80" s="1968" t="s">
        <v>6380</v>
      </c>
      <c r="BA80" s="1706">
        <v>80</v>
      </c>
    </row>
    <row r="81" spans="1:53" s="144" customFormat="1" ht="12" customHeight="1">
      <c r="B81" s="144" t="s">
        <v>452</v>
      </c>
      <c r="G81" s="3274"/>
      <c r="H81" s="3275"/>
      <c r="J81" s="3274"/>
      <c r="K81" s="3275"/>
      <c r="L81" s="828"/>
      <c r="M81" s="3274"/>
      <c r="N81" s="3275"/>
      <c r="P81" s="3274"/>
      <c r="Q81" s="3275"/>
      <c r="S81" s="3274"/>
      <c r="T81" s="3275"/>
      <c r="V81" s="849"/>
      <c r="W81" s="3401"/>
      <c r="X81" s="3402"/>
      <c r="AZ81" s="744"/>
      <c r="BA81" s="1706">
        <v>81</v>
      </c>
    </row>
    <row r="82" spans="1:53" s="144" customFormat="1" ht="12" customHeight="1">
      <c r="B82" s="144" t="s">
        <v>453</v>
      </c>
      <c r="G82" s="3274"/>
      <c r="H82" s="3275"/>
      <c r="J82" s="3274"/>
      <c r="K82" s="3275"/>
      <c r="L82" s="828"/>
      <c r="M82" s="3274"/>
      <c r="N82" s="3275"/>
      <c r="P82" s="3274"/>
      <c r="Q82" s="3275"/>
      <c r="S82" s="3274"/>
      <c r="T82" s="3275"/>
      <c r="V82" s="849"/>
      <c r="W82" s="3401"/>
      <c r="X82" s="3402"/>
      <c r="AZ82" s="1968"/>
      <c r="BA82" s="1706">
        <v>82</v>
      </c>
    </row>
    <row r="83" spans="1:53" s="144" customFormat="1" ht="12" customHeight="1">
      <c r="B83" s="144" t="s">
        <v>1899</v>
      </c>
      <c r="G83" s="3274">
        <v>13000</v>
      </c>
      <c r="H83" s="3275"/>
      <c r="J83" s="3274"/>
      <c r="K83" s="3275"/>
      <c r="L83" s="828"/>
      <c r="M83" s="3274"/>
      <c r="N83" s="3275"/>
      <c r="P83" s="3274">
        <v>13000</v>
      </c>
      <c r="Q83" s="3275"/>
      <c r="S83" s="3274"/>
      <c r="T83" s="3275"/>
      <c r="V83" s="849"/>
      <c r="W83" s="3401"/>
      <c r="X83" s="3402"/>
      <c r="AZ83" s="1968"/>
      <c r="BA83" s="1706">
        <v>83</v>
      </c>
    </row>
    <row r="84" spans="1:53" s="144" customFormat="1" ht="12" customHeight="1">
      <c r="B84" s="144" t="s">
        <v>1201</v>
      </c>
      <c r="G84" s="3274">
        <v>2750</v>
      </c>
      <c r="H84" s="3275"/>
      <c r="J84" s="3274"/>
      <c r="K84" s="3275"/>
      <c r="L84" s="828"/>
      <c r="M84" s="3274"/>
      <c r="N84" s="3275"/>
      <c r="P84" s="3274">
        <v>0</v>
      </c>
      <c r="Q84" s="3275"/>
      <c r="S84" s="3274">
        <v>2750</v>
      </c>
      <c r="T84" s="3275"/>
      <c r="V84" s="849"/>
      <c r="W84" s="3401"/>
      <c r="X84" s="3402"/>
      <c r="AZ84" s="1968"/>
      <c r="BA84" s="1706">
        <v>84</v>
      </c>
    </row>
    <row r="85" spans="1:53" s="144" customFormat="1" ht="12" customHeight="1" thickBot="1">
      <c r="A85" s="303" t="str">
        <f>IF(AND(G85&gt;0,OR(C85="",C85="&lt;Enter detailed description here; use Comments section if needed&gt;")),"X","")</f>
        <v/>
      </c>
      <c r="B85" s="147" t="s">
        <v>6279</v>
      </c>
      <c r="C85" s="3470" t="s">
        <v>6722</v>
      </c>
      <c r="D85" s="3470"/>
      <c r="E85" s="3470"/>
      <c r="F85" s="3471"/>
      <c r="G85" s="3278">
        <v>1500</v>
      </c>
      <c r="H85" s="3279"/>
      <c r="J85" s="3278"/>
      <c r="K85" s="3279"/>
      <c r="L85" s="828"/>
      <c r="M85" s="3278"/>
      <c r="N85" s="3279"/>
      <c r="P85" s="3278">
        <v>0</v>
      </c>
      <c r="Q85" s="3279"/>
      <c r="S85" s="3278">
        <v>1500</v>
      </c>
      <c r="T85" s="3279"/>
      <c r="U85" s="302" t="str">
        <f>IF(AND(G85&gt;0,OR(C85="",C85="&lt;Enter detailed description here; use Comments section if needed&gt;")),"NO DESCRIPTION PROVIDED - please enter detailed description in Other box at left; use Comments section below if needed.","")</f>
        <v/>
      </c>
      <c r="V85" s="849"/>
      <c r="W85" s="3403"/>
      <c r="X85" s="3404"/>
      <c r="AZ85" s="1968"/>
      <c r="BA85" s="1706">
        <v>85</v>
      </c>
    </row>
    <row r="86" spans="1:53" s="144" customFormat="1" ht="12" customHeight="1" thickTop="1">
      <c r="F86" s="281" t="s">
        <v>184</v>
      </c>
      <c r="G86" s="3387">
        <f>SUM(G75:G85)</f>
        <v>74750</v>
      </c>
      <c r="H86" s="3388"/>
      <c r="J86" s="3387">
        <f>SUM(J75:J85)</f>
        <v>0</v>
      </c>
      <c r="K86" s="3388"/>
      <c r="L86" s="283"/>
      <c r="M86" s="3387">
        <f>SUM(M75:M85)</f>
        <v>0</v>
      </c>
      <c r="N86" s="3388"/>
      <c r="P86" s="3387">
        <f>SUM(P75:P85)</f>
        <v>70500</v>
      </c>
      <c r="Q86" s="3388"/>
      <c r="S86" s="3387">
        <f>SUM(S75:S85)</f>
        <v>4250</v>
      </c>
      <c r="T86" s="3388"/>
      <c r="V86" s="851">
        <f>SUM(V75:V85)</f>
        <v>0</v>
      </c>
      <c r="W86" s="3405"/>
      <c r="X86" s="3406"/>
      <c r="AZ86" s="1968" t="s">
        <v>6381</v>
      </c>
      <c r="BA86" s="1706">
        <v>86</v>
      </c>
    </row>
    <row r="87" spans="1:53" ht="12" customHeight="1">
      <c r="A87" s="144"/>
      <c r="B87" s="243" t="s">
        <v>1193</v>
      </c>
      <c r="C87" s="144"/>
      <c r="D87" s="690" t="s">
        <v>3229</v>
      </c>
      <c r="E87" s="763">
        <f>G92/'Part V-Revenues &amp; Expenses'!$P$67</f>
        <v>225</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86">
        <v>9000</v>
      </c>
      <c r="H88" s="3287"/>
      <c r="J88" s="3286"/>
      <c r="K88" s="3287"/>
      <c r="L88" s="828"/>
      <c r="M88" s="3286"/>
      <c r="N88" s="3287"/>
      <c r="P88" s="3286">
        <v>9000</v>
      </c>
      <c r="Q88" s="3287"/>
      <c r="S88" s="3286"/>
      <c r="T88" s="3287"/>
      <c r="V88" s="849"/>
      <c r="W88" s="3401"/>
      <c r="X88" s="3402"/>
      <c r="AZ88" s="1968"/>
      <c r="BA88" s="1706">
        <v>88</v>
      </c>
    </row>
    <row r="89" spans="1:53" s="144" customFormat="1" ht="12" customHeight="1">
      <c r="B89" s="144" t="s">
        <v>1195</v>
      </c>
      <c r="G89" s="3274"/>
      <c r="H89" s="3275"/>
      <c r="J89" s="3274"/>
      <c r="K89" s="3275"/>
      <c r="L89" s="828"/>
      <c r="M89" s="3274"/>
      <c r="N89" s="3275"/>
      <c r="P89" s="3274"/>
      <c r="Q89" s="3275"/>
      <c r="S89" s="3274"/>
      <c r="T89" s="3275"/>
      <c r="V89" s="849"/>
      <c r="W89" s="3401"/>
      <c r="X89" s="3402"/>
      <c r="AZ89" s="1968"/>
      <c r="BA89" s="1706">
        <v>89</v>
      </c>
    </row>
    <row r="90" spans="1:53" s="144" customFormat="1" ht="12" customHeight="1">
      <c r="B90" s="144" t="s">
        <v>1196</v>
      </c>
      <c r="D90" s="289" t="s">
        <v>1324</v>
      </c>
      <c r="E90" s="863"/>
      <c r="G90" s="3274"/>
      <c r="H90" s="3275"/>
      <c r="I90" s="145"/>
      <c r="J90" s="3274"/>
      <c r="K90" s="3275"/>
      <c r="L90" s="828"/>
      <c r="M90" s="3274"/>
      <c r="N90" s="3275"/>
      <c r="P90" s="3274"/>
      <c r="Q90" s="3275"/>
      <c r="S90" s="3274"/>
      <c r="T90" s="3275"/>
      <c r="V90" s="849"/>
      <c r="W90" s="3401"/>
      <c r="X90" s="3402"/>
      <c r="AZ90" s="1968"/>
      <c r="BA90" s="1706">
        <v>90</v>
      </c>
    </row>
    <row r="91" spans="1:53" s="144" customFormat="1" ht="12" customHeight="1" thickBot="1">
      <c r="B91" s="144" t="s">
        <v>1197</v>
      </c>
      <c r="D91" s="289" t="s">
        <v>1324</v>
      </c>
      <c r="E91" s="864"/>
      <c r="G91" s="3278"/>
      <c r="H91" s="3279"/>
      <c r="I91" s="145"/>
      <c r="J91" s="3278"/>
      <c r="K91" s="3279"/>
      <c r="L91" s="828"/>
      <c r="M91" s="3278"/>
      <c r="N91" s="3279"/>
      <c r="P91" s="3278"/>
      <c r="Q91" s="3279"/>
      <c r="S91" s="3278"/>
      <c r="T91" s="3279"/>
      <c r="V91" s="849"/>
      <c r="W91" s="3403"/>
      <c r="X91" s="3404"/>
      <c r="AZ91" s="1968"/>
      <c r="BA91" s="1706">
        <v>91</v>
      </c>
    </row>
    <row r="92" spans="1:53" s="144" customFormat="1" ht="12" customHeight="1" thickTop="1">
      <c r="F92" s="281" t="s">
        <v>184</v>
      </c>
      <c r="G92" s="3387">
        <f>SUM(G88:G91)</f>
        <v>9000</v>
      </c>
      <c r="H92" s="3388"/>
      <c r="J92" s="3387">
        <f>SUM(J88:J91)</f>
        <v>0</v>
      </c>
      <c r="K92" s="3388"/>
      <c r="L92" s="283"/>
      <c r="M92" s="3387">
        <f>SUM(M88:M91)</f>
        <v>0</v>
      </c>
      <c r="N92" s="3388"/>
      <c r="P92" s="3387">
        <f>SUM(P88:P91)</f>
        <v>9000</v>
      </c>
      <c r="Q92" s="3388"/>
      <c r="S92" s="3387">
        <f>SUM(S88:S91)</f>
        <v>0</v>
      </c>
      <c r="T92" s="3388"/>
      <c r="V92" s="851">
        <f>SUM(V88:V91)</f>
        <v>0</v>
      </c>
      <c r="W92" s="3405"/>
      <c r="X92" s="3406"/>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64" t="s">
        <v>259</v>
      </c>
      <c r="K94" s="3365"/>
      <c r="L94" s="280"/>
      <c r="M94" s="3483" t="s">
        <v>460</v>
      </c>
      <c r="N94" s="3484"/>
      <c r="P94" s="3364" t="s">
        <v>260</v>
      </c>
      <c r="Q94" s="3365"/>
      <c r="S94" s="3364" t="s">
        <v>261</v>
      </c>
      <c r="T94" s="3365"/>
      <c r="V94" s="344" t="str">
        <f>B94</f>
        <v>DEVELOPMENT BUDGET  (cont'd)</v>
      </c>
      <c r="AZ94" s="1968"/>
      <c r="BA94" s="1706">
        <v>94</v>
      </c>
    </row>
    <row r="95" spans="1:53" s="144" customFormat="1" ht="18" customHeight="1" thickBot="1">
      <c r="G95" s="3479" t="s">
        <v>95</v>
      </c>
      <c r="H95" s="3480"/>
      <c r="J95" s="3366"/>
      <c r="K95" s="3367"/>
      <c r="L95" s="280"/>
      <c r="M95" s="3485"/>
      <c r="N95" s="3486"/>
      <c r="P95" s="3366"/>
      <c r="Q95" s="3367"/>
      <c r="S95" s="3366"/>
      <c r="T95" s="3367"/>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6382</v>
      </c>
      <c r="BA96" s="1706">
        <v>96</v>
      </c>
    </row>
    <row r="97" spans="1:53" s="144" customFormat="1" ht="12" customHeight="1">
      <c r="B97" s="144" t="s">
        <v>1198</v>
      </c>
      <c r="G97" s="3286">
        <v>27301</v>
      </c>
      <c r="H97" s="3287"/>
      <c r="J97" s="3478"/>
      <c r="K97" s="3478"/>
      <c r="L97" s="828"/>
      <c r="M97" s="3478"/>
      <c r="N97" s="3478"/>
      <c r="P97" s="3478"/>
      <c r="Q97" s="3478"/>
      <c r="S97" s="3286">
        <v>27301</v>
      </c>
      <c r="T97" s="3287"/>
      <c r="V97" s="849"/>
      <c r="W97" s="3401"/>
      <c r="X97" s="3402"/>
      <c r="AZ97" s="1968" t="s">
        <v>6383</v>
      </c>
      <c r="BA97" s="1706">
        <v>97</v>
      </c>
    </row>
    <row r="98" spans="1:53" s="144" customFormat="1" ht="12" customHeight="1">
      <c r="B98" s="144" t="s">
        <v>1199</v>
      </c>
      <c r="G98" s="3274">
        <v>9000</v>
      </c>
      <c r="H98" s="3275"/>
      <c r="J98" s="3478"/>
      <c r="K98" s="3478"/>
      <c r="L98" s="828"/>
      <c r="M98" s="3478"/>
      <c r="N98" s="3478"/>
      <c r="P98" s="3478"/>
      <c r="Q98" s="3478"/>
      <c r="S98" s="3274">
        <v>9000</v>
      </c>
      <c r="T98" s="3275"/>
      <c r="V98" s="849"/>
      <c r="W98" s="3401"/>
      <c r="X98" s="3402"/>
      <c r="AZ98" s="1968"/>
      <c r="BA98" s="1706">
        <v>98</v>
      </c>
    </row>
    <row r="99" spans="1:53" s="144" customFormat="1" ht="12" customHeight="1">
      <c r="B99" s="144" t="s">
        <v>1200</v>
      </c>
      <c r="G99" s="3274">
        <v>1500</v>
      </c>
      <c r="H99" s="3275"/>
      <c r="J99" s="3478"/>
      <c r="K99" s="3478"/>
      <c r="L99" s="828"/>
      <c r="M99" s="3478"/>
      <c r="N99" s="3478"/>
      <c r="P99" s="3478"/>
      <c r="Q99" s="3478"/>
      <c r="S99" s="3274">
        <v>1500</v>
      </c>
      <c r="T99" s="3275"/>
      <c r="V99" s="849"/>
      <c r="W99" s="3401"/>
      <c r="X99" s="3402"/>
      <c r="AZ99" s="1968"/>
      <c r="BA99" s="1706">
        <v>99</v>
      </c>
    </row>
    <row r="100" spans="1:53" s="144" customFormat="1" ht="12" customHeight="1">
      <c r="B100" s="144" t="s">
        <v>1202</v>
      </c>
      <c r="G100" s="3274">
        <v>12378</v>
      </c>
      <c r="H100" s="3275"/>
      <c r="J100" s="3478"/>
      <c r="K100" s="3478"/>
      <c r="L100" s="828"/>
      <c r="M100" s="3478"/>
      <c r="N100" s="3478"/>
      <c r="P100" s="3478"/>
      <c r="Q100" s="3478"/>
      <c r="S100" s="3274">
        <v>12378</v>
      </c>
      <c r="T100" s="3275"/>
      <c r="V100" s="849"/>
      <c r="W100" s="3401"/>
      <c r="X100" s="3402"/>
      <c r="AZ100" s="1968"/>
      <c r="BA100" s="1706">
        <v>100</v>
      </c>
    </row>
    <row r="101" spans="1:53" s="144" customFormat="1" ht="12" customHeight="1">
      <c r="B101" s="144" t="s">
        <v>2121</v>
      </c>
      <c r="G101" s="3274">
        <v>50236</v>
      </c>
      <c r="H101" s="3275"/>
      <c r="J101" s="3478"/>
      <c r="K101" s="3478"/>
      <c r="L101" s="828"/>
      <c r="M101" s="3478"/>
      <c r="N101" s="3478"/>
      <c r="P101" s="3478"/>
      <c r="Q101" s="3478"/>
      <c r="S101" s="3274">
        <v>50236</v>
      </c>
      <c r="T101" s="3275"/>
      <c r="V101" s="849"/>
      <c r="W101" s="3401"/>
      <c r="X101" s="3402"/>
      <c r="AZ101" s="1968"/>
      <c r="BA101" s="1706">
        <v>101</v>
      </c>
    </row>
    <row r="102" spans="1:53" s="144" customFormat="1" ht="12" customHeight="1" thickBot="1">
      <c r="A102" s="303" t="str">
        <f>IF(AND(G102&gt;0,OR(C102="",C102="&lt;Enter detailed description here; use Comments section if needed&gt;")),"X","")</f>
        <v/>
      </c>
      <c r="B102" s="147" t="s">
        <v>6280</v>
      </c>
      <c r="C102" s="3470" t="s">
        <v>6722</v>
      </c>
      <c r="D102" s="3470"/>
      <c r="E102" s="3470"/>
      <c r="F102" s="3471"/>
      <c r="G102" s="3278"/>
      <c r="H102" s="3279"/>
      <c r="J102" s="3478"/>
      <c r="K102" s="3478"/>
      <c r="L102" s="828"/>
      <c r="M102" s="3478"/>
      <c r="N102" s="3478"/>
      <c r="P102" s="3478"/>
      <c r="Q102" s="3478"/>
      <c r="S102" s="3278"/>
      <c r="T102" s="3279"/>
      <c r="U102" s="302" t="str">
        <f>IF(AND(G102&gt;0,OR(C102="",C102="&lt;Enter detailed description here; use Comments section if needed&gt;")),"NO DESCRIPTION PROVIDED - please enter detailed description in Other box at left; use Comments section below if needed.","")</f>
        <v/>
      </c>
      <c r="V102" s="849"/>
      <c r="W102" s="3403"/>
      <c r="X102" s="3404"/>
      <c r="AZ102" s="1968"/>
      <c r="BA102" s="1706">
        <v>102</v>
      </c>
    </row>
    <row r="103" spans="1:53" s="144" customFormat="1" ht="12" customHeight="1" thickTop="1">
      <c r="F103" s="281" t="s">
        <v>184</v>
      </c>
      <c r="G103" s="3387">
        <f>SUM(G97:G102)</f>
        <v>100415</v>
      </c>
      <c r="H103" s="3388"/>
      <c r="J103" s="3478"/>
      <c r="K103" s="3478"/>
      <c r="L103" s="283"/>
      <c r="M103" s="3478"/>
      <c r="N103" s="3478"/>
      <c r="P103" s="3478"/>
      <c r="Q103" s="3478"/>
      <c r="S103" s="3387">
        <f>SUM(S97:S102)</f>
        <v>100415</v>
      </c>
      <c r="T103" s="3388"/>
      <c r="V103" s="851">
        <f>SUM(V97:V102)</f>
        <v>0</v>
      </c>
      <c r="W103" s="3405"/>
      <c r="X103" s="3406"/>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3926</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86"/>
      <c r="H105" s="3287"/>
      <c r="J105" s="283"/>
      <c r="K105" s="283"/>
      <c r="L105" s="828"/>
      <c r="M105" s="283"/>
      <c r="N105" s="283"/>
      <c r="P105" s="283"/>
      <c r="Q105" s="283"/>
      <c r="S105" s="3286"/>
      <c r="T105" s="3287"/>
      <c r="V105" s="849"/>
      <c r="W105" s="3401"/>
      <c r="X105" s="3402"/>
      <c r="Y105" s="3516" t="s">
        <v>6704</v>
      </c>
      <c r="AA105" s="236" t="s">
        <v>6646</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74">
        <v>5500</v>
      </c>
      <c r="H106" s="3275"/>
      <c r="J106" s="283"/>
      <c r="K106" s="283"/>
      <c r="L106" s="290"/>
      <c r="M106" s="283"/>
      <c r="N106" s="283"/>
      <c r="P106" s="283"/>
      <c r="Q106" s="283"/>
      <c r="S106" s="3274">
        <v>5500</v>
      </c>
      <c r="T106" s="3275"/>
      <c r="V106" s="849"/>
      <c r="W106" s="3401"/>
      <c r="X106" s="3402"/>
      <c r="Y106" s="3516"/>
      <c r="AA106" s="1931" t="s">
        <v>3151</v>
      </c>
      <c r="AB106" s="1931"/>
      <c r="AC106" s="1931"/>
      <c r="AD106" s="1932">
        <f>'Part V-Revenues &amp; Expenses'!$P$67</f>
        <v>40</v>
      </c>
      <c r="AZ106" s="1968" t="s">
        <v>6384</v>
      </c>
      <c r="BA106" s="1706">
        <v>106</v>
      </c>
    </row>
    <row r="107" spans="1:53" s="144" customFormat="1" ht="12.6" customHeight="1">
      <c r="B107" s="144" t="s">
        <v>3319</v>
      </c>
      <c r="G107" s="3274">
        <v>4000</v>
      </c>
      <c r="H107" s="3275"/>
      <c r="J107" s="283"/>
      <c r="K107" s="283"/>
      <c r="L107" s="290"/>
      <c r="M107" s="283"/>
      <c r="N107" s="283"/>
      <c r="P107" s="283"/>
      <c r="Q107" s="283"/>
      <c r="S107" s="3274">
        <v>4000</v>
      </c>
      <c r="T107" s="3275"/>
      <c r="V107" s="849"/>
      <c r="W107" s="3401"/>
      <c r="X107" s="3402"/>
      <c r="Y107" s="3516"/>
      <c r="Z107" s="301"/>
      <c r="AA107" s="225" t="s">
        <v>6709</v>
      </c>
      <c r="AB107" s="147"/>
      <c r="AC107" s="147"/>
      <c r="AD107" s="147"/>
      <c r="AF107" s="1936" t="s">
        <v>6710</v>
      </c>
      <c r="AZ107" s="1968" t="s">
        <v>6385</v>
      </c>
      <c r="BA107" s="1706">
        <v>107</v>
      </c>
    </row>
    <row r="108" spans="1:53" s="144" customFormat="1" ht="12.6" customHeight="1">
      <c r="B108" s="144" t="s">
        <v>486</v>
      </c>
      <c r="E108" s="3481">
        <f>ROUNDUP('DCA Underwriting Assumptions'!$Q$56*J191,0)</f>
        <v>16545</v>
      </c>
      <c r="F108" s="3482"/>
      <c r="G108" s="3274">
        <v>16545</v>
      </c>
      <c r="H108" s="3275"/>
      <c r="J108" s="764" t="str">
        <f>IF(E108&gt;G108,"WARNING!  LIHTC Allocation Fee proposed is below minimum required.","")</f>
        <v/>
      </c>
      <c r="K108" s="283"/>
      <c r="L108" s="828"/>
      <c r="M108" s="283"/>
      <c r="N108" s="283"/>
      <c r="P108" s="283"/>
      <c r="Q108" s="283"/>
      <c r="S108" s="3274">
        <v>16545</v>
      </c>
      <c r="T108" s="3275"/>
      <c r="V108" s="849"/>
      <c r="W108" s="3401"/>
      <c r="X108" s="3402"/>
      <c r="Y108" s="3516"/>
      <c r="Z108" s="301"/>
      <c r="AA108" s="147" t="s">
        <v>6705</v>
      </c>
      <c r="AB108" s="147"/>
      <c r="AC108" s="147"/>
      <c r="AD108" s="234">
        <f>'Part V-Revenues &amp; Expenses'!P136+'Part V-Revenues &amp; Expenses'!P137</f>
        <v>0</v>
      </c>
      <c r="AF108" s="1934">
        <f>AD108*'DCA Underwriting Assumptions'!$Q$63</f>
        <v>0</v>
      </c>
      <c r="AZ108" s="1968" t="s">
        <v>6386</v>
      </c>
      <c r="BA108" s="1706">
        <v>108</v>
      </c>
    </row>
    <row r="109" spans="1:53" s="144" customFormat="1" ht="12.6" customHeight="1">
      <c r="B109" s="144" t="s">
        <v>702</v>
      </c>
      <c r="E109" s="3481">
        <f>AF111+AF115</f>
        <v>32000</v>
      </c>
      <c r="F109" s="3482"/>
      <c r="G109" s="3274">
        <v>32000</v>
      </c>
      <c r="H109" s="3275"/>
      <c r="I109" s="3513" t="str">
        <f>IF(E109&gt;G109,"WARNING!  LIHTC Compliance Fee proposed is below minimum required.","")</f>
        <v/>
      </c>
      <c r="J109" s="3514"/>
      <c r="K109" s="3514"/>
      <c r="L109" s="3514"/>
      <c r="M109" s="3514"/>
      <c r="N109" s="3514"/>
      <c r="O109" s="3514"/>
      <c r="P109" s="3514"/>
      <c r="Q109" s="3514"/>
      <c r="R109" s="3515"/>
      <c r="S109" s="3274">
        <v>32000</v>
      </c>
      <c r="T109" s="3275"/>
      <c r="V109" s="849"/>
      <c r="W109" s="3401"/>
      <c r="X109" s="3402"/>
      <c r="Y109" s="3516"/>
      <c r="Z109" s="301"/>
      <c r="AA109" s="147" t="s">
        <v>6288</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3450</v>
      </c>
      <c r="F110" s="969"/>
      <c r="G110" s="3274"/>
      <c r="H110" s="3275"/>
      <c r="I110" s="3513"/>
      <c r="J110" s="3514"/>
      <c r="K110" s="3514"/>
      <c r="L110" s="3514"/>
      <c r="M110" s="3514"/>
      <c r="N110" s="3514"/>
      <c r="O110" s="3514"/>
      <c r="P110" s="3514"/>
      <c r="Q110" s="3514"/>
      <c r="R110" s="3515"/>
      <c r="S110" s="3274"/>
      <c r="T110" s="3275"/>
      <c r="V110" s="849"/>
      <c r="W110" s="3401"/>
      <c r="X110" s="3402"/>
      <c r="Y110" s="3516"/>
      <c r="AA110" s="147" t="s">
        <v>6706</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6929</v>
      </c>
      <c r="F111" s="969">
        <f>ROUNDUP('DCA Underwriting Assumptions'!$Q$58,0)</f>
        <v>8000</v>
      </c>
      <c r="G111" s="3274">
        <v>8000</v>
      </c>
      <c r="H111" s="3275"/>
      <c r="J111" s="145"/>
      <c r="K111" s="145"/>
      <c r="L111" s="145"/>
      <c r="M111" s="145"/>
      <c r="N111" s="145"/>
      <c r="O111" s="145"/>
      <c r="P111" s="145"/>
      <c r="Q111" s="145"/>
      <c r="S111" s="3274">
        <v>8000</v>
      </c>
      <c r="T111" s="3275"/>
      <c r="V111" s="849"/>
      <c r="W111" s="3401"/>
      <c r="X111" s="3402"/>
      <c r="AA111" s="147"/>
      <c r="AB111" s="1545" t="s">
        <v>6707</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6276</v>
      </c>
      <c r="C112" s="3487" t="s">
        <v>6722</v>
      </c>
      <c r="D112" s="3487"/>
      <c r="E112" s="3487"/>
      <c r="F112" s="3488"/>
      <c r="G112" s="3274"/>
      <c r="H112" s="3275"/>
      <c r="J112" s="145"/>
      <c r="K112" s="145"/>
      <c r="L112" s="145"/>
      <c r="M112" s="145"/>
      <c r="N112" s="145"/>
      <c r="O112" s="145"/>
      <c r="P112" s="145"/>
      <c r="Q112" s="145"/>
      <c r="S112" s="3274"/>
      <c r="T112" s="3275"/>
      <c r="U112" s="302" t="str">
        <f>IF(AND(G112&gt;0,OR(C112="",C112="&lt;Enter detailed description here; use Comments section if needed&gt;")),"NO DESCRIPTION PROVIDED - please enter detailed description in Other box at left; use Comments section below if needed.","")</f>
        <v/>
      </c>
      <c r="V112" s="849"/>
      <c r="W112" s="3401"/>
      <c r="X112" s="3402"/>
      <c r="AA112" s="225" t="s">
        <v>6708</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6276</v>
      </c>
      <c r="C113" s="3489" t="s">
        <v>6722</v>
      </c>
      <c r="D113" s="3489"/>
      <c r="E113" s="3489"/>
      <c r="F113" s="3490"/>
      <c r="G113" s="3278"/>
      <c r="H113" s="3279"/>
      <c r="J113" s="145"/>
      <c r="K113" s="145"/>
      <c r="L113" s="145"/>
      <c r="M113" s="145"/>
      <c r="N113" s="145"/>
      <c r="O113" s="145"/>
      <c r="P113" s="145"/>
      <c r="Q113" s="145"/>
      <c r="S113" s="3278"/>
      <c r="T113" s="3279"/>
      <c r="U113" s="302" t="str">
        <f>IF(AND(G113&gt;0,OR(C113="",C113="&lt;Enter detailed description here; use Comments section if needed&gt;")),"NO DESCRIPTION PROVIDED - please enter detailed description in Other box at left; use Comments section below if needed.","")</f>
        <v/>
      </c>
      <c r="V113" s="849"/>
      <c r="W113" s="3403"/>
      <c r="X113" s="3404"/>
      <c r="AA113" s="147" t="s">
        <v>36</v>
      </c>
      <c r="AB113" s="147"/>
      <c r="AC113" s="231"/>
      <c r="AD113" s="234">
        <f>'Part V-Revenues &amp; Expenses'!$P$127</f>
        <v>40</v>
      </c>
      <c r="AF113" s="1934">
        <f>IF($AD$105="Income Averaging",AD113*'DCA Underwriting Assumptions'!$Q$61,AD113*'DCA Underwriting Assumptions'!$Q$60)</f>
        <v>32000</v>
      </c>
      <c r="AZ113" s="1968" t="s">
        <v>6387</v>
      </c>
      <c r="BA113" s="1706">
        <v>113</v>
      </c>
    </row>
    <row r="114" spans="1:53" s="144" customFormat="1" ht="12.6" customHeight="1" thickTop="1">
      <c r="F114" s="281" t="s">
        <v>184</v>
      </c>
      <c r="G114" s="3387">
        <f>SUM(G105:G113)</f>
        <v>66045</v>
      </c>
      <c r="H114" s="3388"/>
      <c r="J114" s="283"/>
      <c r="K114" s="283"/>
      <c r="L114" s="828"/>
      <c r="M114" s="283"/>
      <c r="N114" s="283"/>
      <c r="P114" s="283"/>
      <c r="Q114" s="283"/>
      <c r="S114" s="3387">
        <f>SUM(S105:S113)</f>
        <v>66045</v>
      </c>
      <c r="T114" s="3388"/>
      <c r="V114" s="851">
        <f>SUM(V105:V113)</f>
        <v>0</v>
      </c>
      <c r="W114" s="3407"/>
      <c r="X114" s="3408"/>
      <c r="AA114" s="147" t="s">
        <v>6482</v>
      </c>
      <c r="AB114" s="147"/>
      <c r="AC114" s="241"/>
      <c r="AD114" s="234">
        <f>'Part V-Revenues &amp; Expenses'!$P$138+'Part V-Revenues &amp; Expenses'!$P$139</f>
        <v>0</v>
      </c>
      <c r="AF114" s="1934">
        <f>IF($AD$105="Income Averaging",AD114*'DCA Underwriting Assumptions'!$Q$61,AD114*'DCA Underwriting Assumptions'!$Q$60)</f>
        <v>0</v>
      </c>
      <c r="AZ114" s="1968" t="s">
        <v>6388</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6707</v>
      </c>
      <c r="AC115" s="147"/>
      <c r="AD115" s="1933">
        <f>SUM(AD113:AD114)</f>
        <v>40</v>
      </c>
      <c r="AF115" s="1935">
        <f>SUM(AF113:AF114)</f>
        <v>32000</v>
      </c>
      <c r="AZ115" s="1959"/>
      <c r="BA115" s="1706">
        <v>115</v>
      </c>
    </row>
    <row r="116" spans="1:53" s="144" customFormat="1" ht="12.6" customHeight="1">
      <c r="B116" s="144" t="s">
        <v>267</v>
      </c>
      <c r="G116" s="3286">
        <v>1500</v>
      </c>
      <c r="H116" s="3287"/>
      <c r="J116" s="3478"/>
      <c r="K116" s="3478"/>
      <c r="L116" s="828"/>
      <c r="M116" s="3478"/>
      <c r="N116" s="3478"/>
      <c r="P116" s="3478"/>
      <c r="Q116" s="3478"/>
      <c r="S116" s="3286">
        <v>1500</v>
      </c>
      <c r="T116" s="3287"/>
      <c r="V116" s="849"/>
      <c r="W116" s="3401"/>
      <c r="X116" s="3402"/>
      <c r="AZ116" s="1959"/>
      <c r="BA116" s="1706">
        <v>116</v>
      </c>
    </row>
    <row r="117" spans="1:53" s="144" customFormat="1" ht="12.6" customHeight="1">
      <c r="B117" s="144" t="s">
        <v>268</v>
      </c>
      <c r="G117" s="3274"/>
      <c r="H117" s="3275"/>
      <c r="J117" s="3478"/>
      <c r="K117" s="3478"/>
      <c r="L117" s="828"/>
      <c r="M117" s="3478"/>
      <c r="N117" s="3478"/>
      <c r="P117" s="3478"/>
      <c r="Q117" s="3478"/>
      <c r="S117" s="3274"/>
      <c r="T117" s="3275"/>
      <c r="V117" s="849"/>
      <c r="W117" s="3401"/>
      <c r="X117" s="3402"/>
      <c r="AZ117" s="1959"/>
      <c r="BA117" s="1706">
        <v>117</v>
      </c>
    </row>
    <row r="118" spans="1:53" s="144" customFormat="1" ht="12.6" customHeight="1">
      <c r="B118" s="144" t="s">
        <v>2200</v>
      </c>
      <c r="G118" s="3274">
        <v>6000</v>
      </c>
      <c r="H118" s="3275"/>
      <c r="J118" s="3478"/>
      <c r="K118" s="3478"/>
      <c r="L118" s="828"/>
      <c r="M118" s="3478"/>
      <c r="N118" s="3478"/>
      <c r="P118" s="3478"/>
      <c r="Q118" s="3478"/>
      <c r="S118" s="3274">
        <v>6000</v>
      </c>
      <c r="T118" s="3275"/>
      <c r="V118" s="849"/>
      <c r="W118" s="3401"/>
      <c r="X118" s="3402"/>
      <c r="AZ118" s="1959"/>
      <c r="BA118" s="1706">
        <v>118</v>
      </c>
    </row>
    <row r="119" spans="1:53" s="144" customFormat="1" ht="12.6" customHeight="1" thickBot="1">
      <c r="A119" s="303" t="str">
        <f>IF(AND(G119&gt;0,OR(C119="",C119="&lt;Enter detailed description here; use Comments section if needed&gt;")),"X","")</f>
        <v/>
      </c>
      <c r="B119" s="147" t="s">
        <v>6276</v>
      </c>
      <c r="C119" s="3470" t="s">
        <v>6722</v>
      </c>
      <c r="D119" s="3470"/>
      <c r="E119" s="3470"/>
      <c r="F119" s="3471"/>
      <c r="G119" s="3278"/>
      <c r="H119" s="3279"/>
      <c r="J119" s="3478"/>
      <c r="K119" s="3478"/>
      <c r="L119" s="828"/>
      <c r="M119" s="3478"/>
      <c r="N119" s="3478"/>
      <c r="P119" s="3478"/>
      <c r="Q119" s="3478"/>
      <c r="S119" s="3278"/>
      <c r="T119" s="3279"/>
      <c r="U119" s="302" t="str">
        <f>IF(AND(G119&gt;0,OR(C119="",C119="&lt;Enter detailed description here; use Comments section if needed&gt;")),"NO DESCRIPTION PROVIDED - please enter detailed description in Other box at left; use Comments section below if needed.","")</f>
        <v/>
      </c>
      <c r="V119" s="849"/>
      <c r="W119" s="3403"/>
      <c r="X119" s="3404"/>
      <c r="AZ119" s="1959"/>
      <c r="BA119" s="1706">
        <v>119</v>
      </c>
    </row>
    <row r="120" spans="1:53" s="144" customFormat="1" ht="12.6" customHeight="1" thickTop="1">
      <c r="F120" s="281" t="s">
        <v>184</v>
      </c>
      <c r="G120" s="3387">
        <f>SUM(G116:G119)</f>
        <v>7500</v>
      </c>
      <c r="H120" s="3388"/>
      <c r="J120" s="3478"/>
      <c r="K120" s="3478"/>
      <c r="L120" s="828"/>
      <c r="M120" s="3478"/>
      <c r="N120" s="3478"/>
      <c r="P120" s="3478"/>
      <c r="Q120" s="3478"/>
      <c r="S120" s="3387">
        <f>SUM(S116:S119)</f>
        <v>7500</v>
      </c>
      <c r="T120" s="3388"/>
      <c r="V120" s="851">
        <f>SUM(V116:V119)</f>
        <v>0</v>
      </c>
      <c r="W120" s="3405"/>
      <c r="X120" s="3406"/>
      <c r="AC120" s="3511" t="s">
        <v>3923</v>
      </c>
      <c r="AD120" s="3511" t="s">
        <v>3924</v>
      </c>
      <c r="AE120" s="3357" t="s">
        <v>3927</v>
      </c>
      <c r="AF120" s="3506" t="s">
        <v>3925</v>
      </c>
      <c r="AG120" s="3357" t="s">
        <v>3916</v>
      </c>
      <c r="AH120" s="3348" t="s">
        <v>6743</v>
      </c>
      <c r="AI120" s="3348"/>
      <c r="AZ120" s="1959"/>
      <c r="BA120" s="1706">
        <v>120</v>
      </c>
    </row>
    <row r="121" spans="1:53" s="144" customFormat="1" ht="13.35" customHeight="1">
      <c r="B121" s="243" t="s">
        <v>269</v>
      </c>
      <c r="E121" s="485" t="s">
        <v>3926</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3914</v>
      </c>
      <c r="Z121" s="236"/>
      <c r="AA121" s="231" t="s">
        <v>3920</v>
      </c>
      <c r="AB121" s="231" t="s">
        <v>3921</v>
      </c>
      <c r="AC121" s="3512"/>
      <c r="AD121" s="3512"/>
      <c r="AE121" s="3156"/>
      <c r="AF121" s="3507"/>
      <c r="AG121" s="3357"/>
      <c r="AH121" s="3348"/>
      <c r="AI121" s="3348"/>
      <c r="AK121" s="44"/>
      <c r="AZ121" s="1959" t="s">
        <v>6389</v>
      </c>
      <c r="BA121" s="1706">
        <v>121</v>
      </c>
    </row>
    <row r="122" spans="1:53" s="144" customFormat="1" ht="12.6" customHeight="1">
      <c r="B122" s="144" t="s">
        <v>1724</v>
      </c>
      <c r="F122" s="323">
        <f>IF($G$127=0,0,G122/$G$127)</f>
        <v>0.5</v>
      </c>
      <c r="G122" s="3475">
        <v>237288</v>
      </c>
      <c r="H122" s="3475"/>
      <c r="J122" s="3476"/>
      <c r="K122" s="3477"/>
      <c r="L122" s="282"/>
      <c r="M122" s="3476">
        <v>156769</v>
      </c>
      <c r="N122" s="3477"/>
      <c r="P122" s="3476">
        <v>80519</v>
      </c>
      <c r="Q122" s="3477"/>
      <c r="S122" s="3476"/>
      <c r="T122" s="3477"/>
      <c r="V122" s="849"/>
      <c r="W122" s="3401"/>
      <c r="X122" s="3402"/>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1100000</v>
      </c>
      <c r="AF122" s="3358">
        <f>SUM(AE122:AE124)</f>
        <v>1100000</v>
      </c>
      <c r="AG122" s="3361">
        <f>'DCA Underwriting Assumptions'!$Q$74</f>
        <v>2000000</v>
      </c>
      <c r="AH122" s="3349">
        <f>MIN(AF122,AG122)</f>
        <v>1100000</v>
      </c>
      <c r="AI122" s="3350"/>
      <c r="AZ122" s="1959"/>
      <c r="BA122" s="1706">
        <v>122</v>
      </c>
    </row>
    <row r="123" spans="1:53" s="144" customFormat="1" ht="12.6" customHeight="1">
      <c r="B123" s="144" t="s">
        <v>3412</v>
      </c>
      <c r="F123" s="949">
        <v>237288</v>
      </c>
      <c r="G123" s="241" t="s">
        <v>6723</v>
      </c>
      <c r="V123" s="849"/>
      <c r="W123" s="3401"/>
      <c r="X123" s="3402"/>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59"/>
      <c r="AG123" s="3362"/>
      <c r="AH123" s="3351"/>
      <c r="AI123" s="3352"/>
      <c r="AZ123" s="1959"/>
      <c r="BA123" s="1706">
        <v>123</v>
      </c>
    </row>
    <row r="124" spans="1:53" s="144" customFormat="1" ht="12.6" customHeight="1">
      <c r="B124" s="144" t="s">
        <v>1725</v>
      </c>
      <c r="F124" s="323">
        <f>IF($G$127=0,0,G124/$G$127)</f>
        <v>0</v>
      </c>
      <c r="G124" s="3286"/>
      <c r="H124" s="3287"/>
      <c r="J124" s="3286"/>
      <c r="K124" s="3287"/>
      <c r="L124" s="828"/>
      <c r="M124" s="3286"/>
      <c r="N124" s="3287"/>
      <c r="P124" s="3286"/>
      <c r="Q124" s="3287"/>
      <c r="S124" s="3286"/>
      <c r="T124" s="3287"/>
      <c r="V124" s="849"/>
      <c r="W124" s="3401"/>
      <c r="X124" s="3402"/>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60"/>
      <c r="AG124" s="3363"/>
      <c r="AH124" s="3353"/>
      <c r="AI124" s="3354"/>
      <c r="AZ124" s="1959"/>
      <c r="BA124" s="1706">
        <v>124</v>
      </c>
    </row>
    <row r="125" spans="1:53" s="144" customFormat="1" ht="12.6" customHeight="1">
      <c r="B125" s="144" t="s">
        <v>3163</v>
      </c>
      <c r="F125" s="323">
        <f>IF($G$127=0,0,G125/$G$127)</f>
        <v>0</v>
      </c>
      <c r="G125" s="3274"/>
      <c r="H125" s="3275"/>
      <c r="J125" s="3274"/>
      <c r="K125" s="3275"/>
      <c r="L125" s="828"/>
      <c r="M125" s="3274"/>
      <c r="N125" s="3275"/>
      <c r="P125" s="3274"/>
      <c r="Q125" s="3275"/>
      <c r="S125" s="3274"/>
      <c r="T125" s="3275"/>
      <c r="V125" s="849"/>
      <c r="W125" s="3401"/>
      <c r="X125" s="3402"/>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1100000</v>
      </c>
      <c r="AF125" s="3358">
        <f>SUM(AE125:AE127)</f>
        <v>1100000</v>
      </c>
      <c r="AG125" s="3358">
        <f>'DCA Underwriting Assumptions'!$Q$75</f>
        <v>3500000</v>
      </c>
      <c r="AH125" s="3349">
        <f>MIN(AF125,AG125)</f>
        <v>1100000</v>
      </c>
      <c r="AI125" s="3350"/>
      <c r="AZ125" s="1959"/>
      <c r="BA125" s="1706">
        <v>125</v>
      </c>
    </row>
    <row r="126" spans="1:53" s="144" customFormat="1" ht="12.6" customHeight="1" thickBot="1">
      <c r="B126" s="144" t="s">
        <v>1717</v>
      </c>
      <c r="F126" s="323">
        <f>IF($G$127=0,0,G126/$G$127)</f>
        <v>0.5</v>
      </c>
      <c r="G126" s="3278">
        <v>237288</v>
      </c>
      <c r="H126" s="3279"/>
      <c r="J126" s="3278"/>
      <c r="K126" s="3279"/>
      <c r="L126" s="828"/>
      <c r="M126" s="3278"/>
      <c r="N126" s="3279"/>
      <c r="P126" s="3278">
        <v>237288</v>
      </c>
      <c r="Q126" s="3279"/>
      <c r="S126" s="3278"/>
      <c r="T126" s="3279"/>
      <c r="V126" s="849"/>
      <c r="W126" s="3403"/>
      <c r="X126" s="3404"/>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59"/>
      <c r="AG126" s="3359"/>
      <c r="AH126" s="3351"/>
      <c r="AI126" s="3352"/>
      <c r="AZ126" s="1968"/>
      <c r="BA126" s="1706">
        <v>126</v>
      </c>
    </row>
    <row r="127" spans="1:53" s="144" customFormat="1" ht="12.6" customHeight="1" thickTop="1">
      <c r="A127" s="1310" t="str">
        <f>IF(G127&gt;E127,"DF over limit!  Round down/Enter nbr.","")</f>
        <v/>
      </c>
      <c r="B127" s="1953"/>
      <c r="D127" s="485" t="s">
        <v>3922</v>
      </c>
      <c r="E127" s="1954">
        <f>IF(AF122+AF125=0,"Fill in Rent Chart!",IF(F121="9%",AH122,IF(F121="4%",AH125,"Select App Type!")))</f>
        <v>1100000</v>
      </c>
      <c r="F127" s="281" t="s">
        <v>184</v>
      </c>
      <c r="G127" s="3387">
        <f>SUM(G122:G126)</f>
        <v>474576</v>
      </c>
      <c r="H127" s="3472"/>
      <c r="J127" s="3387">
        <f>SUM(J122:J126)</f>
        <v>0</v>
      </c>
      <c r="K127" s="3472"/>
      <c r="L127" s="828"/>
      <c r="M127" s="3387">
        <f>SUM(M122:M126)</f>
        <v>156769</v>
      </c>
      <c r="N127" s="3472"/>
      <c r="P127" s="3387">
        <f>SUM(P122:P126)</f>
        <v>317807</v>
      </c>
      <c r="Q127" s="3472"/>
      <c r="S127" s="3387">
        <f>SUM(S122:S126)</f>
        <v>0</v>
      </c>
      <c r="T127" s="3472"/>
      <c r="V127" s="851">
        <f>SUM(V122:V126)</f>
        <v>0</v>
      </c>
      <c r="W127" s="3405"/>
      <c r="X127" s="3406"/>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60"/>
      <c r="AG127" s="3360"/>
      <c r="AH127" s="3353"/>
      <c r="AI127" s="3354"/>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6390</v>
      </c>
      <c r="BA128" s="1706">
        <v>128</v>
      </c>
    </row>
    <row r="129" spans="1:53" s="144" customFormat="1" ht="12.6" customHeight="1">
      <c r="B129" s="144" t="s">
        <v>241</v>
      </c>
      <c r="G129" s="3286"/>
      <c r="H129" s="3287"/>
      <c r="J129" s="291"/>
      <c r="K129" s="291"/>
      <c r="L129" s="291"/>
      <c r="M129" s="291"/>
      <c r="N129" s="291"/>
      <c r="P129" s="291"/>
      <c r="Q129" s="291"/>
      <c r="S129" s="3286"/>
      <c r="T129" s="3287"/>
      <c r="V129" s="849"/>
      <c r="W129" s="3401"/>
      <c r="X129" s="3402"/>
      <c r="Z129" s="1306"/>
      <c r="AB129" s="44"/>
      <c r="AC129"/>
      <c r="AD129"/>
      <c r="AF129"/>
      <c r="AG129"/>
      <c r="AH129"/>
      <c r="AI129"/>
      <c r="AJ129"/>
      <c r="AK129"/>
      <c r="AZ129" s="1968" t="s">
        <v>6391</v>
      </c>
      <c r="BA129" s="1706">
        <v>129</v>
      </c>
    </row>
    <row r="130" spans="1:53" s="144" customFormat="1" ht="12.6" customHeight="1">
      <c r="B130" s="144" t="s">
        <v>1436</v>
      </c>
      <c r="F130" s="365">
        <f>+'Part V-Revenues &amp; Expenses'!$Q$228*('DCA Underwriting Assumptions'!$Q$89/12)</f>
        <v>41916.75</v>
      </c>
      <c r="G130" s="3274"/>
      <c r="H130" s="3275"/>
      <c r="J130" s="765" t="str">
        <f>IF(E130&gt;G130,"WARNING! Rent-Up Reserves proposed is below minimum - add comment.","")</f>
        <v/>
      </c>
      <c r="K130" s="765"/>
      <c r="L130" s="828"/>
      <c r="M130" s="750"/>
      <c r="N130" s="750"/>
      <c r="P130" s="750"/>
      <c r="Q130" s="750"/>
      <c r="S130" s="3274"/>
      <c r="T130" s="3275"/>
      <c r="V130" s="849"/>
      <c r="W130" s="3401"/>
      <c r="X130" s="3402"/>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111672.38447636539</v>
      </c>
      <c r="G131" s="3274">
        <v>123808</v>
      </c>
      <c r="H131" s="3275"/>
      <c r="J131" s="765" t="str">
        <f>IF(E131&gt;G131,"WARNING! ODR proposed is below minimum - add comment.","")</f>
        <v/>
      </c>
      <c r="K131" s="290"/>
      <c r="L131" s="290"/>
      <c r="M131" s="290"/>
      <c r="N131" s="290"/>
      <c r="P131" s="290"/>
      <c r="Q131" s="290"/>
      <c r="S131" s="3274">
        <v>123808</v>
      </c>
      <c r="T131" s="3275"/>
      <c r="V131" s="849"/>
      <c r="W131" s="3401"/>
      <c r="X131" s="3402"/>
      <c r="Y131"/>
      <c r="Z131" s="1307"/>
      <c r="AB131" s="236"/>
      <c r="AD131"/>
      <c r="AG131"/>
      <c r="AH131"/>
      <c r="AI131"/>
      <c r="AZ131" s="1968"/>
      <c r="BA131" s="1706">
        <v>131</v>
      </c>
    </row>
    <row r="132" spans="1:53" s="144" customFormat="1" ht="12.6" customHeight="1">
      <c r="B132" s="144" t="s">
        <v>1170</v>
      </c>
      <c r="G132" s="3274"/>
      <c r="H132" s="3275"/>
      <c r="J132" s="291"/>
      <c r="K132" s="291"/>
      <c r="L132" s="291"/>
      <c r="M132" s="291"/>
      <c r="N132" s="291"/>
      <c r="P132" s="291"/>
      <c r="Q132" s="291"/>
      <c r="S132" s="3274"/>
      <c r="T132" s="3275"/>
      <c r="V132" s="849"/>
      <c r="W132" s="3401"/>
      <c r="X132" s="3402"/>
      <c r="AZ132" s="1968" t="s">
        <v>6392</v>
      </c>
      <c r="BA132" s="1706">
        <v>132</v>
      </c>
    </row>
    <row r="133" spans="1:53" s="144" customFormat="1" ht="12.6" customHeight="1">
      <c r="B133" s="144" t="s">
        <v>1171</v>
      </c>
      <c r="E133" s="658" t="s">
        <v>3137</v>
      </c>
      <c r="F133" s="365">
        <f>IF('Part V-Revenues &amp; Expenses'!$P$67=0,0,G133/'Part V-Revenues &amp; Expenses'!$P$67)</f>
        <v>187.5</v>
      </c>
      <c r="G133" s="3274">
        <v>7500</v>
      </c>
      <c r="H133" s="3275"/>
      <c r="J133" s="3286"/>
      <c r="K133" s="3287"/>
      <c r="L133" s="828"/>
      <c r="M133" s="3286"/>
      <c r="N133" s="3287"/>
      <c r="P133" s="3286">
        <v>7500</v>
      </c>
      <c r="Q133" s="3287"/>
      <c r="S133" s="3274">
        <v>0</v>
      </c>
      <c r="T133" s="3275"/>
      <c r="V133" s="849"/>
      <c r="W133" s="3401"/>
      <c r="X133" s="3402"/>
      <c r="AZ133" s="1968" t="s">
        <v>6393</v>
      </c>
      <c r="BA133" s="1706">
        <v>133</v>
      </c>
    </row>
    <row r="134" spans="1:53" s="144" customFormat="1" ht="12.6" customHeight="1" thickBot="1">
      <c r="A134" s="303" t="str">
        <f>IF(AND(G134&gt;0,OR(C134="",C134="&lt;Enter detailed description here; use Comments section if needed&gt;")),"X","")</f>
        <v/>
      </c>
      <c r="B134" s="147" t="s">
        <v>6276</v>
      </c>
      <c r="C134" s="3470" t="s">
        <v>7166</v>
      </c>
      <c r="D134" s="3470"/>
      <c r="E134" s="3470"/>
      <c r="F134" s="3471"/>
      <c r="G134" s="3278">
        <v>8640</v>
      </c>
      <c r="H134" s="3279"/>
      <c r="J134" s="3473"/>
      <c r="K134" s="3474"/>
      <c r="L134" s="828"/>
      <c r="M134" s="3278"/>
      <c r="N134" s="3279"/>
      <c r="P134" s="3278"/>
      <c r="Q134" s="3279"/>
      <c r="S134" s="3278">
        <v>8640</v>
      </c>
      <c r="T134" s="3279"/>
      <c r="U134" s="302" t="str">
        <f>IF(AND(G134&gt;0,OR(C134="",C134="&lt;Enter detailed description here; use Comments section if needed&gt;")),"NO DESCRIPTION PROVIDED - please enter detailed description in Other box at left; use Comments section below if needed.","")</f>
        <v/>
      </c>
      <c r="V134" s="849"/>
      <c r="W134" s="3403"/>
      <c r="X134" s="3404"/>
      <c r="AZ134" s="1968"/>
      <c r="BA134" s="1706">
        <v>134</v>
      </c>
    </row>
    <row r="135" spans="1:53" s="144" customFormat="1" ht="12.6" customHeight="1" thickTop="1">
      <c r="B135" s="292"/>
      <c r="F135" s="281" t="s">
        <v>184</v>
      </c>
      <c r="G135" s="3387">
        <f>SUM(G129:G134)</f>
        <v>139948</v>
      </c>
      <c r="H135" s="3388"/>
      <c r="J135" s="3387">
        <f>SUM(J133:J134)</f>
        <v>0</v>
      </c>
      <c r="K135" s="3388"/>
      <c r="L135" s="828"/>
      <c r="M135" s="3387">
        <f>SUM(M133:M134)</f>
        <v>0</v>
      </c>
      <c r="N135" s="3388"/>
      <c r="P135" s="3387">
        <f>SUM(P133:P134)</f>
        <v>7500</v>
      </c>
      <c r="Q135" s="3388"/>
      <c r="S135" s="3387">
        <f>SUM(S129:S134)</f>
        <v>132448</v>
      </c>
      <c r="T135" s="3388"/>
      <c r="V135" s="851">
        <f>SUM(V129:V134)</f>
        <v>0</v>
      </c>
      <c r="W135" s="3405"/>
      <c r="X135" s="3406"/>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64" t="s">
        <v>259</v>
      </c>
      <c r="K139" s="3365"/>
      <c r="L139" s="280"/>
      <c r="M139" s="3483" t="s">
        <v>460</v>
      </c>
      <c r="N139" s="3484"/>
      <c r="P139" s="3364" t="s">
        <v>260</v>
      </c>
      <c r="Q139" s="3365"/>
      <c r="S139" s="3364" t="s">
        <v>261</v>
      </c>
      <c r="T139" s="3365"/>
      <c r="V139" s="344" t="str">
        <f>B139</f>
        <v>DEVELOPMENT BUDGET  (cont'd)</v>
      </c>
      <c r="AZ139" s="1968"/>
      <c r="BA139" s="1706">
        <v>139</v>
      </c>
    </row>
    <row r="140" spans="1:53" s="144" customFormat="1" ht="18" customHeight="1" thickBot="1">
      <c r="G140" s="3479" t="s">
        <v>95</v>
      </c>
      <c r="H140" s="3480"/>
      <c r="J140" s="3366"/>
      <c r="K140" s="3367"/>
      <c r="L140" s="280"/>
      <c r="M140" s="3485"/>
      <c r="N140" s="3486"/>
      <c r="P140" s="3366"/>
      <c r="Q140" s="3367"/>
      <c r="S140" s="3366"/>
      <c r="T140" s="3367"/>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86">
        <v>48500</v>
      </c>
      <c r="H142" s="3287"/>
      <c r="J142" s="3286"/>
      <c r="K142" s="3287"/>
      <c r="L142" s="282"/>
      <c r="M142" s="3286"/>
      <c r="N142" s="3287"/>
      <c r="P142" s="3286">
        <v>48500</v>
      </c>
      <c r="Q142" s="3287"/>
      <c r="S142" s="3286"/>
      <c r="T142" s="3287"/>
      <c r="V142" s="849"/>
      <c r="W142" s="3401"/>
      <c r="X142" s="3402"/>
      <c r="AZ142" s="1968"/>
      <c r="BA142" s="1706">
        <v>142</v>
      </c>
    </row>
    <row r="143" spans="1:53" s="144" customFormat="1" ht="12.6" customHeight="1" thickBot="1">
      <c r="A143" s="303" t="str">
        <f>IF(AND(G143&gt;0,OR(C143="",C143="&lt;Enter detailed description here; use Comments section if needed&gt;")),"X","")</f>
        <v/>
      </c>
      <c r="B143" s="147" t="s">
        <v>6276</v>
      </c>
      <c r="C143" s="3470" t="s">
        <v>6722</v>
      </c>
      <c r="D143" s="3470"/>
      <c r="E143" s="3470"/>
      <c r="F143" s="3471"/>
      <c r="G143" s="3278"/>
      <c r="H143" s="3279"/>
      <c r="J143" s="3278"/>
      <c r="K143" s="3279"/>
      <c r="L143" s="828"/>
      <c r="M143" s="3278"/>
      <c r="N143" s="3279"/>
      <c r="P143" s="3278"/>
      <c r="Q143" s="3279"/>
      <c r="S143" s="3278"/>
      <c r="T143" s="3279"/>
      <c r="U143" s="302" t="str">
        <f>IF(AND(G143&gt;0,OR(C143="",C143="&lt;Enter detailed description here; use Comments section if needed&gt;")),"NO DESCRIPTION PROVIDED - please enter detailed description in Other box at left; use Comments section below if needed.","")</f>
        <v/>
      </c>
      <c r="V143" s="849"/>
      <c r="W143" s="3403"/>
      <c r="X143" s="3404"/>
      <c r="AZ143" s="1968"/>
      <c r="BA143" s="1706">
        <v>143</v>
      </c>
    </row>
    <row r="144" spans="1:53" s="144" customFormat="1" ht="12.6" customHeight="1" thickTop="1">
      <c r="C144" s="246"/>
      <c r="F144" s="281" t="s">
        <v>184</v>
      </c>
      <c r="G144" s="3387">
        <f>SUM(G142:G143)</f>
        <v>48500</v>
      </c>
      <c r="H144" s="3388"/>
      <c r="J144" s="3387">
        <f>SUM(J142:J143)</f>
        <v>0</v>
      </c>
      <c r="K144" s="3388"/>
      <c r="L144" s="828"/>
      <c r="M144" s="3387">
        <f>SUM(M142:M143)</f>
        <v>0</v>
      </c>
      <c r="N144" s="3388"/>
      <c r="P144" s="3387">
        <f>SUM(P142:P143)</f>
        <v>48500</v>
      </c>
      <c r="Q144" s="3388"/>
      <c r="S144" s="3387">
        <f>SUM(S142:S143)</f>
        <v>0</v>
      </c>
      <c r="T144" s="3388"/>
      <c r="V144" s="851">
        <f>SUM(V142:V143)</f>
        <v>0</v>
      </c>
      <c r="W144" s="3405"/>
      <c r="X144" s="3406"/>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6491</v>
      </c>
      <c r="E146" s="658"/>
      <c r="F146" s="1311"/>
      <c r="G146" s="3372">
        <f>G18+G24+G28+G36+G41+G46+G55+G73+G86+G92+G103+G114+G120+G127+G135+G144</f>
        <v>4829637</v>
      </c>
      <c r="H146" s="3373"/>
      <c r="J146" s="3372">
        <f>J18+J24+J28+J36+J41+J46+J55+J73+J86+J92+J103+J114+J120+J127+J135+J144</f>
        <v>0</v>
      </c>
      <c r="K146" s="3373"/>
      <c r="M146" s="3372">
        <f>M18+M24+M28+M36+M41+M46+M55+M73+M86+M92+M103+M114+M120+M127+M135+M144</f>
        <v>1422170</v>
      </c>
      <c r="N146" s="3373"/>
      <c r="P146" s="3372">
        <f>P18+P24+P28+P36+P41+P46+P55+P73+P86+P92+P103+P114+P120+P127+P135+P144</f>
        <v>2883051</v>
      </c>
      <c r="Q146" s="3373"/>
      <c r="S146" s="3372">
        <f>S18+S24+S28+S36+S41+S46+S55+S73+S86+S92+S103+S114+S120+S127+S135+S144</f>
        <v>523956</v>
      </c>
      <c r="T146" s="3373"/>
      <c r="V146" s="855">
        <f>V18+V24+V28+V36+V41+V46+V55+V73+V86+V92+V103+V114+V120+V127+V135+V144</f>
        <v>0</v>
      </c>
      <c r="W146" s="3415"/>
      <c r="X146" s="3406"/>
      <c r="AZ146" s="1968"/>
      <c r="BA146" s="1706">
        <v>146</v>
      </c>
    </row>
    <row r="147" spans="1:53" s="144" customFormat="1" ht="12" customHeight="1">
      <c r="C147" s="246"/>
      <c r="H147" s="288"/>
      <c r="I147" s="288"/>
      <c r="V147" s="852"/>
      <c r="AZ147" s="1968"/>
      <c r="BA147" s="1706">
        <v>147</v>
      </c>
    </row>
    <row r="148" spans="1:53" s="144" customFormat="1" ht="14.1" customHeight="1">
      <c r="B148" s="391" t="s">
        <v>2488</v>
      </c>
      <c r="C148" s="389"/>
      <c r="D148" s="3384">
        <f>IF('Part V-Revenues &amp; Expenses'!$P$67=0,0,G146/'Part V-Revenues &amp; Expenses'!$P$67)</f>
        <v>120740.925</v>
      </c>
      <c r="E148" s="3384"/>
      <c r="F148" s="390" t="s">
        <v>2487</v>
      </c>
      <c r="G148" s="3385">
        <f>IF('Part V-Revenues &amp; Expenses'!$K$175=0,0,G146/'Part V-Revenues &amp; Expenses'!$K$175)</f>
        <v>161.8023049348387</v>
      </c>
      <c r="H148" s="3386"/>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64" t="s">
        <v>259</v>
      </c>
      <c r="K150" s="3365"/>
      <c r="M150" s="3364" t="s">
        <v>94</v>
      </c>
      <c r="N150" s="3365"/>
      <c r="P150" s="3364" t="s">
        <v>260</v>
      </c>
      <c r="Q150" s="3365"/>
      <c r="V150" s="852"/>
      <c r="W150" s="344" t="str">
        <f>B150</f>
        <v>TAX CREDIT CALCULATION - BASIS METHOD</v>
      </c>
      <c r="AZ150" s="1968"/>
      <c r="BA150" s="1706">
        <v>150</v>
      </c>
    </row>
    <row r="151" spans="1:53" s="144" customFormat="1" ht="15" customHeight="1" thickBot="1">
      <c r="B151" s="222" t="s">
        <v>1894</v>
      </c>
      <c r="D151" s="828"/>
      <c r="E151" s="828"/>
      <c r="I151" s="295"/>
      <c r="J151" s="3366"/>
      <c r="K151" s="3367"/>
      <c r="L151" s="375"/>
      <c r="M151" s="3366"/>
      <c r="N151" s="3367"/>
      <c r="P151" s="3366"/>
      <c r="Q151" s="3367"/>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368"/>
      <c r="K153" s="3369"/>
      <c r="P153" s="3368"/>
      <c r="Q153" s="3369"/>
      <c r="V153" s="849"/>
      <c r="W153" s="3401"/>
      <c r="X153" s="3402"/>
      <c r="AZ153" s="1968"/>
      <c r="BA153" s="1706">
        <v>153</v>
      </c>
    </row>
    <row r="154" spans="1:53" s="144" customFormat="1" ht="14.1" customHeight="1">
      <c r="B154" s="144" t="s">
        <v>1998</v>
      </c>
      <c r="I154" s="295"/>
      <c r="J154" s="3370"/>
      <c r="K154" s="3371"/>
      <c r="P154" s="3370"/>
      <c r="Q154" s="3371"/>
      <c r="V154" s="849"/>
      <c r="W154" s="3401"/>
      <c r="X154" s="3402"/>
      <c r="AZ154" s="1968"/>
      <c r="BA154" s="1706">
        <v>154</v>
      </c>
    </row>
    <row r="155" spans="1:53" s="144" customFormat="1" ht="14.1" customHeight="1">
      <c r="B155" s="144" t="s">
        <v>1727</v>
      </c>
      <c r="I155" s="295"/>
      <c r="J155" s="3370"/>
      <c r="K155" s="3371"/>
      <c r="P155" s="3370"/>
      <c r="Q155" s="3371"/>
      <c r="V155" s="849"/>
      <c r="W155" s="3401"/>
      <c r="X155" s="3402"/>
      <c r="AZ155" s="1968"/>
      <c r="BA155" s="1706">
        <v>155</v>
      </c>
    </row>
    <row r="156" spans="1:53" s="144" customFormat="1" ht="14.1" customHeight="1">
      <c r="B156" s="144" t="s">
        <v>1728</v>
      </c>
      <c r="I156" s="295"/>
      <c r="J156" s="3370"/>
      <c r="K156" s="3371"/>
      <c r="P156" s="3370"/>
      <c r="Q156" s="3371"/>
      <c r="V156" s="849"/>
      <c r="W156" s="3401"/>
      <c r="X156" s="3402"/>
      <c r="AZ156" s="1968"/>
      <c r="BA156" s="1706">
        <v>156</v>
      </c>
    </row>
    <row r="157" spans="1:53" s="144" customFormat="1" ht="14.1" customHeight="1">
      <c r="B157" s="144" t="s">
        <v>243</v>
      </c>
      <c r="I157" s="295"/>
      <c r="J157" s="3370"/>
      <c r="K157" s="3371"/>
      <c r="P157" s="3370"/>
      <c r="Q157" s="3371"/>
      <c r="V157" s="849"/>
      <c r="W157" s="3401"/>
      <c r="X157" s="3402"/>
      <c r="AZ157" s="1968"/>
      <c r="BA157" s="1706">
        <v>157</v>
      </c>
    </row>
    <row r="158" spans="1:53" s="144" customFormat="1" ht="14.1" customHeight="1" thickBot="1">
      <c r="B158" s="144" t="s">
        <v>1496</v>
      </c>
      <c r="C158" s="3355" t="s">
        <v>2224</v>
      </c>
      <c r="D158" s="3355"/>
      <c r="E158" s="3355"/>
      <c r="F158" s="3355"/>
      <c r="G158" s="3355"/>
      <c r="H158" s="3355"/>
      <c r="I158" s="3356"/>
      <c r="J158" s="3468"/>
      <c r="K158" s="3469"/>
      <c r="P158" s="3468"/>
      <c r="Q158" s="3469"/>
      <c r="V158" s="849"/>
      <c r="W158" s="3403"/>
      <c r="X158" s="3404"/>
      <c r="AZ158" s="1968"/>
      <c r="BA158" s="1706">
        <v>158</v>
      </c>
    </row>
    <row r="159" spans="1:53" s="144" customFormat="1" ht="14.1" customHeight="1" thickBot="1">
      <c r="B159" s="243" t="s">
        <v>1729</v>
      </c>
      <c r="C159" s="250"/>
      <c r="J159" s="3224">
        <f>SUM(J153:K158)</f>
        <v>0</v>
      </c>
      <c r="K159" s="3225"/>
      <c r="P159" s="3224">
        <f>SUM(P153:Q158)</f>
        <v>0</v>
      </c>
      <c r="Q159" s="3225"/>
      <c r="V159" s="851">
        <f>SUM(V153:V158)</f>
        <v>0</v>
      </c>
      <c r="W159" s="3405"/>
      <c r="X159" s="3406"/>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430">
        <f>J146</f>
        <v>0</v>
      </c>
      <c r="K162" s="3432"/>
      <c r="M162" s="3519">
        <f>M146</f>
        <v>1422170</v>
      </c>
      <c r="N162" s="3520"/>
      <c r="P162" s="3430">
        <f>P146</f>
        <v>2883051</v>
      </c>
      <c r="Q162" s="3432"/>
      <c r="R162" s="3390" t="s">
        <v>3774</v>
      </c>
      <c r="S162" s="3391"/>
      <c r="T162" s="3391"/>
      <c r="V162" s="849"/>
      <c r="W162" s="3401"/>
      <c r="X162" s="3402"/>
      <c r="AZ162" s="1968"/>
      <c r="BA162" s="1706">
        <v>162</v>
      </c>
    </row>
    <row r="163" spans="1:53" s="144" customFormat="1" ht="14.1" customHeight="1">
      <c r="B163" s="144" t="s">
        <v>2052</v>
      </c>
      <c r="J163" s="3433">
        <f>J159</f>
        <v>0</v>
      </c>
      <c r="K163" s="3435"/>
      <c r="M163" s="3443"/>
      <c r="N163" s="3443"/>
      <c r="P163" s="3433">
        <f>P159</f>
        <v>0</v>
      </c>
      <c r="Q163" s="3435"/>
      <c r="R163" s="3390"/>
      <c r="S163" s="3391"/>
      <c r="T163" s="3391"/>
      <c r="U163" s="1169"/>
      <c r="V163" s="849"/>
      <c r="W163" s="3401"/>
      <c r="X163" s="3402"/>
      <c r="AZ163" s="1968"/>
      <c r="BA163" s="1706">
        <v>163</v>
      </c>
    </row>
    <row r="164" spans="1:53" s="144" customFormat="1" ht="14.1" customHeight="1">
      <c r="B164" s="144" t="s">
        <v>2053</v>
      </c>
      <c r="J164" s="3433">
        <f>J162-J163</f>
        <v>0</v>
      </c>
      <c r="K164" s="3435"/>
      <c r="M164" s="3442">
        <f>M162</f>
        <v>1422170</v>
      </c>
      <c r="N164" s="3444"/>
      <c r="P164" s="3433">
        <f>P162-P163</f>
        <v>2883051</v>
      </c>
      <c r="Q164" s="3435"/>
      <c r="R164" s="3390"/>
      <c r="S164" s="3391"/>
      <c r="T164" s="3391"/>
      <c r="U164" s="1169"/>
      <c r="V164" s="849"/>
      <c r="W164" s="3401"/>
      <c r="X164" s="3402"/>
      <c r="AZ164" s="1968"/>
      <c r="BA164" s="1706">
        <v>164</v>
      </c>
    </row>
    <row r="165" spans="1:53" s="144" customFormat="1" ht="14.1" customHeight="1">
      <c r="B165" s="144" t="s">
        <v>1390</v>
      </c>
      <c r="G165" s="248" t="s">
        <v>1593</v>
      </c>
      <c r="H165" s="3449" t="s">
        <v>7064</v>
      </c>
      <c r="I165" s="3450"/>
      <c r="J165" s="3451"/>
      <c r="K165" s="3452"/>
      <c r="M165" s="3453"/>
      <c r="N165" s="3453"/>
      <c r="P165" s="3451">
        <v>1.3</v>
      </c>
      <c r="Q165" s="3452"/>
      <c r="R165" s="3392" t="s">
        <v>3204</v>
      </c>
      <c r="S165" s="3393"/>
      <c r="T165" s="3394"/>
      <c r="U165" s="1170"/>
      <c r="V165" s="849"/>
      <c r="W165" s="3401"/>
      <c r="X165" s="3402"/>
      <c r="AZ165" s="1968"/>
      <c r="BA165" s="1706">
        <v>165</v>
      </c>
    </row>
    <row r="166" spans="1:53" s="144" customFormat="1" ht="14.1" customHeight="1">
      <c r="B166" s="144" t="s">
        <v>1903</v>
      </c>
      <c r="J166" s="3433">
        <f>J164*J165</f>
        <v>0</v>
      </c>
      <c r="K166" s="3435"/>
      <c r="M166" s="3430">
        <f>+M164</f>
        <v>1422170</v>
      </c>
      <c r="N166" s="3432"/>
      <c r="P166" s="3433">
        <f>P164*P165</f>
        <v>3747966.3000000003</v>
      </c>
      <c r="Q166" s="3435"/>
      <c r="R166" s="3395"/>
      <c r="S166" s="3396"/>
      <c r="T166" s="3397"/>
      <c r="U166" s="1170"/>
      <c r="V166" s="849"/>
      <c r="W166" s="3401"/>
      <c r="X166" s="3402"/>
      <c r="AZ166" s="1968"/>
      <c r="BA166" s="1706">
        <v>166</v>
      </c>
    </row>
    <row r="167" spans="1:53" s="144" customFormat="1" ht="14.1" customHeight="1">
      <c r="B167" s="144" t="s">
        <v>2339</v>
      </c>
      <c r="J167" s="3454">
        <f>MIN('Part V-Revenues &amp; Expenses'!$P$63/'Part V-Revenues &amp; Expenses'!$P$65,'Part V-Revenues &amp; Expenses'!$P$164/'Part V-Revenues &amp; Expenses'!$P$166)</f>
        <v>1</v>
      </c>
      <c r="K167" s="3455"/>
      <c r="M167" s="3454">
        <f>MIN('Part V-Revenues &amp; Expenses'!$P$63/'Part V-Revenues &amp; Expenses'!$P$65,'Part V-Revenues &amp; Expenses'!$P$164/'Part V-Revenues &amp; Expenses'!$P$166)</f>
        <v>1</v>
      </c>
      <c r="N167" s="3455"/>
      <c r="P167" s="3454">
        <f>MIN('Part V-Revenues &amp; Expenses'!$P$63/'Part V-Revenues &amp; Expenses'!$P$65,'Part V-Revenues &amp; Expenses'!$P$164/'Part V-Revenues &amp; Expenses'!$P$166)</f>
        <v>1</v>
      </c>
      <c r="Q167" s="3455"/>
      <c r="R167" s="3398"/>
      <c r="S167" s="3399"/>
      <c r="T167" s="3400"/>
      <c r="V167" s="849"/>
      <c r="W167" s="3401"/>
      <c r="X167" s="3402"/>
      <c r="AZ167" s="1968"/>
      <c r="BA167" s="1706">
        <v>167</v>
      </c>
    </row>
    <row r="168" spans="1:53" s="144" customFormat="1" ht="14.1" customHeight="1">
      <c r="B168" s="144" t="s">
        <v>1895</v>
      </c>
      <c r="J168" s="3433">
        <f>J166*J167</f>
        <v>0</v>
      </c>
      <c r="K168" s="3435"/>
      <c r="M168" s="3433">
        <f>M166*M167</f>
        <v>1422170</v>
      </c>
      <c r="N168" s="3435"/>
      <c r="P168" s="3433">
        <f>P166*P167</f>
        <v>3747966.3000000003</v>
      </c>
      <c r="Q168" s="3435"/>
      <c r="V168" s="849"/>
      <c r="W168" s="3401"/>
      <c r="X168" s="3402"/>
      <c r="AZ168" s="1968"/>
      <c r="BA168" s="1706">
        <v>168</v>
      </c>
    </row>
    <row r="169" spans="1:53" s="144" customFormat="1" ht="14.1" customHeight="1">
      <c r="B169" s="144" t="s">
        <v>1896</v>
      </c>
      <c r="J169" s="3451"/>
      <c r="K169" s="3452"/>
      <c r="M169" s="3451">
        <v>0.04</v>
      </c>
      <c r="N169" s="3452"/>
      <c r="P169" s="3451">
        <v>0.04</v>
      </c>
      <c r="Q169" s="3452"/>
      <c r="V169" s="849"/>
      <c r="W169" s="3401"/>
      <c r="X169" s="3402"/>
      <c r="AZ169" s="1968"/>
      <c r="BA169" s="1706">
        <v>169</v>
      </c>
    </row>
    <row r="170" spans="1:53" s="144" customFormat="1" ht="14.1" customHeight="1" thickBot="1">
      <c r="B170" s="144" t="s">
        <v>2340</v>
      </c>
      <c r="J170" s="3456">
        <f>J168*J169</f>
        <v>0</v>
      </c>
      <c r="K170" s="3457"/>
      <c r="M170" s="3456">
        <f>M168*M169</f>
        <v>56886.8</v>
      </c>
      <c r="N170" s="3457"/>
      <c r="P170" s="3456">
        <f>P168*P169</f>
        <v>149918.652</v>
      </c>
      <c r="Q170" s="3457"/>
      <c r="V170" s="856"/>
      <c r="W170" s="3403"/>
      <c r="X170" s="3404"/>
      <c r="AZ170" s="1968"/>
      <c r="BA170" s="1706">
        <v>170</v>
      </c>
    </row>
    <row r="171" spans="1:53" s="144" customFormat="1" ht="14.1" customHeight="1" thickBot="1">
      <c r="B171" s="243" t="s">
        <v>1339</v>
      </c>
      <c r="J171" s="3224">
        <f>ROUNDDOWN(J170+M170+P170,0)</f>
        <v>206805</v>
      </c>
      <c r="K171" s="3422"/>
      <c r="L171" s="3422"/>
      <c r="M171" s="3422"/>
      <c r="N171" s="3422"/>
      <c r="O171" s="3422"/>
      <c r="P171" s="3422"/>
      <c r="Q171" s="3225"/>
      <c r="V171" s="851"/>
      <c r="W171" s="3407"/>
      <c r="X171" s="3408"/>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58"/>
      <c r="P174" s="3458"/>
      <c r="Q174" s="3458"/>
      <c r="R174" s="3458"/>
      <c r="S174" s="3458"/>
      <c r="T174" s="3458"/>
      <c r="U174" s="3458"/>
      <c r="V174" s="3458"/>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3935</v>
      </c>
      <c r="J176" s="3430">
        <f>G146</f>
        <v>4829637</v>
      </c>
      <c r="K176" s="3431"/>
      <c r="L176" s="3432"/>
      <c r="N176" s="3460" t="s">
        <v>6717</v>
      </c>
      <c r="O176" s="3461"/>
      <c r="P176" s="3461"/>
      <c r="Q176" s="3462"/>
      <c r="S176" s="3426" t="s">
        <v>3187</v>
      </c>
      <c r="T176" s="3427"/>
      <c r="V176" s="849"/>
      <c r="W176" s="3401"/>
      <c r="X176" s="3402"/>
      <c r="AZ176" s="1968"/>
      <c r="BA176" s="1706">
        <v>176</v>
      </c>
    </row>
    <row r="177" spans="1:53" s="144" customFormat="1" ht="14.1" customHeight="1">
      <c r="B177" s="144" t="s">
        <v>252</v>
      </c>
      <c r="J177" s="3433">
        <f>'Part II-Sources of Funds'!$I$60-'Part II-Sources of Funds'!$I$44-'Part II-Sources of Funds'!$I$45-'Part II-Sources of Funds'!$I$51-'Part II-Sources of Funds'!$I$52</f>
        <v>1942326</v>
      </c>
      <c r="K177" s="3434"/>
      <c r="L177" s="3435"/>
      <c r="M177" s="1970"/>
      <c r="N177" s="3463"/>
      <c r="O177" s="3391"/>
      <c r="P177" s="3391"/>
      <c r="Q177" s="3464"/>
      <c r="S177" s="3428"/>
      <c r="T177" s="3429"/>
      <c r="V177" s="849"/>
      <c r="W177" s="3401"/>
      <c r="X177" s="3402"/>
      <c r="AZ177" s="1968"/>
      <c r="BA177" s="1706">
        <v>177</v>
      </c>
    </row>
    <row r="178" spans="1:53" s="144" customFormat="1" ht="14.1" customHeight="1">
      <c r="B178" s="144" t="s">
        <v>2064</v>
      </c>
      <c r="J178" s="3436">
        <f>+J176-J177</f>
        <v>2887311</v>
      </c>
      <c r="K178" s="3437"/>
      <c r="L178" s="3438"/>
      <c r="M178" s="1970"/>
      <c r="N178" s="3465"/>
      <c r="O178" s="3466"/>
      <c r="P178" s="3466"/>
      <c r="Q178" s="3467"/>
      <c r="S178" s="3428"/>
      <c r="T178" s="3429"/>
      <c r="V178" s="849"/>
      <c r="W178" s="3401"/>
      <c r="X178" s="3402"/>
      <c r="AZ178" s="1968"/>
      <c r="BA178" s="1706">
        <v>178</v>
      </c>
    </row>
    <row r="179" spans="1:53" s="144" customFormat="1" ht="14.1" customHeight="1" thickBot="1">
      <c r="B179" s="144" t="s">
        <v>1209</v>
      </c>
      <c r="J179" s="3249" t="str">
        <f>"/ 10"</f>
        <v>/ 10</v>
      </c>
      <c r="K179" s="3249"/>
      <c r="L179" s="3249"/>
      <c r="M179" s="223"/>
      <c r="N179" s="3439">
        <f>'Part II-Sources of Funds'!$I$44</f>
        <v>0</v>
      </c>
      <c r="O179" s="3440"/>
      <c r="P179" s="3440"/>
      <c r="Q179" s="3441"/>
      <c r="S179" s="329" t="s">
        <v>1548</v>
      </c>
      <c r="T179" s="330"/>
      <c r="V179" s="849"/>
      <c r="W179" s="3401"/>
      <c r="X179" s="3402"/>
      <c r="AZ179" s="1968"/>
      <c r="BA179" s="1706">
        <v>179</v>
      </c>
    </row>
    <row r="180" spans="1:53" s="144" customFormat="1" ht="14.1" customHeight="1">
      <c r="B180" s="144" t="s">
        <v>1210</v>
      </c>
      <c r="J180" s="3442">
        <f>J178/10</f>
        <v>288731.09999999998</v>
      </c>
      <c r="K180" s="3443"/>
      <c r="L180" s="3444"/>
      <c r="N180" s="369"/>
      <c r="O180" s="369"/>
      <c r="P180" s="369"/>
      <c r="Q180" s="369"/>
      <c r="R180" s="369"/>
      <c r="V180" s="849"/>
      <c r="W180" s="3401"/>
      <c r="X180" s="3402"/>
      <c r="AZ180" s="1968"/>
      <c r="BA180" s="1706">
        <v>180</v>
      </c>
    </row>
    <row r="181" spans="1:53" s="144" customFormat="1" ht="14.1" customHeight="1">
      <c r="M181" s="145"/>
      <c r="N181" s="3263" t="s">
        <v>1211</v>
      </c>
      <c r="O181" s="3263"/>
      <c r="Q181" s="3263" t="s">
        <v>1671</v>
      </c>
      <c r="R181" s="3263"/>
      <c r="V181" s="849"/>
      <c r="W181" s="3401"/>
      <c r="X181" s="3402"/>
      <c r="Z181" s="1819" t="s">
        <v>1646</v>
      </c>
      <c r="AZ181" s="1968"/>
      <c r="BA181" s="1706">
        <v>181</v>
      </c>
    </row>
    <row r="182" spans="1:53" s="144" customFormat="1" ht="14.1" customHeight="1" thickBot="1">
      <c r="B182" s="144" t="s">
        <v>1389</v>
      </c>
      <c r="J182" s="3417">
        <f>N182+Q182</f>
        <v>1.3790232900000001</v>
      </c>
      <c r="K182" s="3418"/>
      <c r="L182" s="3419"/>
      <c r="M182" s="248" t="s">
        <v>1212</v>
      </c>
      <c r="N182" s="3420">
        <v>0.76702329000000002</v>
      </c>
      <c r="O182" s="3421"/>
      <c r="P182" s="248" t="s">
        <v>570</v>
      </c>
      <c r="Q182" s="3420">
        <v>0.61199999999999999</v>
      </c>
      <c r="R182" s="3421"/>
      <c r="V182" s="849"/>
      <c r="W182" s="3401"/>
      <c r="X182" s="3402"/>
      <c r="Z182" s="1820">
        <f>'DCA Underwriting Assumptions'!Q114</f>
        <v>1105000</v>
      </c>
      <c r="AZ182" s="1968"/>
      <c r="BA182" s="1706">
        <v>182</v>
      </c>
    </row>
    <row r="183" spans="1:53" s="144" customFormat="1" ht="14.1" customHeight="1" thickBot="1">
      <c r="B183" s="243" t="s">
        <v>1340</v>
      </c>
      <c r="J183" s="3224">
        <f>ROUNDDOWN(IF(J182=0,"",J180/J182),0)</f>
        <v>209373</v>
      </c>
      <c r="K183" s="3422"/>
      <c r="L183" s="3225"/>
      <c r="M183" s="145"/>
      <c r="V183" s="849"/>
      <c r="W183" s="3401"/>
      <c r="X183" s="3402"/>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3934</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6716</v>
      </c>
      <c r="J187" s="3423">
        <v>206805</v>
      </c>
      <c r="K187" s="3424"/>
      <c r="L187" s="3425"/>
      <c r="Q187" s="147" t="s">
        <v>6248</v>
      </c>
      <c r="R187" s="147"/>
      <c r="S187" s="3517" t="str">
        <f>'Part VIII Scoring Criteria'!$J$36</f>
        <v>Rural</v>
      </c>
      <c r="T187" s="3518"/>
      <c r="U187" s="1622" t="str">
        <f>IF(OR(S187="Atlanta Metro", "Other Metro"), "Metro", IF(S187="Rural","Rural",""))</f>
        <v>Rural</v>
      </c>
      <c r="V187" s="849"/>
      <c r="W187" s="3401"/>
      <c r="X187" s="3402"/>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4074</v>
      </c>
      <c r="J189" s="3423">
        <v>206805</v>
      </c>
      <c r="K189" s="3424"/>
      <c r="L189" s="3425"/>
      <c r="M189" s="3459" t="str">
        <f>IF(J187=0,"",IF(J189&gt;J187,"Request can't exceed Maximum - REVISE (Try Round Down)!",""))</f>
        <v/>
      </c>
      <c r="N189" s="3459"/>
      <c r="O189" s="3459"/>
      <c r="P189" s="3459"/>
      <c r="Q189" s="241" t="s">
        <v>6544</v>
      </c>
      <c r="R189" s="147"/>
      <c r="S189" s="3517" t="str">
        <f>'Part VIII Scoring Criteria'!$F$36</f>
        <v>Preservation</v>
      </c>
      <c r="T189" s="3518"/>
      <c r="V189" s="849"/>
      <c r="W189" s="3401"/>
      <c r="X189" s="3402"/>
      <c r="AZ189" s="744"/>
      <c r="BA189" s="1706">
        <v>189</v>
      </c>
    </row>
    <row r="190" spans="1:53" s="144" customFormat="1" ht="3" customHeight="1">
      <c r="J190" s="298"/>
      <c r="K190" s="298"/>
      <c r="L190" s="298"/>
      <c r="M190" s="3459"/>
      <c r="N190" s="3459"/>
      <c r="O190" s="3459"/>
      <c r="P190" s="3459"/>
      <c r="Q190" s="147"/>
      <c r="R190" s="147"/>
      <c r="S190" s="241"/>
      <c r="T190" s="241"/>
      <c r="V190" s="852"/>
      <c r="W190" s="847"/>
      <c r="X190" s="848"/>
      <c r="AZ190" s="744"/>
      <c r="BA190" s="1706">
        <v>190</v>
      </c>
    </row>
    <row r="191" spans="1:53" s="144" customFormat="1" ht="16.350000000000001" customHeight="1">
      <c r="A191" s="344"/>
      <c r="B191" s="344" t="s">
        <v>4075</v>
      </c>
      <c r="D191" s="145"/>
      <c r="E191" s="145"/>
      <c r="F191" s="246"/>
      <c r="J191" s="3445">
        <f>IF(J189="",0,+MIN(J187,J189))</f>
        <v>206805</v>
      </c>
      <c r="K191" s="3446"/>
      <c r="L191" s="3447"/>
      <c r="M191" s="3459"/>
      <c r="N191" s="3459"/>
      <c r="O191" s="3459"/>
      <c r="P191" s="3459"/>
      <c r="Q191" s="236" t="s">
        <v>3926</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401"/>
      <c r="X191" s="3402"/>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204" t="s">
        <v>3228</v>
      </c>
      <c r="B195" s="3204"/>
      <c r="C195" s="3204"/>
      <c r="D195" s="3204"/>
      <c r="E195" s="3204"/>
      <c r="F195" s="3204"/>
      <c r="G195" s="3204"/>
      <c r="H195" s="3204"/>
      <c r="I195" s="3204"/>
      <c r="J195" s="3204"/>
      <c r="K195" s="3204"/>
      <c r="L195" s="3204"/>
      <c r="M195" s="3204"/>
      <c r="N195" s="3448"/>
      <c r="O195" s="3448"/>
      <c r="P195" s="3448"/>
      <c r="Q195" s="3448"/>
      <c r="R195" s="3448"/>
      <c r="S195" s="3448"/>
      <c r="T195" s="3448"/>
      <c r="V195" s="752"/>
      <c r="W195" s="3202" t="s">
        <v>2452</v>
      </c>
      <c r="X195" s="3202"/>
      <c r="AZ195" s="1968"/>
      <c r="BA195" s="1706">
        <v>195</v>
      </c>
    </row>
    <row r="196" spans="1:53" ht="11.25" customHeight="1">
      <c r="AZ196" s="1968"/>
      <c r="BA196" s="1745"/>
    </row>
    <row r="197" spans="1:53" ht="12" customHeight="1">
      <c r="BA197" s="1745"/>
    </row>
    <row r="198" spans="1:53" ht="12" customHeight="1">
      <c r="AZ198" s="1968"/>
    </row>
    <row r="199" spans="1:53" ht="14.7" customHeight="1">
      <c r="BA199" s="1745"/>
    </row>
    <row r="200" spans="1:53" s="144" customFormat="1" ht="14.7" customHeight="1">
      <c r="AZ200" s="1968"/>
      <c r="BA200" s="1739"/>
    </row>
    <row r="201" spans="1:53" s="144" customFormat="1" ht="14.7" customHeight="1">
      <c r="AZ201" s="1968"/>
      <c r="BA201" s="1745"/>
    </row>
    <row r="202" spans="1:53" s="144" customFormat="1" ht="14.7" customHeight="1">
      <c r="AZ202" s="1968"/>
      <c r="BA202" s="1745"/>
    </row>
    <row r="203" spans="1:53" ht="14.7" customHeight="1">
      <c r="AZ203" s="1968"/>
      <c r="BA203" s="1745"/>
    </row>
    <row r="204" spans="1:53" s="144" customFormat="1" ht="14.7" customHeight="1">
      <c r="A204" s="222"/>
      <c r="AZ204" s="1968"/>
      <c r="BA204" s="1745"/>
    </row>
    <row r="205" spans="1:53" ht="14.7" customHeight="1">
      <c r="AZ205" s="1968"/>
      <c r="BA205" s="1745"/>
    </row>
    <row r="206" spans="1:53" s="144" customFormat="1" ht="14.7" customHeight="1">
      <c r="AZ206" s="1968"/>
      <c r="BA206" s="1745"/>
    </row>
    <row r="207" spans="1:53" s="144" customFormat="1" ht="14.7" customHeight="1">
      <c r="A207" s="222"/>
      <c r="AZ207" s="1968"/>
      <c r="BA207" s="1745"/>
    </row>
    <row r="208" spans="1:53" s="144" customFormat="1" ht="14.7" customHeight="1">
      <c r="A208" s="375"/>
      <c r="AZ208" s="1968"/>
      <c r="BA208" s="1745"/>
    </row>
    <row r="209" spans="1:53" s="144" customFormat="1" ht="14.7" customHeight="1">
      <c r="AZ209" s="744"/>
      <c r="BA209" s="1745"/>
    </row>
    <row r="210" spans="1:53" s="144" customFormat="1" ht="14.7" customHeight="1">
      <c r="A210" s="260"/>
      <c r="AZ210" s="744"/>
      <c r="BA210" s="1739"/>
    </row>
    <row r="211" spans="1:53" s="144" customFormat="1" ht="14.7" customHeight="1">
      <c r="A211" s="260"/>
      <c r="AZ211" s="744"/>
      <c r="BA211" s="1739"/>
    </row>
    <row r="212" spans="1:53" s="144" customFormat="1" ht="14.7" customHeight="1">
      <c r="A212" s="260"/>
      <c r="AZ212" s="744"/>
      <c r="BA212" s="1739"/>
    </row>
    <row r="213" spans="1:53" s="144" customFormat="1" ht="14.7" customHeight="1">
      <c r="AZ213" s="744"/>
      <c r="BA213" s="1739"/>
    </row>
    <row r="214" spans="1:53" s="144" customFormat="1" ht="14.7" customHeight="1">
      <c r="AZ214" s="744"/>
      <c r="BA214" s="1739"/>
    </row>
    <row r="215" spans="1:53" ht="14.7" customHeight="1"/>
    <row r="216" spans="1:53" ht="14.7" customHeight="1"/>
    <row r="217" spans="1:53" ht="14.7" customHeight="1">
      <c r="AZ217" s="1968"/>
    </row>
    <row r="218" spans="1:53" ht="14.7" customHeight="1">
      <c r="BA218" s="1745"/>
    </row>
    <row r="219" spans="1:53" ht="14.7" customHeight="1"/>
    <row r="220" spans="1:53" ht="14.7" customHeight="1"/>
    <row r="221" spans="1:53" ht="14.7" customHeight="1"/>
    <row r="222" spans="1:53" ht="14.7" customHeight="1"/>
    <row r="223" spans="1:53" s="144" customFormat="1" ht="14.7" customHeight="1">
      <c r="AZ223" s="744"/>
      <c r="BA223" s="1739"/>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680"/>
      <c r="L237" s="144"/>
    </row>
    <row r="238" spans="11:12" ht="14.7"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3T25klE/PC9pMfgdROYrJvi06k0HBjOn+Ad2DHgc3ovKQK4/t1zxzifjO502sYpbTaLBXIiUjngRZzhNyjhrRA==" saltValue="YXBHFXWSEBN7ktI9lAZwag=="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71" sqref="H71:H75"/>
    </sheetView>
  </sheetViews>
  <sheetFormatPr defaultColWidth="9.33203125" defaultRowHeight="13.2"/>
  <cols>
    <col min="1" max="1" width="7.33203125" style="432" customWidth="1"/>
    <col min="2" max="2" width="12.6640625" style="432" customWidth="1"/>
    <col min="3" max="3" width="7.6640625" style="432" customWidth="1"/>
    <col min="4" max="4" width="12.6640625" style="432" customWidth="1"/>
    <col min="5" max="5" width="0.6640625" style="432" customWidth="1"/>
    <col min="6" max="6" width="46.6640625" style="432" customWidth="1"/>
    <col min="7" max="7" width="0.6640625" style="432" customWidth="1"/>
    <col min="8" max="8" width="46.6640625" style="432" customWidth="1"/>
    <col min="9" max="16384" width="9.33203125" style="432"/>
  </cols>
  <sheetData>
    <row r="1" spans="1:14" ht="15.6">
      <c r="A1" s="3537" t="str">
        <f>CONCATENATE("PART THREE (B) -  OTHER COSTS","  -  ",'Part I-Project Identification'!$O$7," - ",'Part I-Project Identification'!$F$25,"  -  ",'Part I-Project Identification'!$F$26,"  -  ",'Part I-Project Identification'!$J$26,",  ","County")</f>
        <v>PART THREE (B) -  OTHER COSTS  -  2023-5 - Brightwood Lane Apartments  -  Washington  -  Wilkes,  County</v>
      </c>
      <c r="B1" s="3538"/>
      <c r="C1" s="3538"/>
      <c r="D1" s="3538"/>
      <c r="E1" s="3538"/>
      <c r="F1" s="3538"/>
      <c r="G1" s="3538"/>
      <c r="H1" s="3538"/>
      <c r="I1" s="722"/>
      <c r="J1" s="722"/>
      <c r="K1" s="722"/>
      <c r="L1" s="722"/>
      <c r="M1" s="722"/>
      <c r="N1" s="722"/>
    </row>
    <row r="2" spans="1:14" ht="9" customHeight="1"/>
    <row r="3" spans="1:14" ht="57" customHeight="1">
      <c r="A3" s="3539" t="s">
        <v>3214</v>
      </c>
      <c r="B3" s="3540"/>
      <c r="C3" s="3540"/>
      <c r="D3" s="3540"/>
      <c r="E3" s="3540"/>
      <c r="F3" s="3540"/>
      <c r="G3" s="3540"/>
      <c r="H3" s="3541"/>
    </row>
    <row r="4" spans="1:14" ht="6" customHeight="1"/>
    <row r="5" spans="1:14" ht="38.25" customHeight="1">
      <c r="A5" s="3542" t="s">
        <v>3277</v>
      </c>
      <c r="B5" s="3542"/>
      <c r="C5" s="3542"/>
      <c r="D5" s="3542"/>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33" t="str">
        <f>'Part III-A-Uses of Funds'!$C$15</f>
        <v>Physical Needs Assessment</v>
      </c>
      <c r="B9" s="3534"/>
      <c r="C9" s="3534"/>
      <c r="D9" s="3535"/>
      <c r="F9" s="3536" t="s">
        <v>7065</v>
      </c>
      <c r="G9" s="726"/>
      <c r="H9" s="3536" t="s">
        <v>7066</v>
      </c>
    </row>
    <row r="10" spans="1:14" s="725" customFormat="1" ht="41.25" customHeight="1">
      <c r="A10" s="3524"/>
      <c r="B10" s="3525"/>
      <c r="C10" s="3525"/>
      <c r="D10" s="3526"/>
      <c r="F10" s="3531"/>
      <c r="G10" s="726"/>
      <c r="H10" s="3531"/>
    </row>
    <row r="11" spans="1:14" s="725" customFormat="1" ht="4.5" customHeight="1">
      <c r="F11" s="3531"/>
      <c r="G11" s="726"/>
      <c r="H11" s="3531"/>
    </row>
    <row r="12" spans="1:14" s="725" customFormat="1" ht="15" customHeight="1">
      <c r="A12" s="735" t="s">
        <v>3209</v>
      </c>
      <c r="B12" s="734">
        <f>'Part III-A-Uses of Funds'!$G$15</f>
        <v>5400</v>
      </c>
      <c r="C12" s="735" t="s">
        <v>1665</v>
      </c>
      <c r="D12" s="734">
        <f>'Part III-A-Uses of Funds'!$J$15+'Part III-A-Uses of Funds'!$M$15+'Part III-A-Uses of Funds'!$P$15</f>
        <v>5400</v>
      </c>
      <c r="F12" s="3531"/>
      <c r="G12" s="726"/>
      <c r="H12" s="3531"/>
    </row>
    <row r="13" spans="1:14" s="725" customFormat="1" ht="6" customHeight="1">
      <c r="A13" s="726"/>
      <c r="B13" s="727"/>
      <c r="C13" s="726"/>
      <c r="D13" s="726"/>
      <c r="F13" s="3531"/>
      <c r="G13" s="728"/>
      <c r="H13" s="3531"/>
    </row>
    <row r="14" spans="1:14" s="725" customFormat="1" ht="41.25" customHeight="1">
      <c r="A14" s="3533" t="str">
        <f>'Part III-A-Uses of Funds'!$C$16</f>
        <v>&lt;&lt; Enter description here; provide detail &amp; justification in tab Part III-b &gt;&gt;</v>
      </c>
      <c r="B14" s="3534"/>
      <c r="C14" s="3534"/>
      <c r="D14" s="3535"/>
      <c r="F14" s="3531"/>
      <c r="G14" s="726"/>
      <c r="H14" s="3531"/>
    </row>
    <row r="15" spans="1:14" s="725" customFormat="1" ht="41.25" customHeight="1">
      <c r="A15" s="3524"/>
      <c r="B15" s="3525"/>
      <c r="C15" s="3525"/>
      <c r="D15" s="3526"/>
      <c r="F15" s="3531"/>
      <c r="G15" s="726"/>
      <c r="H15" s="3531"/>
    </row>
    <row r="16" spans="1:14" s="725" customFormat="1" ht="4.5" customHeight="1">
      <c r="F16" s="3531"/>
      <c r="G16" s="726"/>
      <c r="H16" s="3531"/>
    </row>
    <row r="17" spans="1:8" s="725" customFormat="1" ht="15" customHeight="1">
      <c r="A17" s="735" t="s">
        <v>3209</v>
      </c>
      <c r="B17" s="734">
        <f>'Part III-A-Uses of Funds'!$G$16</f>
        <v>0</v>
      </c>
      <c r="C17" s="735" t="s">
        <v>1665</v>
      </c>
      <c r="D17" s="734">
        <f>'Part III-A-Uses of Funds'!$J$16+'Part III-A-Uses of Funds'!$M$16+'Part III-A-Uses of Funds'!$P$16</f>
        <v>0</v>
      </c>
      <c r="F17" s="3531"/>
      <c r="G17" s="726"/>
      <c r="H17" s="3531"/>
    </row>
    <row r="18" spans="1:8" s="725" customFormat="1" ht="6" customHeight="1">
      <c r="A18" s="726"/>
      <c r="B18" s="727"/>
      <c r="C18" s="726"/>
      <c r="D18" s="726"/>
      <c r="F18" s="3531"/>
      <c r="G18" s="728"/>
      <c r="H18" s="3531"/>
    </row>
    <row r="19" spans="1:8" s="725" customFormat="1" ht="41.25" customHeight="1">
      <c r="A19" s="3533" t="str">
        <f>'Part III-A-Uses of Funds'!$C$17</f>
        <v>&lt;&lt; Enter description here; provide detail &amp; justification in tab Part III-b &gt;&gt;</v>
      </c>
      <c r="B19" s="3534"/>
      <c r="C19" s="3534"/>
      <c r="D19" s="3535"/>
      <c r="F19" s="3531"/>
      <c r="G19" s="726"/>
      <c r="H19" s="3531"/>
    </row>
    <row r="20" spans="1:8" s="725" customFormat="1" ht="41.25" customHeight="1">
      <c r="A20" s="3524"/>
      <c r="B20" s="3525"/>
      <c r="C20" s="3525"/>
      <c r="D20" s="3526"/>
      <c r="F20" s="3531"/>
      <c r="G20" s="726"/>
      <c r="H20" s="3531"/>
    </row>
    <row r="21" spans="1:8" s="725" customFormat="1" ht="4.5" customHeight="1">
      <c r="F21" s="3531"/>
      <c r="G21" s="726"/>
      <c r="H21" s="3531"/>
    </row>
    <row r="22" spans="1:8" s="725" customFormat="1" ht="15" customHeight="1">
      <c r="A22" s="735" t="s">
        <v>3209</v>
      </c>
      <c r="B22" s="734">
        <f>'Part III-A-Uses of Funds'!$G$17</f>
        <v>0</v>
      </c>
      <c r="C22" s="735" t="s">
        <v>1665</v>
      </c>
      <c r="D22" s="734">
        <f>'Part III-A-Uses of Funds'!$J$17+'Part III-A-Uses of Funds'!$M$17+'Part III-A-Uses of Funds'!$P$17</f>
        <v>0</v>
      </c>
      <c r="F22" s="3531"/>
      <c r="G22" s="726"/>
      <c r="H22" s="3531"/>
    </row>
    <row r="23" spans="1:8" s="725" customFormat="1" ht="6" customHeight="1">
      <c r="A23" s="726"/>
      <c r="B23" s="727"/>
      <c r="C23" s="726"/>
      <c r="D23" s="726"/>
      <c r="F23" s="3532"/>
      <c r="G23" s="728"/>
      <c r="H23" s="3532"/>
    </row>
    <row r="24" spans="1:8" s="725" customFormat="1">
      <c r="A24" s="736" t="s">
        <v>3208</v>
      </c>
      <c r="B24" s="726"/>
      <c r="C24" s="726"/>
      <c r="D24" s="726"/>
      <c r="E24" s="726"/>
      <c r="F24" s="726"/>
      <c r="G24" s="726"/>
    </row>
    <row r="25" spans="1:8" s="725" customFormat="1" ht="41.25" customHeight="1">
      <c r="A25" s="3533" t="str">
        <f>'Part III-A-Uses of Funds'!$C$46</f>
        <v>&lt;&lt; Enter description here; provide detail &amp; justification in tab Part III-b &gt;&gt;</v>
      </c>
      <c r="B25" s="3534"/>
      <c r="C25" s="3534"/>
      <c r="D25" s="3535"/>
      <c r="E25" s="726"/>
      <c r="F25" s="3527"/>
      <c r="G25" s="726"/>
      <c r="H25" s="3527"/>
    </row>
    <row r="26" spans="1:8" s="725" customFormat="1" ht="41.25" customHeight="1">
      <c r="A26" s="3524"/>
      <c r="B26" s="3525"/>
      <c r="C26" s="3525"/>
      <c r="D26" s="3526"/>
      <c r="E26" s="726"/>
      <c r="F26" s="3528"/>
      <c r="G26" s="726"/>
      <c r="H26" s="3528"/>
    </row>
    <row r="27" spans="1:8" s="725" customFormat="1" ht="4.5" customHeight="1">
      <c r="A27" s="726"/>
      <c r="B27" s="726"/>
      <c r="C27" s="726"/>
      <c r="D27" s="726"/>
      <c r="E27" s="726"/>
      <c r="F27" s="3528"/>
      <c r="G27" s="726"/>
      <c r="H27" s="3528"/>
    </row>
    <row r="28" spans="1:8" s="725" customFormat="1" ht="10.199999999999999">
      <c r="A28" s="735" t="s">
        <v>3209</v>
      </c>
      <c r="B28" s="734">
        <f>'Part III-A-Uses of Funds'!$G$46</f>
        <v>0</v>
      </c>
      <c r="C28" s="735" t="s">
        <v>1665</v>
      </c>
      <c r="D28" s="734">
        <f>'Part III-A-Uses of Funds'!$J$46+'Part III-A-Uses of Funds'!$M$46+'Part III-A-Uses of Funds'!$P$46</f>
        <v>0</v>
      </c>
      <c r="E28" s="726"/>
      <c r="F28" s="3528"/>
      <c r="G28" s="726"/>
      <c r="H28" s="3528"/>
    </row>
    <row r="29" spans="1:8" s="725" customFormat="1" ht="6" customHeight="1">
      <c r="A29" s="726"/>
      <c r="B29" s="727"/>
      <c r="C29" s="726"/>
      <c r="D29" s="726"/>
      <c r="E29" s="726"/>
      <c r="F29" s="3529"/>
      <c r="G29" s="728"/>
      <c r="H29" s="3529"/>
    </row>
    <row r="30" spans="1:8" s="725" customFormat="1">
      <c r="A30" s="736" t="s">
        <v>675</v>
      </c>
      <c r="B30" s="726"/>
      <c r="C30" s="726"/>
      <c r="D30" s="726"/>
      <c r="E30" s="726"/>
      <c r="F30" s="726"/>
      <c r="G30" s="726"/>
    </row>
    <row r="31" spans="1:8" s="725" customFormat="1" ht="41.25" customHeight="1">
      <c r="A31" s="3521" t="str">
        <f>'Part III-A-Uses of Funds'!$C$71</f>
        <v>Tax-Exempt Bond Interest</v>
      </c>
      <c r="B31" s="3522"/>
      <c r="C31" s="3522"/>
      <c r="D31" s="3523"/>
      <c r="E31" s="726"/>
      <c r="F31" s="3536" t="s">
        <v>7067</v>
      </c>
      <c r="G31" s="726"/>
      <c r="H31" s="3536" t="s">
        <v>7068</v>
      </c>
    </row>
    <row r="32" spans="1:8" s="725" customFormat="1" ht="41.25" customHeight="1">
      <c r="A32" s="3524"/>
      <c r="B32" s="3525"/>
      <c r="C32" s="3525"/>
      <c r="D32" s="3526"/>
      <c r="E32" s="726"/>
      <c r="F32" s="3531"/>
      <c r="G32" s="726"/>
      <c r="H32" s="3531"/>
    </row>
    <row r="33" spans="1:8" s="725" customFormat="1" ht="4.5" customHeight="1">
      <c r="A33" s="726"/>
      <c r="B33" s="726"/>
      <c r="C33" s="726"/>
      <c r="D33" s="726"/>
      <c r="E33" s="726"/>
      <c r="F33" s="3531"/>
      <c r="G33" s="726"/>
      <c r="H33" s="3531"/>
    </row>
    <row r="34" spans="1:8" s="725" customFormat="1" ht="14.25" customHeight="1">
      <c r="A34" s="735" t="s">
        <v>3209</v>
      </c>
      <c r="B34" s="734">
        <f>'Part III-A-Uses of Funds'!$G$71</f>
        <v>150428</v>
      </c>
      <c r="C34" s="735" t="s">
        <v>1665</v>
      </c>
      <c r="D34" s="734">
        <f>'Part III-A-Uses of Funds'!$J$71+'Part III-A-Uses of Funds'!$M$71+'Part III-A-Uses of Funds'!$P$71</f>
        <v>66188</v>
      </c>
      <c r="E34" s="726"/>
      <c r="F34" s="3531"/>
      <c r="G34" s="726"/>
      <c r="H34" s="3531"/>
    </row>
    <row r="35" spans="1:8" s="725" customFormat="1" ht="6" customHeight="1">
      <c r="D35" s="726"/>
      <c r="E35" s="726"/>
      <c r="F35" s="3531"/>
      <c r="G35" s="728"/>
      <c r="H35" s="3531"/>
    </row>
    <row r="36" spans="1:8" s="725" customFormat="1" ht="41.25" customHeight="1">
      <c r="A36" s="3521" t="str">
        <f>'Part III-A-Uses of Funds'!$C$72</f>
        <v>RD 538 Loan Interest</v>
      </c>
      <c r="B36" s="3522"/>
      <c r="C36" s="3522"/>
      <c r="D36" s="3523"/>
      <c r="E36" s="726"/>
      <c r="F36" s="3531" t="s">
        <v>7069</v>
      </c>
      <c r="G36" s="726"/>
      <c r="H36" s="3531" t="s">
        <v>7070</v>
      </c>
    </row>
    <row r="37" spans="1:8" s="725" customFormat="1" ht="41.25" customHeight="1">
      <c r="A37" s="3524"/>
      <c r="B37" s="3525"/>
      <c r="C37" s="3525"/>
      <c r="D37" s="3526"/>
      <c r="E37" s="726"/>
      <c r="F37" s="3531"/>
      <c r="G37" s="726"/>
      <c r="H37" s="3531"/>
    </row>
    <row r="38" spans="1:8" s="725" customFormat="1" ht="4.5" customHeight="1">
      <c r="A38" s="726"/>
      <c r="B38" s="726"/>
      <c r="C38" s="726"/>
      <c r="D38" s="726"/>
      <c r="E38" s="726"/>
      <c r="F38" s="3531"/>
      <c r="G38" s="726"/>
      <c r="H38" s="3531"/>
    </row>
    <row r="39" spans="1:8" s="725" customFormat="1" ht="14.25" customHeight="1">
      <c r="A39" s="735" t="s">
        <v>3209</v>
      </c>
      <c r="B39" s="734">
        <f>'Part III-A-Uses of Funds'!$G$72</f>
        <v>38793</v>
      </c>
      <c r="C39" s="735" t="s">
        <v>1665</v>
      </c>
      <c r="D39" s="734">
        <f>'Part III-A-Uses of Funds'!$J$72+'Part III-A-Uses of Funds'!$M$72+'Part III-A-Uses of Funds'!$P$72</f>
        <v>22131</v>
      </c>
      <c r="E39" s="726"/>
      <c r="F39" s="3531"/>
      <c r="G39" s="726"/>
      <c r="H39" s="3531"/>
    </row>
    <row r="40" spans="1:8" s="725" customFormat="1" ht="6" customHeight="1">
      <c r="D40" s="726"/>
      <c r="E40" s="726"/>
      <c r="F40" s="3532"/>
      <c r="G40" s="728"/>
      <c r="H40" s="3532"/>
    </row>
    <row r="41" spans="1:8" s="725" customFormat="1">
      <c r="A41" s="736" t="s">
        <v>449</v>
      </c>
      <c r="B41" s="726"/>
      <c r="C41" s="726"/>
      <c r="D41" s="726"/>
      <c r="E41" s="730"/>
      <c r="F41" s="730"/>
      <c r="G41" s="726"/>
    </row>
    <row r="42" spans="1:8" s="725" customFormat="1" ht="41.25" customHeight="1">
      <c r="A42" s="3521" t="str">
        <f>'Part III-A-Uses of Funds'!$C$85</f>
        <v>&lt;&lt; Enter description here; provide detail &amp; justification in tab Part III-b &gt;&gt;</v>
      </c>
      <c r="B42" s="3522"/>
      <c r="C42" s="3522"/>
      <c r="D42" s="3523"/>
      <c r="F42" s="3527" t="s">
        <v>7071</v>
      </c>
      <c r="G42" s="726"/>
      <c r="H42" s="3527" t="s">
        <v>7072</v>
      </c>
    </row>
    <row r="43" spans="1:8" s="725" customFormat="1" ht="41.25" customHeight="1">
      <c r="A43" s="3524"/>
      <c r="B43" s="3525"/>
      <c r="C43" s="3525"/>
      <c r="D43" s="3526"/>
      <c r="E43" s="726"/>
      <c r="F43" s="3528"/>
      <c r="G43" s="726"/>
      <c r="H43" s="3528"/>
    </row>
    <row r="44" spans="1:8" s="725" customFormat="1" ht="4.5" customHeight="1">
      <c r="A44" s="726"/>
      <c r="B44" s="726"/>
      <c r="C44" s="726"/>
      <c r="D44" s="726"/>
      <c r="E44" s="726"/>
      <c r="F44" s="3528"/>
      <c r="G44" s="726"/>
      <c r="H44" s="3528"/>
    </row>
    <row r="45" spans="1:8" s="725" customFormat="1" ht="13.5" customHeight="1">
      <c r="A45" s="735" t="s">
        <v>3209</v>
      </c>
      <c r="B45" s="734">
        <f>'Part III-A-Uses of Funds'!$G$85</f>
        <v>1500</v>
      </c>
      <c r="C45" s="735" t="s">
        <v>1665</v>
      </c>
      <c r="D45" s="734">
        <f>'Part III-A-Uses of Funds'!$J$85+'Part III-A-Uses of Funds'!$M$85+'Part III-A-Uses of Funds'!$P$85</f>
        <v>0</v>
      </c>
      <c r="E45" s="726"/>
      <c r="F45" s="3528"/>
      <c r="G45" s="726"/>
      <c r="H45" s="3528"/>
    </row>
    <row r="46" spans="1:8" s="725" customFormat="1" ht="6" customHeight="1">
      <c r="A46" s="726"/>
      <c r="B46" s="727"/>
      <c r="C46" s="726"/>
      <c r="D46" s="726"/>
      <c r="E46" s="726"/>
      <c r="F46" s="3529"/>
      <c r="G46" s="728"/>
      <c r="H46" s="3529"/>
    </row>
    <row r="47" spans="1:8" s="725" customFormat="1">
      <c r="A47" s="736" t="s">
        <v>677</v>
      </c>
      <c r="B47" s="726"/>
      <c r="C47" s="726"/>
      <c r="D47" s="726"/>
      <c r="E47" s="726"/>
      <c r="F47" s="726"/>
      <c r="G47" s="726"/>
    </row>
    <row r="48" spans="1:8" s="725" customFormat="1" ht="41.25" customHeight="1">
      <c r="A48" s="3521" t="str">
        <f>'Part III-A-Uses of Funds'!$C$102</f>
        <v>&lt;&lt; Enter description here; provide detail &amp; justification in tab Part III-b &gt;&gt;</v>
      </c>
      <c r="B48" s="3522"/>
      <c r="C48" s="3522"/>
      <c r="D48" s="3523"/>
      <c r="F48" s="3527"/>
      <c r="G48" s="726"/>
    </row>
    <row r="49" spans="1:7" s="725" customFormat="1" ht="41.25" customHeight="1">
      <c r="A49" s="3524"/>
      <c r="B49" s="3525"/>
      <c r="C49" s="3525"/>
      <c r="D49" s="3526"/>
      <c r="E49" s="726"/>
      <c r="F49" s="3528"/>
      <c r="G49" s="726"/>
    </row>
    <row r="50" spans="1:7" s="725" customFormat="1" ht="3" customHeight="1">
      <c r="A50" s="726"/>
      <c r="B50" s="726"/>
      <c r="C50" s="726"/>
      <c r="D50" s="726"/>
      <c r="E50" s="726"/>
      <c r="F50" s="3528"/>
      <c r="G50" s="726"/>
    </row>
    <row r="51" spans="1:7" s="725" customFormat="1" ht="13.5" customHeight="1">
      <c r="A51" s="735" t="s">
        <v>3209</v>
      </c>
      <c r="B51" s="734">
        <f>'Part III-A-Uses of Funds'!$G$102</f>
        <v>0</v>
      </c>
      <c r="C51" s="729"/>
      <c r="D51" s="729"/>
      <c r="E51" s="726"/>
      <c r="F51" s="3528"/>
      <c r="G51" s="726"/>
    </row>
    <row r="52" spans="1:7" s="725" customFormat="1" ht="3.75" customHeight="1">
      <c r="A52" s="726"/>
      <c r="B52" s="726"/>
      <c r="C52" s="726"/>
      <c r="D52" s="726"/>
      <c r="E52" s="726"/>
      <c r="F52" s="3529"/>
      <c r="G52" s="728"/>
    </row>
    <row r="53" spans="1:7" s="725" customFormat="1">
      <c r="A53" s="736" t="s">
        <v>3210</v>
      </c>
      <c r="B53" s="726"/>
      <c r="C53" s="726"/>
      <c r="D53" s="726"/>
      <c r="E53" s="726"/>
      <c r="F53" s="726"/>
      <c r="G53" s="726"/>
    </row>
    <row r="54" spans="1:7" s="725" customFormat="1" ht="41.25" customHeight="1">
      <c r="A54" s="3521" t="str">
        <f>'Part III-A-Uses of Funds'!$C$112</f>
        <v>&lt;&lt; Enter description here; provide detail &amp; justification in tab Part III-b &gt;&gt;</v>
      </c>
      <c r="B54" s="3522"/>
      <c r="C54" s="3522"/>
      <c r="D54" s="3523"/>
      <c r="F54" s="3530"/>
      <c r="G54" s="726"/>
    </row>
    <row r="55" spans="1:7" s="725" customFormat="1" ht="41.25" customHeight="1">
      <c r="A55" s="3524"/>
      <c r="B55" s="3525"/>
      <c r="C55" s="3525"/>
      <c r="D55" s="3526"/>
      <c r="E55" s="726"/>
      <c r="F55" s="3531"/>
      <c r="G55" s="726"/>
    </row>
    <row r="56" spans="1:7" s="725" customFormat="1" ht="3" customHeight="1">
      <c r="A56" s="726"/>
      <c r="B56" s="726"/>
      <c r="C56" s="726"/>
      <c r="D56" s="726"/>
      <c r="E56" s="726"/>
      <c r="F56" s="3531"/>
      <c r="G56" s="726"/>
    </row>
    <row r="57" spans="1:7" s="725" customFormat="1" ht="10.199999999999999">
      <c r="A57" s="735" t="s">
        <v>3209</v>
      </c>
      <c r="B57" s="734">
        <f>'Part III-A-Uses of Funds'!$G$112</f>
        <v>0</v>
      </c>
      <c r="C57" s="729"/>
      <c r="D57" s="729"/>
      <c r="E57" s="726"/>
      <c r="F57" s="3531"/>
      <c r="G57" s="726"/>
    </row>
    <row r="58" spans="1:7" s="725" customFormat="1" ht="3.75" customHeight="1">
      <c r="A58" s="724"/>
      <c r="B58" s="724"/>
      <c r="C58" s="724"/>
      <c r="D58" s="724"/>
      <c r="E58" s="724"/>
      <c r="F58" s="3531"/>
      <c r="G58" s="728"/>
    </row>
    <row r="59" spans="1:7" s="725" customFormat="1" ht="41.25" customHeight="1">
      <c r="A59" s="3521" t="str">
        <f>'Part III-A-Uses of Funds'!$C$113</f>
        <v>&lt;&lt; Enter description here; provide detail &amp; justification in tab Part III-b &gt;&gt;</v>
      </c>
      <c r="B59" s="3522"/>
      <c r="C59" s="3522"/>
      <c r="D59" s="3523"/>
      <c r="F59" s="3531"/>
      <c r="G59" s="726"/>
    </row>
    <row r="60" spans="1:7" s="725" customFormat="1" ht="41.25" customHeight="1">
      <c r="A60" s="3524"/>
      <c r="B60" s="3525"/>
      <c r="C60" s="3525"/>
      <c r="D60" s="3526"/>
      <c r="E60" s="726"/>
      <c r="F60" s="3531"/>
      <c r="G60" s="726"/>
    </row>
    <row r="61" spans="1:7" s="725" customFormat="1" ht="3" customHeight="1">
      <c r="A61" s="726"/>
      <c r="B61" s="726"/>
      <c r="C61" s="726"/>
      <c r="D61" s="726"/>
      <c r="E61" s="726"/>
      <c r="F61" s="3531"/>
      <c r="G61" s="726"/>
    </row>
    <row r="62" spans="1:7" s="725" customFormat="1" ht="10.199999999999999">
      <c r="A62" s="735" t="s">
        <v>3209</v>
      </c>
      <c r="B62" s="734">
        <f>'Part III-A-Uses of Funds'!$G$113</f>
        <v>0</v>
      </c>
      <c r="C62" s="729"/>
      <c r="D62" s="729"/>
      <c r="E62" s="726"/>
      <c r="F62" s="3531"/>
      <c r="G62" s="726"/>
    </row>
    <row r="63" spans="1:7" s="725" customFormat="1" ht="3.75" customHeight="1">
      <c r="A63" s="724"/>
      <c r="B63" s="724"/>
      <c r="C63" s="724"/>
      <c r="D63" s="724"/>
      <c r="E63" s="724"/>
      <c r="F63" s="3532"/>
      <c r="G63" s="728"/>
    </row>
    <row r="64" spans="1:7" s="725" customFormat="1">
      <c r="A64" s="736" t="s">
        <v>3211</v>
      </c>
      <c r="B64" s="726"/>
      <c r="C64" s="726"/>
      <c r="D64" s="726"/>
      <c r="E64" s="726"/>
      <c r="F64" s="726"/>
      <c r="G64" s="726"/>
    </row>
    <row r="65" spans="1:8" s="725" customFormat="1" ht="41.25" customHeight="1">
      <c r="A65" s="3521" t="str">
        <f>'Part III-A-Uses of Funds'!$C$119</f>
        <v>&lt;&lt; Enter description here; provide detail &amp; justification in tab Part III-b &gt;&gt;</v>
      </c>
      <c r="B65" s="3522"/>
      <c r="C65" s="3522"/>
      <c r="D65" s="3523"/>
      <c r="F65" s="3527"/>
      <c r="G65" s="726"/>
    </row>
    <row r="66" spans="1:8" s="725" customFormat="1" ht="41.25" customHeight="1">
      <c r="A66" s="3524"/>
      <c r="B66" s="3525"/>
      <c r="C66" s="3525"/>
      <c r="D66" s="3526"/>
      <c r="E66" s="726"/>
      <c r="F66" s="3528"/>
      <c r="G66" s="726"/>
    </row>
    <row r="67" spans="1:8" s="725" customFormat="1" ht="3" customHeight="1">
      <c r="A67" s="726"/>
      <c r="B67" s="726"/>
      <c r="C67" s="726"/>
      <c r="D67" s="726"/>
      <c r="E67" s="726"/>
      <c r="F67" s="3528"/>
      <c r="G67" s="726"/>
    </row>
    <row r="68" spans="1:8" s="725" customFormat="1" ht="10.199999999999999">
      <c r="A68" s="735" t="s">
        <v>3209</v>
      </c>
      <c r="B68" s="734">
        <f>'Part III-A-Uses of Funds'!$G$119</f>
        <v>0</v>
      </c>
      <c r="C68" s="729"/>
      <c r="D68" s="729"/>
      <c r="E68" s="726"/>
      <c r="F68" s="3528"/>
      <c r="G68" s="726"/>
    </row>
    <row r="69" spans="1:8" s="725" customFormat="1" ht="3.75" customHeight="1">
      <c r="A69" s="726"/>
      <c r="B69" s="727"/>
      <c r="C69" s="726"/>
      <c r="D69" s="726"/>
      <c r="E69" s="726"/>
      <c r="F69" s="3529"/>
      <c r="G69" s="728"/>
    </row>
    <row r="70" spans="1:8" s="725" customFormat="1">
      <c r="A70" s="736" t="s">
        <v>1231</v>
      </c>
      <c r="B70" s="726"/>
      <c r="C70" s="726"/>
      <c r="D70" s="726"/>
      <c r="E70" s="726"/>
      <c r="F70" s="726"/>
      <c r="G70" s="726"/>
    </row>
    <row r="71" spans="1:8" s="725" customFormat="1" ht="41.25" customHeight="1">
      <c r="A71" s="3521" t="str">
        <f>'Part III-A-Uses of Funds'!$C$134</f>
        <v>Private Based Rental Assistance</v>
      </c>
      <c r="B71" s="3522"/>
      <c r="C71" s="3522"/>
      <c r="D71" s="3523"/>
      <c r="F71" s="3527" t="s">
        <v>7073</v>
      </c>
      <c r="G71" s="726"/>
      <c r="H71" s="3527" t="s">
        <v>906</v>
      </c>
    </row>
    <row r="72" spans="1:8" s="725" customFormat="1" ht="41.25" customHeight="1">
      <c r="A72" s="3524"/>
      <c r="B72" s="3525"/>
      <c r="C72" s="3525"/>
      <c r="D72" s="3526"/>
      <c r="E72" s="726"/>
      <c r="F72" s="3528"/>
      <c r="G72" s="726"/>
      <c r="H72" s="3528"/>
    </row>
    <row r="73" spans="1:8" s="725" customFormat="1" ht="4.5" customHeight="1">
      <c r="A73" s="726"/>
      <c r="B73" s="726"/>
      <c r="C73" s="726"/>
      <c r="D73" s="726"/>
      <c r="E73" s="726"/>
      <c r="F73" s="3528"/>
      <c r="G73" s="726"/>
      <c r="H73" s="3528"/>
    </row>
    <row r="74" spans="1:8" s="725" customFormat="1" ht="12.75" customHeight="1">
      <c r="A74" s="735" t="s">
        <v>3209</v>
      </c>
      <c r="B74" s="734">
        <f>'Part III-A-Uses of Funds'!$G$134</f>
        <v>8640</v>
      </c>
      <c r="C74" s="735" t="s">
        <v>1665</v>
      </c>
      <c r="D74" s="734">
        <f>'Part III-A-Uses of Funds'!$J$134+'Part III-A-Uses of Funds'!$M$134+'Part III-A-Uses of Funds'!$P$134</f>
        <v>0</v>
      </c>
      <c r="E74" s="726"/>
      <c r="F74" s="3528"/>
      <c r="G74" s="726"/>
      <c r="H74" s="3528"/>
    </row>
    <row r="75" spans="1:8" s="725" customFormat="1" ht="6" customHeight="1">
      <c r="A75" s="726"/>
      <c r="B75" s="727"/>
      <c r="C75" s="726"/>
      <c r="D75" s="726"/>
      <c r="E75" s="726"/>
      <c r="F75" s="3529"/>
      <c r="G75" s="728"/>
      <c r="H75" s="3529"/>
    </row>
    <row r="76" spans="1:8" s="725" customFormat="1">
      <c r="A76" s="736" t="s">
        <v>3212</v>
      </c>
      <c r="B76" s="727"/>
      <c r="C76" s="726"/>
      <c r="D76" s="726"/>
      <c r="E76" s="726"/>
      <c r="F76" s="726"/>
      <c r="G76" s="728"/>
    </row>
    <row r="77" spans="1:8" s="725" customFormat="1" ht="41.25" customHeight="1">
      <c r="A77" s="3521" t="str">
        <f>'Part III-A-Uses of Funds'!$C$143</f>
        <v>&lt;&lt; Enter description here; provide detail &amp; justification in tab Part III-b &gt;&gt;</v>
      </c>
      <c r="B77" s="3522"/>
      <c r="C77" s="3522"/>
      <c r="D77" s="3523"/>
      <c r="F77" s="3527"/>
      <c r="G77" s="726"/>
      <c r="H77" s="3527"/>
    </row>
    <row r="78" spans="1:8" s="725" customFormat="1" ht="41.25" customHeight="1">
      <c r="A78" s="3524"/>
      <c r="B78" s="3525"/>
      <c r="C78" s="3525"/>
      <c r="D78" s="3526"/>
      <c r="E78" s="726"/>
      <c r="F78" s="3528"/>
      <c r="G78" s="726"/>
      <c r="H78" s="3528"/>
    </row>
    <row r="79" spans="1:8" s="725" customFormat="1" ht="4.5" customHeight="1">
      <c r="A79" s="726"/>
      <c r="B79" s="726"/>
      <c r="C79" s="726"/>
      <c r="D79" s="726"/>
      <c r="E79" s="726"/>
      <c r="F79" s="3528"/>
      <c r="G79" s="726"/>
      <c r="H79" s="3528"/>
    </row>
    <row r="80" spans="1:8" s="725" customFormat="1" ht="12.75" customHeight="1">
      <c r="A80" s="735" t="s">
        <v>3209</v>
      </c>
      <c r="B80" s="734">
        <f>'Part III-A-Uses of Funds'!$G$143</f>
        <v>0</v>
      </c>
      <c r="C80" s="735" t="s">
        <v>1665</v>
      </c>
      <c r="D80" s="734">
        <f>'Part III-A-Uses of Funds'!$J$143+'Part III-A-Uses of Funds'!$M$143+'Part III-A-Uses of Funds'!$P$143</f>
        <v>0</v>
      </c>
      <c r="E80" s="731"/>
      <c r="F80" s="3528"/>
      <c r="G80" s="726"/>
      <c r="H80" s="3528"/>
    </row>
    <row r="81" spans="4:8" s="725" customFormat="1" ht="6" customHeight="1">
      <c r="D81" s="732"/>
      <c r="E81" s="733"/>
      <c r="F81" s="3529"/>
      <c r="G81" s="728"/>
      <c r="H81" s="3529"/>
    </row>
    <row r="82" spans="4:8" s="725" customFormat="1" ht="10.199999999999999"/>
    <row r="83" spans="4:8" s="725" customFormat="1" ht="10.199999999999999"/>
    <row r="84" spans="4:8" s="725" customFormat="1" ht="10.199999999999999"/>
    <row r="85" spans="4:8" s="725" customFormat="1" ht="10.199999999999999"/>
    <row r="86" spans="4:8" s="725" customFormat="1" ht="10.199999999999999"/>
    <row r="87" spans="4:8" s="725" customFormat="1" ht="10.199999999999999"/>
    <row r="88" spans="4:8" s="725" customFormat="1" ht="10.199999999999999"/>
    <row r="89" spans="4:8" s="725" customFormat="1" ht="10.199999999999999"/>
    <row r="90" spans="4:8" s="725" customFormat="1" ht="10.199999999999999"/>
    <row r="91" spans="4:8" s="725" customFormat="1" ht="10.199999999999999"/>
    <row r="92" spans="4:8" s="725" customFormat="1" ht="10.199999999999999"/>
  </sheetData>
  <sheetProtection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B44" sqref="B44"/>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6" customFormat="1" ht="14.1" customHeight="1">
      <c r="A1" s="3565" t="str">
        <f>CONCATENATE("PART FOUR - UTILITY ALLOWANCES","  -  ",'Part I-Project Identification'!$O$7," ",'Part I-Project Identification'!$F$25,", ",'Part I-Project Identification'!F26,", ",'Part I-Project Identification'!J26," County")</f>
        <v>PART FOUR - UTILITY ALLOWANCES  -  2023-5 Brightwood Lane Apartments, Washington, Wilkes County</v>
      </c>
      <c r="B1" s="3566"/>
      <c r="C1" s="3566"/>
      <c r="D1" s="3566"/>
      <c r="E1" s="3566"/>
      <c r="F1" s="3566"/>
      <c r="G1" s="3566"/>
      <c r="H1" s="3566"/>
      <c r="I1" s="3566"/>
      <c r="J1" s="3566"/>
      <c r="K1" s="3566"/>
      <c r="L1" s="3566"/>
      <c r="M1" s="3566"/>
      <c r="N1" s="4"/>
      <c r="O1" s="4"/>
      <c r="P1" s="4"/>
      <c r="Q1" s="4"/>
    </row>
    <row r="2" spans="1:25" s="6" customFormat="1" ht="7.5" customHeight="1"/>
    <row r="3" spans="1:25" s="6" customFormat="1" ht="12.75" customHeight="1">
      <c r="B3" s="3567" t="str">
        <f>'Part I-Project Identification'!$A$6</f>
        <v>Sept 2023</v>
      </c>
      <c r="C3" s="3567"/>
      <c r="D3" s="3567"/>
      <c r="E3" s="3567"/>
      <c r="F3" s="4" t="s">
        <v>6738</v>
      </c>
      <c r="I3" s="3568" t="str">
        <f>VLOOKUP('Part I-Project Identification'!$J$26,'DCA Underwriting Assumptions'!$G$141:$H$300,2)</f>
        <v>North</v>
      </c>
      <c r="J3" s="3569"/>
    </row>
    <row r="4" spans="1:25" s="6" customFormat="1" ht="6" customHeight="1"/>
    <row r="5" spans="1:25" ht="13.8">
      <c r="A5" s="206" t="s">
        <v>6498</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58" t="s">
        <v>7167</v>
      </c>
      <c r="J7" s="3559"/>
      <c r="K7" s="3559"/>
      <c r="L7" s="3559"/>
      <c r="M7" s="3560"/>
      <c r="O7" s="839"/>
      <c r="P7" s="839"/>
      <c r="Q7" s="839"/>
      <c r="R7" s="839"/>
      <c r="S7" s="839"/>
      <c r="T7" s="839"/>
      <c r="U7" s="839"/>
      <c r="V7" s="393"/>
      <c r="W7" s="393"/>
      <c r="X7" s="393"/>
      <c r="Y7" s="393"/>
    </row>
    <row r="8" spans="1:25" s="6" customFormat="1" ht="13.35" customHeight="1">
      <c r="A8" s="10"/>
      <c r="F8" s="1" t="s">
        <v>593</v>
      </c>
      <c r="G8" s="1"/>
      <c r="H8" s="26"/>
      <c r="I8" s="3561">
        <v>44764</v>
      </c>
      <c r="J8" s="3562"/>
      <c r="K8" s="5" t="s">
        <v>505</v>
      </c>
      <c r="L8" s="3563" t="s">
        <v>6292</v>
      </c>
      <c r="M8" s="3564"/>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50" t="s">
        <v>567</v>
      </c>
      <c r="G10" s="3550"/>
      <c r="I10" s="3550" t="s">
        <v>193</v>
      </c>
      <c r="J10" s="3550"/>
      <c r="K10" s="3550"/>
      <c r="L10" s="3550"/>
      <c r="M10" s="3550"/>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51" t="s">
        <v>1491</v>
      </c>
      <c r="E12" s="3552"/>
      <c r="F12" s="207" t="s">
        <v>416</v>
      </c>
      <c r="G12" s="207"/>
      <c r="H12" s="804"/>
      <c r="I12" s="1266"/>
      <c r="J12" s="1266">
        <v>96</v>
      </c>
      <c r="K12" s="1266">
        <v>130</v>
      </c>
      <c r="L12" s="1266">
        <v>163</v>
      </c>
      <c r="M12" s="1266"/>
      <c r="O12" s="839"/>
      <c r="P12" s="839"/>
      <c r="Q12" s="839"/>
      <c r="R12" s="839"/>
      <c r="S12" s="839"/>
      <c r="T12" s="839"/>
      <c r="U12" s="839"/>
    </row>
    <row r="13" spans="1:25" s="6" customFormat="1" ht="12" customHeight="1">
      <c r="B13" s="1273" t="s">
        <v>1492</v>
      </c>
      <c r="C13" s="1274"/>
      <c r="D13" s="3553" t="s">
        <v>1491</v>
      </c>
      <c r="E13" s="3554"/>
      <c r="F13" s="208" t="s">
        <v>416</v>
      </c>
      <c r="G13" s="208"/>
      <c r="H13" s="803"/>
      <c r="I13" s="1267"/>
      <c r="J13" s="1267"/>
      <c r="K13" s="1267"/>
      <c r="L13" s="1268"/>
      <c r="M13" s="1268"/>
      <c r="O13" s="3543" t="s">
        <v>3276</v>
      </c>
      <c r="P13" s="3543"/>
      <c r="Q13" s="3543"/>
    </row>
    <row r="14" spans="1:25" s="6" customFormat="1" ht="12" customHeight="1">
      <c r="B14" s="1275" t="s">
        <v>1493</v>
      </c>
      <c r="C14" s="1276"/>
      <c r="D14" s="3553" t="s">
        <v>1491</v>
      </c>
      <c r="E14" s="3554"/>
      <c r="F14" s="208" t="s">
        <v>416</v>
      </c>
      <c r="G14" s="208"/>
      <c r="H14" s="203"/>
      <c r="I14" s="1267"/>
      <c r="J14" s="1267"/>
      <c r="K14" s="1267"/>
      <c r="L14" s="1268"/>
      <c r="M14" s="1268"/>
      <c r="O14" s="3543"/>
      <c r="P14" s="3543"/>
      <c r="Q14" s="3543"/>
    </row>
    <row r="15" spans="1:25" s="6" customFormat="1" ht="12" customHeight="1">
      <c r="B15" s="1277" t="s">
        <v>440</v>
      </c>
      <c r="C15" s="1278"/>
      <c r="D15" s="1277" t="s">
        <v>1491</v>
      </c>
      <c r="E15" s="204"/>
      <c r="F15" s="208" t="s">
        <v>416</v>
      </c>
      <c r="G15" s="208"/>
      <c r="H15" s="802"/>
      <c r="I15" s="1267"/>
      <c r="J15" s="1267"/>
      <c r="K15" s="1267"/>
      <c r="L15" s="1268"/>
      <c r="M15" s="1268"/>
      <c r="O15" s="3543"/>
      <c r="P15" s="3543"/>
      <c r="Q15" s="3543"/>
    </row>
    <row r="16" spans="1:25" s="6" customFormat="1" ht="12" customHeight="1">
      <c r="B16" s="1279" t="s">
        <v>3270</v>
      </c>
      <c r="C16" s="1274"/>
      <c r="D16" s="1273" t="s">
        <v>1491</v>
      </c>
      <c r="E16" s="801"/>
      <c r="F16" s="208" t="s">
        <v>416</v>
      </c>
      <c r="G16" s="208"/>
      <c r="H16" s="803"/>
      <c r="I16" s="1267"/>
      <c r="J16" s="1267"/>
      <c r="K16" s="1267"/>
      <c r="L16" s="1268"/>
      <c r="M16" s="1268"/>
      <c r="O16" s="3543"/>
      <c r="P16" s="3543"/>
      <c r="Q16" s="3543"/>
    </row>
    <row r="17" spans="1:25" s="6" customFormat="1" ht="12" customHeight="1">
      <c r="B17" s="1279" t="s">
        <v>3271</v>
      </c>
      <c r="C17" s="1274"/>
      <c r="D17" s="1273" t="s">
        <v>1491</v>
      </c>
      <c r="E17" s="801"/>
      <c r="F17" s="208" t="s">
        <v>416</v>
      </c>
      <c r="G17" s="208"/>
      <c r="H17" s="803"/>
      <c r="I17" s="1267"/>
      <c r="J17" s="1267"/>
      <c r="K17" s="1267"/>
      <c r="L17" s="1268"/>
      <c r="M17" s="1268"/>
      <c r="O17" s="3543"/>
      <c r="P17" s="3543"/>
      <c r="Q17" s="3543"/>
    </row>
    <row r="18" spans="1:25" s="6" customFormat="1" ht="12" customHeight="1">
      <c r="B18" s="1280" t="s">
        <v>3272</v>
      </c>
      <c r="C18" s="1276"/>
      <c r="D18" s="1275" t="s">
        <v>1491</v>
      </c>
      <c r="E18" s="801"/>
      <c r="F18" s="208" t="s">
        <v>416</v>
      </c>
      <c r="G18" s="208"/>
      <c r="H18" s="203"/>
      <c r="I18" s="1267"/>
      <c r="J18" s="1267"/>
      <c r="K18" s="1267"/>
      <c r="L18" s="1268"/>
      <c r="M18" s="1268"/>
      <c r="O18" s="3543"/>
      <c r="P18" s="3543"/>
      <c r="Q18" s="3543"/>
    </row>
    <row r="19" spans="1:25" s="6" customFormat="1" ht="12" customHeight="1">
      <c r="B19" s="1277" t="s">
        <v>1292</v>
      </c>
      <c r="C19" s="1278"/>
      <c r="D19" s="1283" t="s">
        <v>3076</v>
      </c>
      <c r="E19" s="1265" t="s">
        <v>2649</v>
      </c>
      <c r="F19" s="208" t="s">
        <v>416</v>
      </c>
      <c r="G19" s="208"/>
      <c r="H19" s="802"/>
      <c r="I19" s="1267"/>
      <c r="J19" s="1267">
        <v>29</v>
      </c>
      <c r="K19" s="1267">
        <v>38</v>
      </c>
      <c r="L19" s="1268">
        <v>36</v>
      </c>
      <c r="M19" s="1268"/>
      <c r="O19" s="3543"/>
      <c r="P19" s="3543"/>
      <c r="Q19" s="3543"/>
    </row>
    <row r="20" spans="1:25" s="6" customFormat="1" ht="12" customHeight="1">
      <c r="B20" s="1281" t="s">
        <v>1715</v>
      </c>
      <c r="C20" s="1282"/>
      <c r="D20" s="205"/>
      <c r="E20" s="187"/>
      <c r="F20" s="208" t="s">
        <v>416</v>
      </c>
      <c r="G20" s="208"/>
      <c r="H20" s="803"/>
      <c r="I20" s="1267"/>
      <c r="J20" s="1267">
        <v>25</v>
      </c>
      <c r="K20" s="1267">
        <v>25</v>
      </c>
      <c r="L20" s="1268">
        <v>25</v>
      </c>
      <c r="M20" s="1268"/>
      <c r="O20" s="3543"/>
      <c r="P20" s="3543"/>
      <c r="Q20" s="3543"/>
    </row>
    <row r="21" spans="1:25" s="6" customFormat="1" ht="12" customHeight="1">
      <c r="B21" s="1281" t="s">
        <v>690</v>
      </c>
      <c r="C21" s="3555" t="s">
        <v>7074</v>
      </c>
      <c r="D21" s="3556"/>
      <c r="E21" s="3557"/>
      <c r="F21" s="209" t="s">
        <v>416</v>
      </c>
      <c r="G21" s="209"/>
      <c r="H21" s="805"/>
      <c r="I21" s="1269"/>
      <c r="J21" s="1269">
        <v>1</v>
      </c>
      <c r="K21" s="1269">
        <v>1</v>
      </c>
      <c r="L21" s="1270">
        <v>1</v>
      </c>
      <c r="M21" s="1270"/>
      <c r="O21" s="3543"/>
      <c r="P21" s="3543"/>
      <c r="Q21" s="3543"/>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151</v>
      </c>
      <c r="K22" s="119">
        <f>IF(SUM(K12:K21)=0,0,IF(OR($D12="&lt;&lt;Select Fuel &gt;&gt;",$D13="&lt;&lt;Select Fuel &gt;&gt;",$D14="&lt;&lt;Select Fuel &gt;&gt;"),"Select Fuel",IF($E19="&lt;Select&gt;","Submeter?",SUM(K12:K21))))</f>
        <v>194</v>
      </c>
      <c r="L22" s="119">
        <f>IF(SUM(L12:L21)=0,0,IF(OR($D12="&lt;&lt;Select Fuel &gt;&gt;",$D13="&lt;&lt;Select Fuel &gt;&gt;",$D14="&lt;&lt;Select Fuel &gt;&gt;"),"Select Fuel",IF($E19="&lt;Select&gt;","Submeter?",SUM(L12:L21))))</f>
        <v>225</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58"/>
      <c r="J24" s="3559"/>
      <c r="K24" s="3559"/>
      <c r="L24" s="3559"/>
      <c r="M24" s="3560"/>
      <c r="O24" s="839"/>
      <c r="P24" s="839"/>
      <c r="Q24" s="839"/>
      <c r="R24" s="839"/>
      <c r="S24" s="839"/>
      <c r="T24" s="839"/>
      <c r="U24" s="839"/>
      <c r="V24" s="393"/>
      <c r="W24" s="393"/>
      <c r="X24" s="393"/>
      <c r="Y24" s="393"/>
    </row>
    <row r="25" spans="1:25" s="6" customFormat="1" ht="13.35" customHeight="1">
      <c r="A25" s="10"/>
      <c r="B25" s="10"/>
      <c r="F25" s="1" t="s">
        <v>593</v>
      </c>
      <c r="G25" s="1"/>
      <c r="H25" s="26"/>
      <c r="I25" s="3561"/>
      <c r="J25" s="3562"/>
      <c r="K25" s="5" t="s">
        <v>505</v>
      </c>
      <c r="L25" s="3563"/>
      <c r="M25" s="3564"/>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8">
      <c r="F27" s="3550" t="s">
        <v>567</v>
      </c>
      <c r="G27" s="3550"/>
      <c r="I27" s="3550" t="s">
        <v>193</v>
      </c>
      <c r="J27" s="3550"/>
      <c r="K27" s="3550"/>
      <c r="L27" s="3550"/>
      <c r="M27" s="3550"/>
      <c r="O27" s="839"/>
      <c r="P27" s="839"/>
      <c r="Q27" s="839"/>
      <c r="R27" s="839"/>
      <c r="S27" s="839"/>
      <c r="T27" s="839"/>
      <c r="U27" s="839"/>
      <c r="V27" s="393"/>
      <c r="W27" s="393"/>
      <c r="X27" s="393"/>
      <c r="Y27" s="393"/>
    </row>
    <row r="28" spans="1:25" s="10" customFormat="1" ht="13.8">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51" t="s">
        <v>1689</v>
      </c>
      <c r="E29" s="3552"/>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53" t="s">
        <v>1689</v>
      </c>
      <c r="E30" s="3554"/>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53" t="s">
        <v>1689</v>
      </c>
      <c r="E31" s="3554"/>
      <c r="F31" s="208"/>
      <c r="G31" s="208"/>
      <c r="H31" s="203"/>
      <c r="I31" s="1267"/>
      <c r="J31" s="1267"/>
      <c r="K31" s="1267"/>
      <c r="L31" s="1268"/>
      <c r="M31" s="1268"/>
      <c r="O31" s="3543" t="s">
        <v>3276</v>
      </c>
      <c r="P31" s="3543"/>
      <c r="Q31" s="3543"/>
    </row>
    <row r="32" spans="1:25" s="6" customFormat="1" ht="12" customHeight="1">
      <c r="B32" s="1277" t="s">
        <v>440</v>
      </c>
      <c r="C32" s="1278"/>
      <c r="D32" s="1277" t="s">
        <v>1491</v>
      </c>
      <c r="E32" s="204"/>
      <c r="F32" s="208"/>
      <c r="G32" s="208"/>
      <c r="H32" s="802"/>
      <c r="I32" s="1267"/>
      <c r="J32" s="1267"/>
      <c r="K32" s="1267"/>
      <c r="L32" s="1268"/>
      <c r="M32" s="1268"/>
      <c r="O32" s="3543"/>
      <c r="P32" s="3543"/>
      <c r="Q32" s="3543"/>
    </row>
    <row r="33" spans="1:19" s="6" customFormat="1" ht="12" customHeight="1">
      <c r="B33" s="1279" t="s">
        <v>3270</v>
      </c>
      <c r="C33" s="1274"/>
      <c r="D33" s="1273" t="s">
        <v>1491</v>
      </c>
      <c r="E33" s="801"/>
      <c r="F33" s="208"/>
      <c r="G33" s="208"/>
      <c r="H33" s="803"/>
      <c r="I33" s="1267"/>
      <c r="J33" s="1267"/>
      <c r="K33" s="1267"/>
      <c r="L33" s="1268"/>
      <c r="M33" s="1268"/>
      <c r="O33" s="3543"/>
      <c r="P33" s="3543"/>
      <c r="Q33" s="3543"/>
    </row>
    <row r="34" spans="1:19" s="6" customFormat="1" ht="12" customHeight="1">
      <c r="B34" s="1279" t="s">
        <v>3271</v>
      </c>
      <c r="C34" s="1274"/>
      <c r="D34" s="1273" t="s">
        <v>1491</v>
      </c>
      <c r="E34" s="801"/>
      <c r="F34" s="208"/>
      <c r="G34" s="208"/>
      <c r="H34" s="803"/>
      <c r="I34" s="1267"/>
      <c r="J34" s="1267"/>
      <c r="K34" s="1267"/>
      <c r="L34" s="1268"/>
      <c r="M34" s="1268"/>
      <c r="O34" s="3543"/>
      <c r="P34" s="3543"/>
      <c r="Q34" s="3543"/>
    </row>
    <row r="35" spans="1:19" s="6" customFormat="1" ht="12" customHeight="1">
      <c r="B35" s="1280" t="s">
        <v>3272</v>
      </c>
      <c r="C35" s="1276"/>
      <c r="D35" s="1275" t="s">
        <v>1491</v>
      </c>
      <c r="E35" s="801"/>
      <c r="F35" s="208"/>
      <c r="G35" s="208"/>
      <c r="H35" s="203"/>
      <c r="I35" s="1267"/>
      <c r="J35" s="1267"/>
      <c r="K35" s="1267"/>
      <c r="L35" s="1268"/>
      <c r="M35" s="1268"/>
      <c r="O35" s="3543"/>
      <c r="P35" s="3543"/>
      <c r="Q35" s="3543"/>
    </row>
    <row r="36" spans="1:19" s="6" customFormat="1" ht="12" customHeight="1">
      <c r="B36" s="1277" t="s">
        <v>1292</v>
      </c>
      <c r="C36" s="1278"/>
      <c r="D36" s="1283" t="s">
        <v>3076</v>
      </c>
      <c r="E36" s="1265" t="s">
        <v>194</v>
      </c>
      <c r="F36" s="208"/>
      <c r="G36" s="208"/>
      <c r="H36" s="802"/>
      <c r="I36" s="1267"/>
      <c r="J36" s="1267"/>
      <c r="K36" s="1267"/>
      <c r="L36" s="1268"/>
      <c r="M36" s="1268"/>
      <c r="O36" s="3543"/>
      <c r="P36" s="3543"/>
      <c r="Q36" s="3543"/>
    </row>
    <row r="37" spans="1:19" s="6" customFormat="1" ht="12" customHeight="1">
      <c r="B37" s="1281" t="s">
        <v>1715</v>
      </c>
      <c r="C37" s="1282"/>
      <c r="D37" s="205"/>
      <c r="E37" s="187"/>
      <c r="F37" s="208"/>
      <c r="G37" s="208"/>
      <c r="H37" s="803"/>
      <c r="I37" s="1267"/>
      <c r="J37" s="1267"/>
      <c r="K37" s="1267"/>
      <c r="L37" s="1268"/>
      <c r="M37" s="1268"/>
      <c r="O37" s="3543"/>
      <c r="P37" s="3543"/>
      <c r="Q37" s="3543"/>
    </row>
    <row r="38" spans="1:19" s="6" customFormat="1" ht="12" customHeight="1">
      <c r="B38" s="1281" t="s">
        <v>690</v>
      </c>
      <c r="C38" s="3555"/>
      <c r="D38" s="3556"/>
      <c r="E38" s="3557"/>
      <c r="F38" s="209"/>
      <c r="G38" s="209"/>
      <c r="H38" s="805"/>
      <c r="I38" s="1269"/>
      <c r="J38" s="1269"/>
      <c r="K38" s="1269"/>
      <c r="L38" s="1270"/>
      <c r="M38" s="1270"/>
      <c r="O38" s="3543"/>
      <c r="P38" s="3543"/>
      <c r="Q38" s="3543"/>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3"/>
      <c r="P39" s="3543"/>
      <c r="Q39" s="3543"/>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4" t="s">
        <v>7168</v>
      </c>
      <c r="C43" s="3545"/>
      <c r="D43" s="3545"/>
      <c r="E43" s="3545"/>
      <c r="F43" s="3545"/>
      <c r="G43" s="3545"/>
      <c r="H43" s="3545"/>
      <c r="I43" s="3545"/>
      <c r="J43" s="3545"/>
      <c r="K43" s="3545"/>
      <c r="L43" s="3545"/>
      <c r="M43" s="3546"/>
      <c r="N43"/>
      <c r="O43" s="3027" t="s">
        <v>2452</v>
      </c>
      <c r="P43" s="3027"/>
      <c r="Q43" s="3027"/>
      <c r="R43" s="3027"/>
      <c r="S43" s="3027"/>
    </row>
    <row r="44" spans="1:19" s="6" customFormat="1" ht="3" customHeight="1">
      <c r="M44"/>
      <c r="N44"/>
      <c r="O44" s="3027"/>
      <c r="P44" s="3027"/>
      <c r="Q44" s="3027"/>
      <c r="R44" s="3027"/>
      <c r="S44" s="3027"/>
    </row>
    <row r="45" spans="1:19" s="6" customFormat="1" ht="12" customHeight="1">
      <c r="A45" s="10"/>
      <c r="B45" s="10" t="s">
        <v>1711</v>
      </c>
      <c r="M45"/>
      <c r="N45"/>
      <c r="O45" s="3027"/>
      <c r="P45" s="3027"/>
      <c r="Q45" s="3027"/>
      <c r="R45" s="3027"/>
      <c r="S45" s="3027"/>
    </row>
    <row r="46" spans="1:19" s="6" customFormat="1" ht="24.75" customHeight="1">
      <c r="B46" s="3547"/>
      <c r="C46" s="3548"/>
      <c r="D46" s="3548"/>
      <c r="E46" s="3548"/>
      <c r="F46" s="3548"/>
      <c r="G46" s="3548"/>
      <c r="H46" s="3548"/>
      <c r="I46" s="3548"/>
      <c r="J46" s="3548"/>
      <c r="K46" s="3548"/>
      <c r="L46" s="3548"/>
      <c r="M46" s="3549"/>
      <c r="N46"/>
      <c r="O46" s="3027"/>
      <c r="P46" s="3027"/>
      <c r="Q46" s="3027"/>
      <c r="R46" s="3027"/>
      <c r="S46" s="3027"/>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O53" sqref="O53:P53"/>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7" customWidth="1"/>
    <col min="138" max="138" width="12.5546875" style="357" customWidth="1"/>
    <col min="139" max="139" width="8.33203125" style="357" customWidth="1"/>
    <col min="140" max="143" width="7.33203125" style="357" customWidth="1"/>
    <col min="144" max="144" width="8.33203125" style="357" customWidth="1"/>
    <col min="145" max="148" width="7.33203125" style="357" customWidth="1"/>
    <col min="149" max="158" width="9.33203125" style="357" customWidth="1"/>
    <col min="159" max="159" width="8.33203125" style="357" customWidth="1"/>
    <col min="160" max="163" width="7.33203125" style="357" customWidth="1"/>
    <col min="164" max="168" width="9.33203125" style="357" customWidth="1"/>
    <col min="169" max="169" width="8.33203125" style="357" customWidth="1"/>
    <col min="170" max="173" width="7.33203125" style="357" customWidth="1"/>
    <col min="174" max="253" width="9.33203125" style="357" customWidth="1"/>
    <col min="254" max="258" width="11.33203125" style="357" customWidth="1"/>
    <col min="259" max="273" width="9.33203125" style="357" customWidth="1"/>
    <col min="274" max="274" width="10.33203125" style="357" customWidth="1"/>
    <col min="275" max="278" width="10" style="357" customWidth="1"/>
    <col min="279" max="282" width="9.33203125" style="357" customWidth="1"/>
    <col min="283" max="283" width="9.33203125" style="1748" customWidth="1"/>
    <col min="284" max="287" width="9.33203125" style="357" customWidth="1"/>
    <col min="288" max="288" width="9.33203125" style="1748" customWidth="1"/>
    <col min="289" max="292" width="11.44140625" style="357" customWidth="1"/>
    <col min="293" max="293" width="11.44140625" style="1748" customWidth="1"/>
    <col min="294" max="297" width="11.44140625" style="357" customWidth="1"/>
    <col min="298" max="298" width="11.44140625" style="1748" customWidth="1"/>
    <col min="299" max="313" width="9.33203125" style="1748" customWidth="1"/>
    <col min="314" max="318" width="11" style="1748" customWidth="1"/>
    <col min="319" max="319" width="9.33203125" style="1748" customWidth="1"/>
    <col min="320" max="325" width="9.33203125" style="357" customWidth="1"/>
    <col min="326" max="326" width="9.33203125" style="361" customWidth="1"/>
    <col min="327" max="341" width="9.33203125" style="357" customWidth="1"/>
    <col min="342" max="343" width="9.33203125" style="361" customWidth="1"/>
    <col min="344" max="350" width="10.33203125" style="357" customWidth="1"/>
    <col min="351" max="353" width="9.33203125" style="357"/>
    <col min="354" max="354" width="10.44140625" style="357" customWidth="1"/>
    <col min="355" max="358" width="10.33203125" style="357" customWidth="1"/>
    <col min="359" max="378" width="9.33203125" style="115"/>
    <col min="379" max="379" width="9.33203125" style="357"/>
    <col min="380" max="380" width="9.33203125" style="1719"/>
    <col min="381" max="381" width="9.33203125" style="357"/>
    <col min="382" max="493" width="9.33203125" style="115"/>
    <col min="494" max="16384" width="9.33203125" style="62"/>
  </cols>
  <sheetData>
    <row r="1" spans="1:493" s="1719" customFormat="1" hidden="1">
      <c r="B1" s="1719" t="s">
        <v>6394</v>
      </c>
      <c r="C1" s="1719" t="s">
        <v>164</v>
      </c>
      <c r="D1" s="1719" t="s">
        <v>166</v>
      </c>
      <c r="E1" s="1719" t="s">
        <v>6395</v>
      </c>
      <c r="F1" s="1719" t="s">
        <v>6396</v>
      </c>
      <c r="G1" s="1719" t="s">
        <v>6397</v>
      </c>
      <c r="H1" s="1719" t="s">
        <v>6398</v>
      </c>
      <c r="I1" s="1719" t="s">
        <v>6399</v>
      </c>
      <c r="J1" s="1719" t="s">
        <v>6400</v>
      </c>
      <c r="K1" s="1719" t="s">
        <v>3135</v>
      </c>
      <c r="L1" s="1719" t="s">
        <v>6401</v>
      </c>
      <c r="M1" s="1719" t="s">
        <v>6402</v>
      </c>
      <c r="N1" s="1719" t="s">
        <v>6403</v>
      </c>
      <c r="O1" s="1719" t="s">
        <v>6404</v>
      </c>
      <c r="P1" s="1719" t="s">
        <v>363</v>
      </c>
      <c r="Q1" s="1719" t="s">
        <v>6405</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571" t="str">
        <f>CONCATENATE("PART FOUR - PROJECTED REVENUES &amp; EXPENSES","  -  ",'Part I-Project Identification'!$O$7," ",'Part I-Project Identification'!$F$25,", ",'Part I-Project Identification'!F26,", ",'Part I-Project Identification'!J26," County")</f>
        <v>PART FOUR - PROJECTED REVENUES &amp; EXPENSES  -  2023-5 Brightwood Lane Apartments, Washington, Wilkes County</v>
      </c>
      <c r="B2" s="3572"/>
      <c r="C2" s="3572"/>
      <c r="D2" s="3572"/>
      <c r="E2" s="3572"/>
      <c r="F2" s="3572"/>
      <c r="G2" s="3572"/>
      <c r="H2" s="3572"/>
      <c r="I2" s="3572"/>
      <c r="J2" s="3572"/>
      <c r="K2" s="3572"/>
      <c r="L2" s="3572"/>
      <c r="M2" s="3572"/>
      <c r="N2" s="3572"/>
      <c r="O2" s="3572"/>
      <c r="P2" s="3572"/>
      <c r="Q2" s="3573"/>
      <c r="T2" s="1427" t="str">
        <f>A2</f>
        <v>PART FOUR - PROJECTED REVENUES &amp; EXPENSES  -  2023-5 Brightwood Lane Apartments, Washington, Wilkes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6094</v>
      </c>
      <c r="E4" s="1515"/>
      <c r="F4" s="1515"/>
      <c r="G4" s="1515"/>
      <c r="H4" s="1515"/>
      <c r="I4" s="1515"/>
      <c r="J4" s="1515"/>
      <c r="K4" s="93"/>
      <c r="L4" s="93"/>
      <c r="M4" s="93"/>
      <c r="O4" s="153" t="s">
        <v>534</v>
      </c>
      <c r="P4" s="3579" t="str">
        <f>'Part I-Project Identification'!$O$28</f>
        <v>Wilkes Co.</v>
      </c>
      <c r="Q4" s="3579"/>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653" t="s">
        <v>3045</v>
      </c>
      <c r="MG4" s="3653" t="s">
        <v>3046</v>
      </c>
      <c r="MH4" s="3653" t="s">
        <v>3047</v>
      </c>
      <c r="MI4" s="3653" t="s">
        <v>3048</v>
      </c>
      <c r="MJ4" s="3653"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54" t="s">
        <v>3203</v>
      </c>
      <c r="R5" s="830"/>
      <c r="S5" s="337"/>
      <c r="T5" s="337"/>
      <c r="U5" s="337"/>
      <c r="W5" s="338"/>
      <c r="X5" s="3653" t="s">
        <v>3682</v>
      </c>
      <c r="Y5" s="3653" t="s">
        <v>3683</v>
      </c>
      <c r="Z5" s="3653" t="s">
        <v>3684</v>
      </c>
      <c r="AA5" s="3653" t="s">
        <v>3685</v>
      </c>
      <c r="AB5" s="3653" t="s">
        <v>3686</v>
      </c>
      <c r="AC5" s="3653" t="s">
        <v>3687</v>
      </c>
      <c r="AD5" s="3653" t="s">
        <v>3688</v>
      </c>
      <c r="AE5" s="3653" t="s">
        <v>3689</v>
      </c>
      <c r="AF5" s="3653" t="s">
        <v>3690</v>
      </c>
      <c r="AG5" s="3653" t="s">
        <v>3691</v>
      </c>
      <c r="AH5" s="3653" t="s">
        <v>861</v>
      </c>
      <c r="AI5" s="3653" t="s">
        <v>705</v>
      </c>
      <c r="AJ5" s="3653" t="s">
        <v>706</v>
      </c>
      <c r="AK5" s="3653" t="s">
        <v>707</v>
      </c>
      <c r="AL5" s="3653" t="s">
        <v>708</v>
      </c>
      <c r="AM5" s="3653" t="s">
        <v>862</v>
      </c>
      <c r="AN5" s="3653" t="s">
        <v>2131</v>
      </c>
      <c r="AO5" s="3653" t="s">
        <v>2132</v>
      </c>
      <c r="AP5" s="3653" t="s">
        <v>2133</v>
      </c>
      <c r="AQ5" s="3653" t="s">
        <v>2134</v>
      </c>
      <c r="AR5" s="3653" t="s">
        <v>3693</v>
      </c>
      <c r="AS5" s="3653" t="s">
        <v>3694</v>
      </c>
      <c r="AT5" s="3653" t="s">
        <v>3695</v>
      </c>
      <c r="AU5" s="3653" t="s">
        <v>3696</v>
      </c>
      <c r="AV5" s="3653" t="s">
        <v>3692</v>
      </c>
      <c r="AW5" s="3653" t="s">
        <v>863</v>
      </c>
      <c r="AX5" s="3653" t="s">
        <v>2135</v>
      </c>
      <c r="AY5" s="3653" t="s">
        <v>2136</v>
      </c>
      <c r="AZ5" s="3653" t="s">
        <v>2137</v>
      </c>
      <c r="BA5" s="3653" t="s">
        <v>2138</v>
      </c>
      <c r="BB5" s="3653" t="s">
        <v>3697</v>
      </c>
      <c r="BC5" s="3653" t="s">
        <v>3698</v>
      </c>
      <c r="BD5" s="3653" t="s">
        <v>3699</v>
      </c>
      <c r="BE5" s="3653" t="s">
        <v>3700</v>
      </c>
      <c r="BF5" s="3653" t="s">
        <v>3701</v>
      </c>
      <c r="BG5" s="3653" t="s">
        <v>123</v>
      </c>
      <c r="BH5" s="3653" t="s">
        <v>2139</v>
      </c>
      <c r="BI5" s="3653" t="s">
        <v>2140</v>
      </c>
      <c r="BJ5" s="3653" t="s">
        <v>2141</v>
      </c>
      <c r="BK5" s="3653" t="s">
        <v>1080</v>
      </c>
      <c r="BL5" s="3653" t="s">
        <v>3702</v>
      </c>
      <c r="BM5" s="3653" t="s">
        <v>3703</v>
      </c>
      <c r="BN5" s="3653" t="s">
        <v>3704</v>
      </c>
      <c r="BO5" s="3653" t="s">
        <v>3705</v>
      </c>
      <c r="BP5" s="3653" t="s">
        <v>3706</v>
      </c>
      <c r="BQ5" s="3653" t="s">
        <v>517</v>
      </c>
      <c r="BR5" s="3653" t="s">
        <v>518</v>
      </c>
      <c r="BS5" s="3653" t="s">
        <v>535</v>
      </c>
      <c r="BT5" s="3653" t="s">
        <v>536</v>
      </c>
      <c r="BU5" s="3653" t="s">
        <v>537</v>
      </c>
      <c r="BV5" s="3653" t="s">
        <v>3707</v>
      </c>
      <c r="BW5" s="3653" t="s">
        <v>3708</v>
      </c>
      <c r="BX5" s="3653" t="s">
        <v>3709</v>
      </c>
      <c r="BY5" s="3653" t="s">
        <v>3710</v>
      </c>
      <c r="BZ5" s="3653" t="s">
        <v>3711</v>
      </c>
      <c r="CA5" s="3653" t="s">
        <v>538</v>
      </c>
      <c r="CB5" s="3653" t="s">
        <v>539</v>
      </c>
      <c r="CC5" s="3653" t="s">
        <v>540</v>
      </c>
      <c r="CD5" s="3653" t="s">
        <v>541</v>
      </c>
      <c r="CE5" s="3653" t="s">
        <v>542</v>
      </c>
      <c r="CF5" s="3653" t="s">
        <v>543</v>
      </c>
      <c r="CG5" s="3653" t="s">
        <v>544</v>
      </c>
      <c r="CH5" s="3653" t="s">
        <v>872</v>
      </c>
      <c r="CI5" s="3653" t="s">
        <v>873</v>
      </c>
      <c r="CJ5" s="3653" t="s">
        <v>874</v>
      </c>
      <c r="CK5" s="3653" t="s">
        <v>3717</v>
      </c>
      <c r="CL5" s="3653" t="s">
        <v>3718</v>
      </c>
      <c r="CM5" s="3653" t="s">
        <v>3719</v>
      </c>
      <c r="CN5" s="3653" t="s">
        <v>3720</v>
      </c>
      <c r="CO5" s="3653" t="s">
        <v>3721</v>
      </c>
      <c r="CP5" s="3653" t="s">
        <v>3712</v>
      </c>
      <c r="CQ5" s="3653" t="s">
        <v>3713</v>
      </c>
      <c r="CR5" s="3653" t="s">
        <v>3714</v>
      </c>
      <c r="CS5" s="3653" t="s">
        <v>3715</v>
      </c>
      <c r="CT5" s="3653" t="s">
        <v>3716</v>
      </c>
      <c r="CU5" s="3653" t="s">
        <v>3722</v>
      </c>
      <c r="CV5" s="3653" t="s">
        <v>3723</v>
      </c>
      <c r="CW5" s="3653" t="s">
        <v>3724</v>
      </c>
      <c r="CX5" s="3653" t="s">
        <v>3725</v>
      </c>
      <c r="CY5" s="3653" t="s">
        <v>3726</v>
      </c>
      <c r="CZ5" s="3653" t="s">
        <v>466</v>
      </c>
      <c r="DA5" s="3653" t="s">
        <v>467</v>
      </c>
      <c r="DB5" s="3653" t="s">
        <v>468</v>
      </c>
      <c r="DC5" s="3653" t="s">
        <v>469</v>
      </c>
      <c r="DD5" s="3653" t="s">
        <v>470</v>
      </c>
      <c r="DE5" s="3653" t="s">
        <v>3727</v>
      </c>
      <c r="DF5" s="3653" t="s">
        <v>3728</v>
      </c>
      <c r="DG5" s="3653" t="s">
        <v>3729</v>
      </c>
      <c r="DH5" s="3653" t="s">
        <v>3730</v>
      </c>
      <c r="DI5" s="3653" t="s">
        <v>3731</v>
      </c>
      <c r="DJ5" s="3653" t="s">
        <v>822</v>
      </c>
      <c r="DK5" s="3653" t="s">
        <v>823</v>
      </c>
      <c r="DL5" s="3653" t="s">
        <v>824</v>
      </c>
      <c r="DM5" s="3653" t="s">
        <v>825</v>
      </c>
      <c r="DN5" s="3653" t="s">
        <v>826</v>
      </c>
      <c r="DO5" s="3653" t="s">
        <v>827</v>
      </c>
      <c r="DP5" s="3653" t="s">
        <v>828</v>
      </c>
      <c r="DQ5" s="3653" t="s">
        <v>829</v>
      </c>
      <c r="DR5" s="3653" t="s">
        <v>830</v>
      </c>
      <c r="DS5" s="3653" t="s">
        <v>831</v>
      </c>
      <c r="DT5" s="3653" t="s">
        <v>3732</v>
      </c>
      <c r="DU5" s="3653" t="s">
        <v>3733</v>
      </c>
      <c r="DV5" s="3653" t="s">
        <v>3734</v>
      </c>
      <c r="DW5" s="3653" t="s">
        <v>3735</v>
      </c>
      <c r="DX5" s="3653" t="s">
        <v>3736</v>
      </c>
      <c r="DY5" s="3653" t="s">
        <v>3737</v>
      </c>
      <c r="DZ5" s="3653" t="s">
        <v>3738</v>
      </c>
      <c r="EA5" s="3653" t="s">
        <v>3739</v>
      </c>
      <c r="EB5" s="3653" t="s">
        <v>3740</v>
      </c>
      <c r="EC5" s="3653" t="s">
        <v>3741</v>
      </c>
      <c r="ED5" s="3653" t="s">
        <v>2235</v>
      </c>
      <c r="EE5" s="3653" t="s">
        <v>2236</v>
      </c>
      <c r="EF5" s="3653" t="s">
        <v>2237</v>
      </c>
      <c r="EG5" s="3653" t="s">
        <v>2238</v>
      </c>
      <c r="EH5" s="3653" t="s">
        <v>2239</v>
      </c>
      <c r="EI5" s="3653" t="s">
        <v>3742</v>
      </c>
      <c r="EJ5" s="3653" t="s">
        <v>3743</v>
      </c>
      <c r="EK5" s="3653" t="s">
        <v>3744</v>
      </c>
      <c r="EL5" s="3653" t="s">
        <v>3745</v>
      </c>
      <c r="EM5" s="3653" t="s">
        <v>3746</v>
      </c>
      <c r="EN5" s="3653" t="s">
        <v>3747</v>
      </c>
      <c r="EO5" s="3653" t="s">
        <v>3748</v>
      </c>
      <c r="EP5" s="3653" t="s">
        <v>3749</v>
      </c>
      <c r="EQ5" s="3653" t="s">
        <v>3750</v>
      </c>
      <c r="ER5" s="3653" t="s">
        <v>3751</v>
      </c>
      <c r="ES5" s="3653" t="s">
        <v>111</v>
      </c>
      <c r="ET5" s="3653" t="s">
        <v>1083</v>
      </c>
      <c r="EU5" s="3653" t="s">
        <v>1084</v>
      </c>
      <c r="EV5" s="3653" t="s">
        <v>1139</v>
      </c>
      <c r="EW5" s="3653" t="s">
        <v>1140</v>
      </c>
      <c r="EX5" s="3653" t="s">
        <v>126</v>
      </c>
      <c r="EY5" s="3653" t="s">
        <v>1141</v>
      </c>
      <c r="EZ5" s="3653" t="s">
        <v>1142</v>
      </c>
      <c r="FA5" s="3653" t="s">
        <v>1143</v>
      </c>
      <c r="FB5" s="3653" t="s">
        <v>1144</v>
      </c>
      <c r="FC5" s="3653" t="s">
        <v>3752</v>
      </c>
      <c r="FD5" s="3653" t="s">
        <v>3753</v>
      </c>
      <c r="FE5" s="3653" t="s">
        <v>3754</v>
      </c>
      <c r="FF5" s="3653" t="s">
        <v>3755</v>
      </c>
      <c r="FG5" s="3653" t="s">
        <v>3756</v>
      </c>
      <c r="FH5" s="3653" t="s">
        <v>125</v>
      </c>
      <c r="FI5" s="3653" t="s">
        <v>853</v>
      </c>
      <c r="FJ5" s="3653" t="s">
        <v>854</v>
      </c>
      <c r="FK5" s="3653" t="s">
        <v>855</v>
      </c>
      <c r="FL5" s="3653" t="s">
        <v>856</v>
      </c>
      <c r="FM5" s="3653" t="s">
        <v>3757</v>
      </c>
      <c r="FN5" s="3653" t="s">
        <v>3758</v>
      </c>
      <c r="FO5" s="3653" t="s">
        <v>3759</v>
      </c>
      <c r="FP5" s="3653" t="s">
        <v>3760</v>
      </c>
      <c r="FQ5" s="3653" t="s">
        <v>3761</v>
      </c>
      <c r="FR5" s="3653" t="s">
        <v>124</v>
      </c>
      <c r="FS5" s="3653" t="s">
        <v>857</v>
      </c>
      <c r="FT5" s="3653" t="s">
        <v>858</v>
      </c>
      <c r="FU5" s="3653" t="s">
        <v>859</v>
      </c>
      <c r="FV5" s="3653" t="s">
        <v>860</v>
      </c>
      <c r="FW5" s="3653" t="s">
        <v>752</v>
      </c>
      <c r="FX5" s="3653" t="s">
        <v>753</v>
      </c>
      <c r="FY5" s="3653" t="s">
        <v>754</v>
      </c>
      <c r="FZ5" s="3653" t="s">
        <v>755</v>
      </c>
      <c r="GA5" s="3653" t="s">
        <v>756</v>
      </c>
      <c r="GB5" s="3653" t="s">
        <v>896</v>
      </c>
      <c r="GC5" s="3653" t="s">
        <v>897</v>
      </c>
      <c r="GD5" s="3653" t="s">
        <v>898</v>
      </c>
      <c r="GE5" s="3653" t="s">
        <v>899</v>
      </c>
      <c r="GF5" s="3653" t="s">
        <v>2234</v>
      </c>
      <c r="GG5" s="3653" t="s">
        <v>1344</v>
      </c>
      <c r="GH5" s="3653" t="s">
        <v>1345</v>
      </c>
      <c r="GI5" s="3653" t="s">
        <v>1346</v>
      </c>
      <c r="GJ5" s="3653" t="s">
        <v>1347</v>
      </c>
      <c r="GK5" s="3653" t="s">
        <v>1348</v>
      </c>
      <c r="GL5" s="3653" t="s">
        <v>411</v>
      </c>
      <c r="GM5" s="3653" t="s">
        <v>412</v>
      </c>
      <c r="GN5" s="3653" t="s">
        <v>413</v>
      </c>
      <c r="GO5" s="3653" t="s">
        <v>414</v>
      </c>
      <c r="GP5" s="3653" t="s">
        <v>415</v>
      </c>
      <c r="GQ5" s="3653" t="s">
        <v>14</v>
      </c>
      <c r="GR5" s="3653" t="s">
        <v>15</v>
      </c>
      <c r="GS5" s="3653" t="s">
        <v>16</v>
      </c>
      <c r="GT5" s="3653" t="s">
        <v>17</v>
      </c>
      <c r="GU5" s="3653" t="s">
        <v>18</v>
      </c>
      <c r="GV5" s="3653" t="s">
        <v>214</v>
      </c>
      <c r="GW5" s="3653" t="s">
        <v>215</v>
      </c>
      <c r="GX5" s="3653" t="s">
        <v>216</v>
      </c>
      <c r="GY5" s="3653" t="s">
        <v>1680</v>
      </c>
      <c r="GZ5" s="3653" t="s">
        <v>1681</v>
      </c>
      <c r="HA5" s="3653" t="s">
        <v>1682</v>
      </c>
      <c r="HB5" s="3653" t="s">
        <v>550</v>
      </c>
      <c r="HC5" s="3653" t="s">
        <v>551</v>
      </c>
      <c r="HD5" s="3653" t="s">
        <v>552</v>
      </c>
      <c r="HE5" s="3653" t="s">
        <v>553</v>
      </c>
      <c r="HF5" s="3653" t="s">
        <v>19</v>
      </c>
      <c r="HG5" s="3653" t="s">
        <v>20</v>
      </c>
      <c r="HH5" s="3653" t="s">
        <v>21</v>
      </c>
      <c r="HI5" s="3653" t="s">
        <v>22</v>
      </c>
      <c r="HJ5" s="3653" t="s">
        <v>23</v>
      </c>
      <c r="HK5" s="3653" t="s">
        <v>465</v>
      </c>
      <c r="HL5" s="3653" t="s">
        <v>407</v>
      </c>
      <c r="HM5" s="3653" t="s">
        <v>408</v>
      </c>
      <c r="HN5" s="3653" t="s">
        <v>409</v>
      </c>
      <c r="HO5" s="3653" t="s">
        <v>410</v>
      </c>
      <c r="HP5" s="3653" t="s">
        <v>2042</v>
      </c>
      <c r="HQ5" s="3653" t="s">
        <v>2043</v>
      </c>
      <c r="HR5" s="3653" t="s">
        <v>2044</v>
      </c>
      <c r="HS5" s="3653" t="s">
        <v>1385</v>
      </c>
      <c r="HT5" s="3653" t="s">
        <v>1386</v>
      </c>
      <c r="HU5" s="3653" t="s">
        <v>24</v>
      </c>
      <c r="HV5" s="3653" t="s">
        <v>25</v>
      </c>
      <c r="HW5" s="3653" t="s">
        <v>26</v>
      </c>
      <c r="HX5" s="3653" t="s">
        <v>27</v>
      </c>
      <c r="HY5" s="3653"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653" t="s">
        <v>1518</v>
      </c>
      <c r="LH5" s="3653" t="s">
        <v>2321</v>
      </c>
      <c r="LI5" s="3653" t="s">
        <v>2322</v>
      </c>
      <c r="LJ5" s="3653" t="s">
        <v>364</v>
      </c>
      <c r="LK5" s="3653" t="s">
        <v>365</v>
      </c>
      <c r="LL5" s="3653" t="s">
        <v>366</v>
      </c>
      <c r="LM5" s="3653" t="s">
        <v>367</v>
      </c>
      <c r="LN5" s="3653" t="s">
        <v>368</v>
      </c>
      <c r="LO5" s="3653" t="s">
        <v>369</v>
      </c>
      <c r="LP5" s="3653" t="s">
        <v>370</v>
      </c>
      <c r="LQ5" s="3653" t="s">
        <v>195</v>
      </c>
      <c r="LR5" s="3653" t="s">
        <v>196</v>
      </c>
      <c r="LS5" s="3653" t="s">
        <v>197</v>
      </c>
      <c r="LT5" s="3653" t="s">
        <v>198</v>
      </c>
      <c r="LU5" s="3653" t="s">
        <v>199</v>
      </c>
      <c r="LV5" s="3653" t="s">
        <v>200</v>
      </c>
      <c r="LW5" s="3653" t="s">
        <v>201</v>
      </c>
      <c r="LX5" s="3653" t="s">
        <v>202</v>
      </c>
      <c r="LY5" s="3653" t="s">
        <v>203</v>
      </c>
      <c r="LZ5" s="3653" t="s">
        <v>204</v>
      </c>
      <c r="MA5" s="3653" t="s">
        <v>205</v>
      </c>
      <c r="MB5" s="3653" t="s">
        <v>206</v>
      </c>
      <c r="MC5" s="3653" t="s">
        <v>207</v>
      </c>
      <c r="MD5" s="3653" t="s">
        <v>208</v>
      </c>
      <c r="ME5" s="3653" t="s">
        <v>209</v>
      </c>
      <c r="MF5" s="3653"/>
      <c r="MG5" s="3653"/>
      <c r="MH5" s="3653"/>
      <c r="MI5" s="3653"/>
      <c r="MJ5" s="3653"/>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66" t="str">
        <f>IF(A49&gt;0,"Finish Row!","")</f>
        <v/>
      </c>
      <c r="B6" s="141" t="s">
        <v>6095</v>
      </c>
      <c r="D6" s="1515"/>
      <c r="E6" s="1515"/>
      <c r="F6" s="1515"/>
      <c r="G6" s="1211" t="s">
        <v>194</v>
      </c>
      <c r="H6" s="3574" t="s">
        <v>6097</v>
      </c>
      <c r="I6" s="3575"/>
      <c r="J6" s="3575"/>
      <c r="K6" s="686" t="s">
        <v>3135</v>
      </c>
      <c r="L6" s="3691" t="str">
        <f>'Part I-Project Identification'!$A$6</f>
        <v>Sept 2023</v>
      </c>
      <c r="M6" s="3691"/>
      <c r="N6" s="3691"/>
      <c r="O6" s="1717" t="s">
        <v>6077</v>
      </c>
      <c r="P6" s="1505">
        <v>63700</v>
      </c>
      <c r="Q6" s="3654"/>
      <c r="R6" s="830"/>
      <c r="S6" s="72"/>
      <c r="U6" s="72"/>
      <c r="X6" s="3653"/>
      <c r="Y6" s="3653"/>
      <c r="Z6" s="3653"/>
      <c r="AA6" s="3653"/>
      <c r="AB6" s="3653"/>
      <c r="AC6" s="3653"/>
      <c r="AD6" s="3653"/>
      <c r="AE6" s="3653"/>
      <c r="AF6" s="3653"/>
      <c r="AG6" s="3653"/>
      <c r="AH6" s="3653"/>
      <c r="AI6" s="3653"/>
      <c r="AJ6" s="3653"/>
      <c r="AK6" s="3653"/>
      <c r="AL6" s="3653"/>
      <c r="AM6" s="3653"/>
      <c r="AN6" s="3653"/>
      <c r="AO6" s="3653"/>
      <c r="AP6" s="3653"/>
      <c r="AQ6" s="3653"/>
      <c r="AR6" s="3653"/>
      <c r="AS6" s="3653"/>
      <c r="AT6" s="3653"/>
      <c r="AU6" s="3653"/>
      <c r="AV6" s="3653"/>
      <c r="AW6" s="3653"/>
      <c r="AX6" s="3653"/>
      <c r="AY6" s="3653"/>
      <c r="AZ6" s="3653"/>
      <c r="BA6" s="3653"/>
      <c r="BB6" s="3653"/>
      <c r="BC6" s="3653"/>
      <c r="BD6" s="3653"/>
      <c r="BE6" s="3653"/>
      <c r="BF6" s="3653"/>
      <c r="BG6" s="3653"/>
      <c r="BH6" s="3653"/>
      <c r="BI6" s="3653"/>
      <c r="BJ6" s="3653"/>
      <c r="BK6" s="3653"/>
      <c r="BL6" s="3653"/>
      <c r="BM6" s="3653"/>
      <c r="BN6" s="3653"/>
      <c r="BO6" s="3653"/>
      <c r="BP6" s="3653"/>
      <c r="BQ6" s="3653"/>
      <c r="BR6" s="3653"/>
      <c r="BS6" s="3653"/>
      <c r="BT6" s="3653"/>
      <c r="BU6" s="3653"/>
      <c r="BV6" s="3653"/>
      <c r="BW6" s="3653"/>
      <c r="BX6" s="3653"/>
      <c r="BY6" s="3653"/>
      <c r="BZ6" s="3653"/>
      <c r="CA6" s="3653"/>
      <c r="CB6" s="3653"/>
      <c r="CC6" s="3653"/>
      <c r="CD6" s="3653"/>
      <c r="CE6" s="3653"/>
      <c r="CF6" s="3653"/>
      <c r="CG6" s="3653"/>
      <c r="CH6" s="3653"/>
      <c r="CI6" s="3653"/>
      <c r="CJ6" s="3653"/>
      <c r="CK6" s="3653"/>
      <c r="CL6" s="3653"/>
      <c r="CM6" s="3653"/>
      <c r="CN6" s="3653"/>
      <c r="CO6" s="3653"/>
      <c r="CP6" s="3653"/>
      <c r="CQ6" s="3653"/>
      <c r="CR6" s="3653"/>
      <c r="CS6" s="3653"/>
      <c r="CT6" s="3653"/>
      <c r="CU6" s="3653"/>
      <c r="CV6" s="3653"/>
      <c r="CW6" s="3653"/>
      <c r="CX6" s="3653"/>
      <c r="CY6" s="3653"/>
      <c r="CZ6" s="3653"/>
      <c r="DA6" s="3653"/>
      <c r="DB6" s="3653"/>
      <c r="DC6" s="3653"/>
      <c r="DD6" s="3653"/>
      <c r="DE6" s="3653"/>
      <c r="DF6" s="3653"/>
      <c r="DG6" s="3653"/>
      <c r="DH6" s="3653"/>
      <c r="DI6" s="3653"/>
      <c r="DJ6" s="3653"/>
      <c r="DK6" s="3653"/>
      <c r="DL6" s="3653"/>
      <c r="DM6" s="3653"/>
      <c r="DN6" s="3653"/>
      <c r="DO6" s="3653"/>
      <c r="DP6" s="3653"/>
      <c r="DQ6" s="3653"/>
      <c r="DR6" s="3653"/>
      <c r="DS6" s="3653"/>
      <c r="DT6" s="3653"/>
      <c r="DU6" s="3653"/>
      <c r="DV6" s="3653"/>
      <c r="DW6" s="3653"/>
      <c r="DX6" s="3653"/>
      <c r="DY6" s="3653"/>
      <c r="DZ6" s="3653"/>
      <c r="EA6" s="3653"/>
      <c r="EB6" s="3653"/>
      <c r="EC6" s="3653"/>
      <c r="ED6" s="3653"/>
      <c r="EE6" s="3653"/>
      <c r="EF6" s="3653"/>
      <c r="EG6" s="3653"/>
      <c r="EH6" s="3653"/>
      <c r="EI6" s="3653"/>
      <c r="EJ6" s="3653"/>
      <c r="EK6" s="3653"/>
      <c r="EL6" s="3653"/>
      <c r="EM6" s="3653"/>
      <c r="EN6" s="3653"/>
      <c r="EO6" s="3653"/>
      <c r="EP6" s="3653"/>
      <c r="EQ6" s="3653"/>
      <c r="ER6" s="3653"/>
      <c r="ES6" s="3653"/>
      <c r="ET6" s="3653"/>
      <c r="EU6" s="3653"/>
      <c r="EV6" s="3653"/>
      <c r="EW6" s="3653"/>
      <c r="EX6" s="3653"/>
      <c r="EY6" s="3653"/>
      <c r="EZ6" s="3653"/>
      <c r="FA6" s="3653"/>
      <c r="FB6" s="3653"/>
      <c r="FC6" s="3653"/>
      <c r="FD6" s="3653"/>
      <c r="FE6" s="3653"/>
      <c r="FF6" s="3653"/>
      <c r="FG6" s="3653"/>
      <c r="FH6" s="3653"/>
      <c r="FI6" s="3653"/>
      <c r="FJ6" s="3653"/>
      <c r="FK6" s="3653"/>
      <c r="FL6" s="3653"/>
      <c r="FM6" s="3653"/>
      <c r="FN6" s="3653"/>
      <c r="FO6" s="3653"/>
      <c r="FP6" s="3653"/>
      <c r="FQ6" s="3653"/>
      <c r="FR6" s="3653"/>
      <c r="FS6" s="3653"/>
      <c r="FT6" s="3653"/>
      <c r="FU6" s="3653"/>
      <c r="FV6" s="3653"/>
      <c r="FW6" s="3653"/>
      <c r="FX6" s="3653"/>
      <c r="FY6" s="3653"/>
      <c r="FZ6" s="3653"/>
      <c r="GA6" s="3653"/>
      <c r="GB6" s="3653"/>
      <c r="GC6" s="3653"/>
      <c r="GD6" s="3653"/>
      <c r="GE6" s="3653"/>
      <c r="GF6" s="3653"/>
      <c r="GG6" s="3653"/>
      <c r="GH6" s="3653"/>
      <c r="GI6" s="3653"/>
      <c r="GJ6" s="3653"/>
      <c r="GK6" s="3653"/>
      <c r="GL6" s="3653"/>
      <c r="GM6" s="3653"/>
      <c r="GN6" s="3653"/>
      <c r="GO6" s="3653"/>
      <c r="GP6" s="3653"/>
      <c r="GQ6" s="3653"/>
      <c r="GR6" s="3653"/>
      <c r="GS6" s="3653"/>
      <c r="GT6" s="3653"/>
      <c r="GU6" s="3653"/>
      <c r="GV6" s="3653"/>
      <c r="GW6" s="3653"/>
      <c r="GX6" s="3653"/>
      <c r="GY6" s="3653"/>
      <c r="GZ6" s="3653"/>
      <c r="HA6" s="3653"/>
      <c r="HB6" s="3653"/>
      <c r="HC6" s="3653"/>
      <c r="HD6" s="3653"/>
      <c r="HE6" s="3653"/>
      <c r="HF6" s="3653"/>
      <c r="HG6" s="3653"/>
      <c r="HH6" s="3653"/>
      <c r="HI6" s="3653"/>
      <c r="HJ6" s="3653"/>
      <c r="HK6" s="3653"/>
      <c r="HL6" s="3653"/>
      <c r="HM6" s="3653"/>
      <c r="HN6" s="3653"/>
      <c r="HO6" s="3653"/>
      <c r="HP6" s="3653"/>
      <c r="HQ6" s="3653"/>
      <c r="HR6" s="3653"/>
      <c r="HS6" s="3653"/>
      <c r="HT6" s="3653"/>
      <c r="HU6" s="3653"/>
      <c r="HV6" s="3653"/>
      <c r="HW6" s="3653"/>
      <c r="HX6" s="3653"/>
      <c r="HY6" s="3653"/>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653"/>
      <c r="LH6" s="3653"/>
      <c r="LI6" s="3653"/>
      <c r="LJ6" s="3653"/>
      <c r="LK6" s="3653"/>
      <c r="LL6" s="3653"/>
      <c r="LM6" s="3653"/>
      <c r="LN6" s="3653"/>
      <c r="LO6" s="3653"/>
      <c r="LP6" s="3653"/>
      <c r="LQ6" s="3653"/>
      <c r="LR6" s="3653"/>
      <c r="LS6" s="3653"/>
      <c r="LT6" s="3653"/>
      <c r="LU6" s="3653"/>
      <c r="LV6" s="3653"/>
      <c r="LW6" s="3653"/>
      <c r="LX6" s="3653"/>
      <c r="LY6" s="3653"/>
      <c r="LZ6" s="3653"/>
      <c r="MA6" s="3653"/>
      <c r="MB6" s="3653"/>
      <c r="MC6" s="3653"/>
      <c r="MD6" s="3653"/>
      <c r="ME6" s="3653"/>
      <c r="MF6" s="3653"/>
      <c r="MG6" s="3653"/>
      <c r="MH6" s="3653"/>
      <c r="MI6" s="3653"/>
      <c r="MJ6" s="3653"/>
      <c r="MK6" s="3665" t="s">
        <v>3040</v>
      </c>
      <c r="ML6" s="3665" t="s">
        <v>3041</v>
      </c>
      <c r="MM6" s="3665" t="s">
        <v>3042</v>
      </c>
      <c r="MN6" s="3665" t="s">
        <v>3043</v>
      </c>
      <c r="MO6" s="3665" t="s">
        <v>3044</v>
      </c>
      <c r="MP6" s="3653" t="s">
        <v>6281</v>
      </c>
      <c r="MQ6" s="3653" t="s">
        <v>6282</v>
      </c>
      <c r="MR6" s="3653" t="s">
        <v>6283</v>
      </c>
      <c r="MS6" s="3653" t="s">
        <v>6284</v>
      </c>
      <c r="MT6" s="3653" t="s">
        <v>6285</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66"/>
      <c r="B7" s="23" t="s">
        <v>6096</v>
      </c>
      <c r="E7" s="4"/>
      <c r="G7" s="1246" t="s">
        <v>194</v>
      </c>
      <c r="I7" s="3671" t="s">
        <v>4071</v>
      </c>
      <c r="J7" s="686" t="s">
        <v>742</v>
      </c>
      <c r="K7" s="686" t="s">
        <v>3182</v>
      </c>
      <c r="L7" s="3691"/>
      <c r="M7" s="3691"/>
      <c r="N7" s="3691"/>
      <c r="O7" s="1718" t="s">
        <v>6076</v>
      </c>
      <c r="P7" s="1543">
        <v>45061</v>
      </c>
      <c r="Q7" s="3654"/>
      <c r="R7" s="3662" t="s">
        <v>2457</v>
      </c>
      <c r="S7" s="3662"/>
      <c r="X7" s="3653"/>
      <c r="Y7" s="3653"/>
      <c r="Z7" s="3653"/>
      <c r="AA7" s="3653"/>
      <c r="AB7" s="3653"/>
      <c r="AC7" s="3653"/>
      <c r="AD7" s="3653"/>
      <c r="AE7" s="3653"/>
      <c r="AF7" s="3653"/>
      <c r="AG7" s="3653"/>
      <c r="AH7" s="3653"/>
      <c r="AI7" s="3653"/>
      <c r="AJ7" s="3653"/>
      <c r="AK7" s="3653"/>
      <c r="AL7" s="3653"/>
      <c r="AM7" s="3653"/>
      <c r="AN7" s="3653"/>
      <c r="AO7" s="3653"/>
      <c r="AP7" s="3653"/>
      <c r="AQ7" s="3653"/>
      <c r="AR7" s="3653"/>
      <c r="AS7" s="3653"/>
      <c r="AT7" s="3653"/>
      <c r="AU7" s="3653"/>
      <c r="AV7" s="3653"/>
      <c r="AW7" s="3653"/>
      <c r="AX7" s="3653"/>
      <c r="AY7" s="3653"/>
      <c r="AZ7" s="3653"/>
      <c r="BA7" s="3653"/>
      <c r="BB7" s="3653"/>
      <c r="BC7" s="3653"/>
      <c r="BD7" s="3653"/>
      <c r="BE7" s="3653"/>
      <c r="BF7" s="3653"/>
      <c r="BG7" s="3653"/>
      <c r="BH7" s="3653"/>
      <c r="BI7" s="3653"/>
      <c r="BJ7" s="3653"/>
      <c r="BK7" s="3653"/>
      <c r="BL7" s="3653"/>
      <c r="BM7" s="3653"/>
      <c r="BN7" s="3653"/>
      <c r="BO7" s="3653"/>
      <c r="BP7" s="3653"/>
      <c r="BQ7" s="3653"/>
      <c r="BR7" s="3653"/>
      <c r="BS7" s="3653"/>
      <c r="BT7" s="3653"/>
      <c r="BU7" s="3653"/>
      <c r="BV7" s="3653"/>
      <c r="BW7" s="3653"/>
      <c r="BX7" s="3653"/>
      <c r="BY7" s="3653"/>
      <c r="BZ7" s="3653"/>
      <c r="CA7" s="3653"/>
      <c r="CB7" s="3653"/>
      <c r="CC7" s="3653"/>
      <c r="CD7" s="3653"/>
      <c r="CE7" s="3653"/>
      <c r="CF7" s="3653"/>
      <c r="CG7" s="3653"/>
      <c r="CH7" s="3653"/>
      <c r="CI7" s="3653"/>
      <c r="CJ7" s="3653"/>
      <c r="CK7" s="3653"/>
      <c r="CL7" s="3653"/>
      <c r="CM7" s="3653"/>
      <c r="CN7" s="3653"/>
      <c r="CO7" s="3653"/>
      <c r="CP7" s="3653"/>
      <c r="CQ7" s="3653"/>
      <c r="CR7" s="3653"/>
      <c r="CS7" s="3653"/>
      <c r="CT7" s="3653"/>
      <c r="CU7" s="3653"/>
      <c r="CV7" s="3653"/>
      <c r="CW7" s="3653"/>
      <c r="CX7" s="3653"/>
      <c r="CY7" s="3653"/>
      <c r="CZ7" s="3653"/>
      <c r="DA7" s="3653"/>
      <c r="DB7" s="3653"/>
      <c r="DC7" s="3653"/>
      <c r="DD7" s="3653"/>
      <c r="DE7" s="3653"/>
      <c r="DF7" s="3653"/>
      <c r="DG7" s="3653"/>
      <c r="DH7" s="3653"/>
      <c r="DI7" s="3653"/>
      <c r="DJ7" s="3653"/>
      <c r="DK7" s="3653"/>
      <c r="DL7" s="3653"/>
      <c r="DM7" s="3653"/>
      <c r="DN7" s="3653"/>
      <c r="DO7" s="3653"/>
      <c r="DP7" s="3653"/>
      <c r="DQ7" s="3653"/>
      <c r="DR7" s="3653"/>
      <c r="DS7" s="3653"/>
      <c r="DT7" s="3653"/>
      <c r="DU7" s="3653"/>
      <c r="DV7" s="3653"/>
      <c r="DW7" s="3653"/>
      <c r="DX7" s="3653"/>
      <c r="DY7" s="3653"/>
      <c r="DZ7" s="3653"/>
      <c r="EA7" s="3653"/>
      <c r="EB7" s="3653"/>
      <c r="EC7" s="3653"/>
      <c r="ED7" s="3653"/>
      <c r="EE7" s="3653"/>
      <c r="EF7" s="3653"/>
      <c r="EG7" s="3653"/>
      <c r="EH7" s="3653"/>
      <c r="EI7" s="3653"/>
      <c r="EJ7" s="3653"/>
      <c r="EK7" s="3653"/>
      <c r="EL7" s="3653"/>
      <c r="EM7" s="3653"/>
      <c r="EN7" s="3653"/>
      <c r="EO7" s="3653"/>
      <c r="EP7" s="3653"/>
      <c r="EQ7" s="3653"/>
      <c r="ER7" s="3653"/>
      <c r="ES7" s="3653"/>
      <c r="ET7" s="3653"/>
      <c r="EU7" s="3653"/>
      <c r="EV7" s="3653"/>
      <c r="EW7" s="3653"/>
      <c r="EX7" s="3653"/>
      <c r="EY7" s="3653"/>
      <c r="EZ7" s="3653"/>
      <c r="FA7" s="3653"/>
      <c r="FB7" s="3653"/>
      <c r="FC7" s="3653"/>
      <c r="FD7" s="3653"/>
      <c r="FE7" s="3653"/>
      <c r="FF7" s="3653"/>
      <c r="FG7" s="3653"/>
      <c r="FH7" s="3653"/>
      <c r="FI7" s="3653"/>
      <c r="FJ7" s="3653"/>
      <c r="FK7" s="3653"/>
      <c r="FL7" s="3653"/>
      <c r="FM7" s="3653"/>
      <c r="FN7" s="3653"/>
      <c r="FO7" s="3653"/>
      <c r="FP7" s="3653"/>
      <c r="FQ7" s="3653"/>
      <c r="FR7" s="3653"/>
      <c r="FS7" s="3653"/>
      <c r="FT7" s="3653"/>
      <c r="FU7" s="3653"/>
      <c r="FV7" s="3653"/>
      <c r="FW7" s="3653"/>
      <c r="FX7" s="3653"/>
      <c r="FY7" s="3653"/>
      <c r="FZ7" s="3653"/>
      <c r="GA7" s="3653"/>
      <c r="GB7" s="3653"/>
      <c r="GC7" s="3653"/>
      <c r="GD7" s="3653"/>
      <c r="GE7" s="3653"/>
      <c r="GF7" s="3653"/>
      <c r="GG7" s="3653"/>
      <c r="GH7" s="3653"/>
      <c r="GI7" s="3653"/>
      <c r="GJ7" s="3653"/>
      <c r="GK7" s="3653"/>
      <c r="GL7" s="3653"/>
      <c r="GM7" s="3653"/>
      <c r="GN7" s="3653"/>
      <c r="GO7" s="3653"/>
      <c r="GP7" s="3653"/>
      <c r="GQ7" s="3653"/>
      <c r="GR7" s="3653"/>
      <c r="GS7" s="3653"/>
      <c r="GT7" s="3653"/>
      <c r="GU7" s="3653"/>
      <c r="GV7" s="3653"/>
      <c r="GW7" s="3653"/>
      <c r="GX7" s="3653"/>
      <c r="GY7" s="3653"/>
      <c r="GZ7" s="3653"/>
      <c r="HA7" s="3653"/>
      <c r="HB7" s="3653"/>
      <c r="HC7" s="3653"/>
      <c r="HD7" s="3653"/>
      <c r="HE7" s="3653"/>
      <c r="HF7" s="3653"/>
      <c r="HG7" s="3653"/>
      <c r="HH7" s="3653"/>
      <c r="HI7" s="3653"/>
      <c r="HJ7" s="3653"/>
      <c r="HK7" s="3653"/>
      <c r="HL7" s="3653"/>
      <c r="HM7" s="3653"/>
      <c r="HN7" s="3653"/>
      <c r="HO7" s="3653"/>
      <c r="HP7" s="3653"/>
      <c r="HQ7" s="3653"/>
      <c r="HR7" s="3653"/>
      <c r="HS7" s="3653"/>
      <c r="HT7" s="3653"/>
      <c r="HU7" s="3653"/>
      <c r="HV7" s="3653"/>
      <c r="HW7" s="3653"/>
      <c r="HX7" s="3653"/>
      <c r="HY7" s="3653"/>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653"/>
      <c r="LH7" s="3653"/>
      <c r="LI7" s="3653"/>
      <c r="LJ7" s="3653"/>
      <c r="LK7" s="3653"/>
      <c r="LL7" s="3653"/>
      <c r="LM7" s="3653"/>
      <c r="LN7" s="3653"/>
      <c r="LO7" s="3653"/>
      <c r="LP7" s="3653"/>
      <c r="LQ7" s="3653"/>
      <c r="LR7" s="3653"/>
      <c r="LS7" s="3653"/>
      <c r="LT7" s="3653"/>
      <c r="LU7" s="3653"/>
      <c r="LV7" s="3653"/>
      <c r="LW7" s="3653"/>
      <c r="LX7" s="3653"/>
      <c r="LY7" s="3653"/>
      <c r="LZ7" s="3653"/>
      <c r="MA7" s="3653"/>
      <c r="MB7" s="3653"/>
      <c r="MC7" s="3653"/>
      <c r="MD7" s="3653"/>
      <c r="ME7" s="3653"/>
      <c r="MF7" s="3653"/>
      <c r="MG7" s="3653"/>
      <c r="MH7" s="3653"/>
      <c r="MI7" s="3653"/>
      <c r="MJ7" s="3653"/>
      <c r="MK7" s="3665"/>
      <c r="ML7" s="3665"/>
      <c r="MM7" s="3665"/>
      <c r="MN7" s="3665"/>
      <c r="MO7" s="3665"/>
      <c r="MP7" s="3653"/>
      <c r="MQ7" s="3653"/>
      <c r="MR7" s="3653"/>
      <c r="MS7" s="3653"/>
      <c r="MT7" s="3653"/>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66"/>
      <c r="B8" s="831" t="s">
        <v>3764</v>
      </c>
      <c r="C8" s="1"/>
      <c r="E8" s="1"/>
      <c r="F8" s="1"/>
      <c r="I8" s="3671"/>
      <c r="J8" s="686" t="s">
        <v>743</v>
      </c>
      <c r="K8" s="686" t="s">
        <v>3183</v>
      </c>
      <c r="L8" s="667"/>
      <c r="M8" s="667"/>
      <c r="N8" s="1716" t="s">
        <v>6480</v>
      </c>
      <c r="O8" s="3673" t="s">
        <v>7075</v>
      </c>
      <c r="P8" s="3674"/>
      <c r="Q8" s="3654"/>
      <c r="R8" s="668"/>
      <c r="S8" s="670" t="s">
        <v>2454</v>
      </c>
      <c r="T8" s="337"/>
      <c r="W8" s="338"/>
      <c r="X8" s="3653"/>
      <c r="Y8" s="3653"/>
      <c r="Z8" s="3653"/>
      <c r="AA8" s="3653"/>
      <c r="AB8" s="3653"/>
      <c r="AC8" s="3653"/>
      <c r="AD8" s="3653"/>
      <c r="AE8" s="3653"/>
      <c r="AF8" s="3653"/>
      <c r="AG8" s="3653"/>
      <c r="AH8" s="3653"/>
      <c r="AI8" s="3653"/>
      <c r="AJ8" s="3653"/>
      <c r="AK8" s="3653"/>
      <c r="AL8" s="3653"/>
      <c r="AM8" s="3653"/>
      <c r="AN8" s="3653"/>
      <c r="AO8" s="3653"/>
      <c r="AP8" s="3653"/>
      <c r="AQ8" s="3653"/>
      <c r="AR8" s="3653"/>
      <c r="AS8" s="3653"/>
      <c r="AT8" s="3653"/>
      <c r="AU8" s="3653"/>
      <c r="AV8" s="3653"/>
      <c r="AW8" s="3653"/>
      <c r="AX8" s="3653"/>
      <c r="AY8" s="3653"/>
      <c r="AZ8" s="3653"/>
      <c r="BA8" s="3653"/>
      <c r="BB8" s="3653"/>
      <c r="BC8" s="3653"/>
      <c r="BD8" s="3653"/>
      <c r="BE8" s="3653"/>
      <c r="BF8" s="3653"/>
      <c r="BG8" s="3653"/>
      <c r="BH8" s="3653"/>
      <c r="BI8" s="3653"/>
      <c r="BJ8" s="3653"/>
      <c r="BK8" s="3653"/>
      <c r="BL8" s="3653"/>
      <c r="BM8" s="3653"/>
      <c r="BN8" s="3653"/>
      <c r="BO8" s="3653"/>
      <c r="BP8" s="3653"/>
      <c r="BQ8" s="3653"/>
      <c r="BR8" s="3653"/>
      <c r="BS8" s="3653"/>
      <c r="BT8" s="3653"/>
      <c r="BU8" s="3653"/>
      <c r="BV8" s="3653"/>
      <c r="BW8" s="3653"/>
      <c r="BX8" s="3653"/>
      <c r="BY8" s="3653"/>
      <c r="BZ8" s="3653"/>
      <c r="CA8" s="3653"/>
      <c r="CB8" s="3653"/>
      <c r="CC8" s="3653"/>
      <c r="CD8" s="3653"/>
      <c r="CE8" s="3653"/>
      <c r="CF8" s="3653"/>
      <c r="CG8" s="3653"/>
      <c r="CH8" s="3653"/>
      <c r="CI8" s="3653"/>
      <c r="CJ8" s="3653"/>
      <c r="CK8" s="3653"/>
      <c r="CL8" s="3653"/>
      <c r="CM8" s="3653"/>
      <c r="CN8" s="3653"/>
      <c r="CO8" s="3653"/>
      <c r="CP8" s="3653"/>
      <c r="CQ8" s="3653"/>
      <c r="CR8" s="3653"/>
      <c r="CS8" s="3653"/>
      <c r="CT8" s="3653"/>
      <c r="CU8" s="3653"/>
      <c r="CV8" s="3653"/>
      <c r="CW8" s="3653"/>
      <c r="CX8" s="3653"/>
      <c r="CY8" s="3653"/>
      <c r="CZ8" s="3653"/>
      <c r="DA8" s="3653"/>
      <c r="DB8" s="3653"/>
      <c r="DC8" s="3653"/>
      <c r="DD8" s="3653"/>
      <c r="DE8" s="3653"/>
      <c r="DF8" s="3653"/>
      <c r="DG8" s="3653"/>
      <c r="DH8" s="3653"/>
      <c r="DI8" s="3653"/>
      <c r="DJ8" s="3653"/>
      <c r="DK8" s="3653"/>
      <c r="DL8" s="3653"/>
      <c r="DM8" s="3653"/>
      <c r="DN8" s="3653"/>
      <c r="DO8" s="3653"/>
      <c r="DP8" s="3653"/>
      <c r="DQ8" s="3653"/>
      <c r="DR8" s="3653"/>
      <c r="DS8" s="3653"/>
      <c r="DT8" s="3653"/>
      <c r="DU8" s="3653"/>
      <c r="DV8" s="3653"/>
      <c r="DW8" s="3653"/>
      <c r="DX8" s="3653"/>
      <c r="DY8" s="3653"/>
      <c r="DZ8" s="3653"/>
      <c r="EA8" s="3653"/>
      <c r="EB8" s="3653"/>
      <c r="EC8" s="3653"/>
      <c r="ED8" s="3653"/>
      <c r="EE8" s="3653"/>
      <c r="EF8" s="3653"/>
      <c r="EG8" s="3653"/>
      <c r="EH8" s="3653"/>
      <c r="EI8" s="3653"/>
      <c r="EJ8" s="3653"/>
      <c r="EK8" s="3653"/>
      <c r="EL8" s="3653"/>
      <c r="EM8" s="3653"/>
      <c r="EN8" s="3653"/>
      <c r="EO8" s="3653"/>
      <c r="EP8" s="3653"/>
      <c r="EQ8" s="3653"/>
      <c r="ER8" s="3653"/>
      <c r="ES8" s="3653"/>
      <c r="ET8" s="3653"/>
      <c r="EU8" s="3653"/>
      <c r="EV8" s="3653"/>
      <c r="EW8" s="3653"/>
      <c r="EX8" s="3653"/>
      <c r="EY8" s="3653"/>
      <c r="EZ8" s="3653"/>
      <c r="FA8" s="3653"/>
      <c r="FB8" s="3653"/>
      <c r="FC8" s="3653"/>
      <c r="FD8" s="3653"/>
      <c r="FE8" s="3653"/>
      <c r="FF8" s="3653"/>
      <c r="FG8" s="3653"/>
      <c r="FH8" s="3653"/>
      <c r="FI8" s="3653"/>
      <c r="FJ8" s="3653"/>
      <c r="FK8" s="3653"/>
      <c r="FL8" s="3653"/>
      <c r="FM8" s="3653"/>
      <c r="FN8" s="3653"/>
      <c r="FO8" s="3653"/>
      <c r="FP8" s="3653"/>
      <c r="FQ8" s="3653"/>
      <c r="FR8" s="3653"/>
      <c r="FS8" s="3653"/>
      <c r="FT8" s="3653"/>
      <c r="FU8" s="3653"/>
      <c r="FV8" s="3653"/>
      <c r="FW8" s="3653"/>
      <c r="FX8" s="3653"/>
      <c r="FY8" s="3653"/>
      <c r="FZ8" s="3653"/>
      <c r="GA8" s="3653"/>
      <c r="GB8" s="3653"/>
      <c r="GC8" s="3653"/>
      <c r="GD8" s="3653"/>
      <c r="GE8" s="3653"/>
      <c r="GF8" s="3653"/>
      <c r="GG8" s="3653"/>
      <c r="GH8" s="3653"/>
      <c r="GI8" s="3653"/>
      <c r="GJ8" s="3653"/>
      <c r="GK8" s="3653"/>
      <c r="GL8" s="3653"/>
      <c r="GM8" s="3653"/>
      <c r="GN8" s="3653"/>
      <c r="GO8" s="3653"/>
      <c r="GP8" s="3653"/>
      <c r="GQ8" s="3653"/>
      <c r="GR8" s="3653"/>
      <c r="GS8" s="3653"/>
      <c r="GT8" s="3653"/>
      <c r="GU8" s="3653"/>
      <c r="GV8" s="3653"/>
      <c r="GW8" s="3653"/>
      <c r="GX8" s="3653"/>
      <c r="GY8" s="3653"/>
      <c r="GZ8" s="3653"/>
      <c r="HA8" s="3653"/>
      <c r="HB8" s="3653"/>
      <c r="HC8" s="3653"/>
      <c r="HD8" s="3653"/>
      <c r="HE8" s="3653"/>
      <c r="HF8" s="3653"/>
      <c r="HG8" s="3653"/>
      <c r="HH8" s="3653"/>
      <c r="HI8" s="3653"/>
      <c r="HJ8" s="3653"/>
      <c r="HK8" s="3653"/>
      <c r="HL8" s="3653"/>
      <c r="HM8" s="3653"/>
      <c r="HN8" s="3653"/>
      <c r="HO8" s="3653"/>
      <c r="HP8" s="3653"/>
      <c r="HQ8" s="3653"/>
      <c r="HR8" s="3653"/>
      <c r="HS8" s="3653"/>
      <c r="HT8" s="3653"/>
      <c r="HU8" s="3653"/>
      <c r="HV8" s="3653"/>
      <c r="HW8" s="3653"/>
      <c r="HX8" s="3653"/>
      <c r="HY8" s="3653"/>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653"/>
      <c r="LH8" s="3653"/>
      <c r="LI8" s="3653"/>
      <c r="LJ8" s="3653"/>
      <c r="LK8" s="3653"/>
      <c r="LL8" s="3653"/>
      <c r="LM8" s="3653"/>
      <c r="LN8" s="3653"/>
      <c r="LO8" s="3653"/>
      <c r="LP8" s="3653"/>
      <c r="LQ8" s="3653"/>
      <c r="LR8" s="3653"/>
      <c r="LS8" s="3653"/>
      <c r="LT8" s="3653"/>
      <c r="LU8" s="3653"/>
      <c r="LV8" s="3653"/>
      <c r="LW8" s="3653"/>
      <c r="LX8" s="3653"/>
      <c r="LY8" s="3653"/>
      <c r="LZ8" s="3653"/>
      <c r="MA8" s="3653"/>
      <c r="MB8" s="3653"/>
      <c r="MC8" s="3653"/>
      <c r="MD8" s="3653"/>
      <c r="ME8" s="3653"/>
      <c r="MF8" s="3653"/>
      <c r="MG8" s="3653"/>
      <c r="MH8" s="3653"/>
      <c r="MI8" s="3653"/>
      <c r="MJ8" s="3653"/>
      <c r="MK8" s="3665"/>
      <c r="ML8" s="3665"/>
      <c r="MM8" s="3665"/>
      <c r="MN8" s="3665"/>
      <c r="MO8" s="3665"/>
      <c r="MP8" s="3653"/>
      <c r="MQ8" s="3653"/>
      <c r="MR8" s="3653"/>
      <c r="MS8" s="3653"/>
      <c r="MT8" s="3653"/>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66"/>
      <c r="B9" s="1109" t="s">
        <v>3765</v>
      </c>
      <c r="C9" s="686" t="s">
        <v>165</v>
      </c>
      <c r="D9" s="686" t="s">
        <v>510</v>
      </c>
      <c r="E9" s="686" t="s">
        <v>1382</v>
      </c>
      <c r="F9" s="686" t="s">
        <v>1382</v>
      </c>
      <c r="G9" s="3671" t="s">
        <v>6092</v>
      </c>
      <c r="H9" s="830" t="s">
        <v>3302</v>
      </c>
      <c r="I9" s="3671"/>
      <c r="J9" s="3667" t="s">
        <v>6086</v>
      </c>
      <c r="K9" s="686" t="s">
        <v>2217</v>
      </c>
      <c r="L9" s="3663" t="s">
        <v>139</v>
      </c>
      <c r="M9" s="3664"/>
      <c r="N9" s="686" t="s">
        <v>2184</v>
      </c>
      <c r="O9" s="686" t="s">
        <v>6483</v>
      </c>
      <c r="P9" s="3669" t="s">
        <v>6245</v>
      </c>
      <c r="Q9" s="3654"/>
      <c r="R9" s="686" t="s">
        <v>2453</v>
      </c>
      <c r="S9" s="686" t="s">
        <v>2455</v>
      </c>
      <c r="T9" s="339"/>
      <c r="W9" s="340"/>
      <c r="X9" s="3653"/>
      <c r="Y9" s="3653"/>
      <c r="Z9" s="3653"/>
      <c r="AA9" s="3653"/>
      <c r="AB9" s="3653"/>
      <c r="AC9" s="3653"/>
      <c r="AD9" s="3653"/>
      <c r="AE9" s="3653"/>
      <c r="AF9" s="3653"/>
      <c r="AG9" s="3653"/>
      <c r="AH9" s="3653"/>
      <c r="AI9" s="3653"/>
      <c r="AJ9" s="3653"/>
      <c r="AK9" s="3653"/>
      <c r="AL9" s="3653"/>
      <c r="AM9" s="3653"/>
      <c r="AN9" s="3653"/>
      <c r="AO9" s="3653"/>
      <c r="AP9" s="3653"/>
      <c r="AQ9" s="3653"/>
      <c r="AR9" s="3653"/>
      <c r="AS9" s="3653"/>
      <c r="AT9" s="3653"/>
      <c r="AU9" s="3653"/>
      <c r="AV9" s="3653"/>
      <c r="AW9" s="3653"/>
      <c r="AX9" s="3653"/>
      <c r="AY9" s="3653"/>
      <c r="AZ9" s="3653"/>
      <c r="BA9" s="3653"/>
      <c r="BB9" s="3653"/>
      <c r="BC9" s="3653"/>
      <c r="BD9" s="3653"/>
      <c r="BE9" s="3653"/>
      <c r="BF9" s="3653"/>
      <c r="BG9" s="3653"/>
      <c r="BH9" s="3653"/>
      <c r="BI9" s="3653"/>
      <c r="BJ9" s="3653"/>
      <c r="BK9" s="3653"/>
      <c r="BL9" s="3653"/>
      <c r="BM9" s="3653"/>
      <c r="BN9" s="3653"/>
      <c r="BO9" s="3653"/>
      <c r="BP9" s="3653"/>
      <c r="BQ9" s="3653"/>
      <c r="BR9" s="3653"/>
      <c r="BS9" s="3653"/>
      <c r="BT9" s="3653"/>
      <c r="BU9" s="3653"/>
      <c r="BV9" s="3653"/>
      <c r="BW9" s="3653"/>
      <c r="BX9" s="3653"/>
      <c r="BY9" s="3653"/>
      <c r="BZ9" s="3653"/>
      <c r="CA9" s="3653"/>
      <c r="CB9" s="3653"/>
      <c r="CC9" s="3653"/>
      <c r="CD9" s="3653"/>
      <c r="CE9" s="3653"/>
      <c r="CF9" s="3653"/>
      <c r="CG9" s="3653"/>
      <c r="CH9" s="3653"/>
      <c r="CI9" s="3653"/>
      <c r="CJ9" s="3653"/>
      <c r="CK9" s="3653"/>
      <c r="CL9" s="3653"/>
      <c r="CM9" s="3653"/>
      <c r="CN9" s="3653"/>
      <c r="CO9" s="3653"/>
      <c r="CP9" s="3653"/>
      <c r="CQ9" s="3653"/>
      <c r="CR9" s="3653"/>
      <c r="CS9" s="3653"/>
      <c r="CT9" s="3653"/>
      <c r="CU9" s="3653"/>
      <c r="CV9" s="3653"/>
      <c r="CW9" s="3653"/>
      <c r="CX9" s="3653"/>
      <c r="CY9" s="3653"/>
      <c r="CZ9" s="3653"/>
      <c r="DA9" s="3653"/>
      <c r="DB9" s="3653"/>
      <c r="DC9" s="3653"/>
      <c r="DD9" s="3653"/>
      <c r="DE9" s="3653"/>
      <c r="DF9" s="3653"/>
      <c r="DG9" s="3653"/>
      <c r="DH9" s="3653"/>
      <c r="DI9" s="3653"/>
      <c r="DJ9" s="3653"/>
      <c r="DK9" s="3653"/>
      <c r="DL9" s="3653"/>
      <c r="DM9" s="3653"/>
      <c r="DN9" s="3653"/>
      <c r="DO9" s="3653"/>
      <c r="DP9" s="3653"/>
      <c r="DQ9" s="3653"/>
      <c r="DR9" s="3653"/>
      <c r="DS9" s="3653"/>
      <c r="DT9" s="3653"/>
      <c r="DU9" s="3653"/>
      <c r="DV9" s="3653"/>
      <c r="DW9" s="3653"/>
      <c r="DX9" s="3653"/>
      <c r="DY9" s="3653"/>
      <c r="DZ9" s="3653"/>
      <c r="EA9" s="3653"/>
      <c r="EB9" s="3653"/>
      <c r="EC9" s="3653"/>
      <c r="ED9" s="3653"/>
      <c r="EE9" s="3653"/>
      <c r="EF9" s="3653"/>
      <c r="EG9" s="3653"/>
      <c r="EH9" s="3653"/>
      <c r="EI9" s="3653"/>
      <c r="EJ9" s="3653"/>
      <c r="EK9" s="3653"/>
      <c r="EL9" s="3653"/>
      <c r="EM9" s="3653"/>
      <c r="EN9" s="3653"/>
      <c r="EO9" s="3653"/>
      <c r="EP9" s="3653"/>
      <c r="EQ9" s="3653"/>
      <c r="ER9" s="3653"/>
      <c r="ES9" s="3653"/>
      <c r="ET9" s="3653"/>
      <c r="EU9" s="3653"/>
      <c r="EV9" s="3653"/>
      <c r="EW9" s="3653"/>
      <c r="EX9" s="3653"/>
      <c r="EY9" s="3653"/>
      <c r="EZ9" s="3653"/>
      <c r="FA9" s="3653"/>
      <c r="FB9" s="3653"/>
      <c r="FC9" s="3653"/>
      <c r="FD9" s="3653"/>
      <c r="FE9" s="3653"/>
      <c r="FF9" s="3653"/>
      <c r="FG9" s="3653"/>
      <c r="FH9" s="3653"/>
      <c r="FI9" s="3653"/>
      <c r="FJ9" s="3653"/>
      <c r="FK9" s="3653"/>
      <c r="FL9" s="3653"/>
      <c r="FM9" s="3653"/>
      <c r="FN9" s="3653"/>
      <c r="FO9" s="3653"/>
      <c r="FP9" s="3653"/>
      <c r="FQ9" s="3653"/>
      <c r="FR9" s="3653"/>
      <c r="FS9" s="3653"/>
      <c r="FT9" s="3653"/>
      <c r="FU9" s="3653"/>
      <c r="FV9" s="3653"/>
      <c r="FW9" s="3653"/>
      <c r="FX9" s="3653"/>
      <c r="FY9" s="3653"/>
      <c r="FZ9" s="3653"/>
      <c r="GA9" s="3653"/>
      <c r="GB9" s="3653"/>
      <c r="GC9" s="3653"/>
      <c r="GD9" s="3653"/>
      <c r="GE9" s="3653"/>
      <c r="GF9" s="3653"/>
      <c r="GG9" s="3653"/>
      <c r="GH9" s="3653"/>
      <c r="GI9" s="3653"/>
      <c r="GJ9" s="3653"/>
      <c r="GK9" s="3653"/>
      <c r="GL9" s="3653"/>
      <c r="GM9" s="3653"/>
      <c r="GN9" s="3653"/>
      <c r="GO9" s="3653"/>
      <c r="GP9" s="3653"/>
      <c r="GQ9" s="3653"/>
      <c r="GR9" s="3653"/>
      <c r="GS9" s="3653"/>
      <c r="GT9" s="3653"/>
      <c r="GU9" s="3653"/>
      <c r="GV9" s="3653"/>
      <c r="GW9" s="3653"/>
      <c r="GX9" s="3653"/>
      <c r="GY9" s="3653"/>
      <c r="GZ9" s="3653"/>
      <c r="HA9" s="3653"/>
      <c r="HB9" s="3653"/>
      <c r="HC9" s="3653"/>
      <c r="HD9" s="3653"/>
      <c r="HE9" s="3653"/>
      <c r="HF9" s="3653"/>
      <c r="HG9" s="3653"/>
      <c r="HH9" s="3653"/>
      <c r="HI9" s="3653"/>
      <c r="HJ9" s="3653"/>
      <c r="HK9" s="3653"/>
      <c r="HL9" s="3653"/>
      <c r="HM9" s="3653"/>
      <c r="HN9" s="3653"/>
      <c r="HO9" s="3653"/>
      <c r="HP9" s="3653"/>
      <c r="HQ9" s="3653"/>
      <c r="HR9" s="3653"/>
      <c r="HS9" s="3653"/>
      <c r="HT9" s="3653"/>
      <c r="HU9" s="3653"/>
      <c r="HV9" s="3653"/>
      <c r="HW9" s="3653"/>
      <c r="HX9" s="3653"/>
      <c r="HY9" s="3653"/>
      <c r="HZ9" s="3653" t="s">
        <v>1371</v>
      </c>
      <c r="IA9" s="1884" t="s">
        <v>2245</v>
      </c>
      <c r="IB9" s="1884" t="s">
        <v>2246</v>
      </c>
      <c r="IC9" s="1884" t="s">
        <v>2247</v>
      </c>
      <c r="ID9" s="1884" t="s">
        <v>2248</v>
      </c>
      <c r="IE9" s="3653" t="s">
        <v>2299</v>
      </c>
      <c r="IF9" s="3653" t="s">
        <v>2299</v>
      </c>
      <c r="IG9" s="3653" t="s">
        <v>2299</v>
      </c>
      <c r="IH9" s="3653" t="s">
        <v>2299</v>
      </c>
      <c r="II9" s="3653" t="s">
        <v>2299</v>
      </c>
      <c r="IJ9" s="3653" t="s">
        <v>3000</v>
      </c>
      <c r="IK9" s="3653" t="s">
        <v>3000</v>
      </c>
      <c r="IL9" s="3653" t="s">
        <v>3000</v>
      </c>
      <c r="IM9" s="3653" t="s">
        <v>3000</v>
      </c>
      <c r="IN9" s="3653" t="s">
        <v>3000</v>
      </c>
      <c r="IO9" s="1884" t="s">
        <v>526</v>
      </c>
      <c r="IP9" s="1884" t="s">
        <v>2245</v>
      </c>
      <c r="IQ9" s="1884" t="s">
        <v>2246</v>
      </c>
      <c r="IR9" s="1884" t="s">
        <v>2247</v>
      </c>
      <c r="IS9" s="1884" t="s">
        <v>2248</v>
      </c>
      <c r="IT9" s="1884" t="s">
        <v>526</v>
      </c>
      <c r="IU9" s="1884" t="s">
        <v>2245</v>
      </c>
      <c r="IV9" s="1884" t="s">
        <v>2246</v>
      </c>
      <c r="IW9" s="1884" t="s">
        <v>2247</v>
      </c>
      <c r="IX9" s="1884" t="s">
        <v>2248</v>
      </c>
      <c r="IY9" s="3653" t="s">
        <v>6286</v>
      </c>
      <c r="IZ9" s="3653" t="s">
        <v>6286</v>
      </c>
      <c r="JA9" s="3653" t="s">
        <v>6286</v>
      </c>
      <c r="JB9" s="3653" t="s">
        <v>6286</v>
      </c>
      <c r="JC9" s="3653" t="s">
        <v>6286</v>
      </c>
      <c r="JD9" s="3653" t="s">
        <v>6287</v>
      </c>
      <c r="JE9" s="3653" t="s">
        <v>6287</v>
      </c>
      <c r="JF9" s="3653" t="s">
        <v>6287</v>
      </c>
      <c r="JG9" s="3653" t="s">
        <v>6287</v>
      </c>
      <c r="JH9" s="3653" t="s">
        <v>6287</v>
      </c>
      <c r="JI9" s="3653" t="s">
        <v>6289</v>
      </c>
      <c r="JJ9" s="3653" t="s">
        <v>6289</v>
      </c>
      <c r="JK9" s="3653" t="s">
        <v>6289</v>
      </c>
      <c r="JL9" s="3653" t="s">
        <v>6289</v>
      </c>
      <c r="JM9" s="3653" t="s">
        <v>6289</v>
      </c>
      <c r="JN9" s="3653" t="s">
        <v>6290</v>
      </c>
      <c r="JO9" s="3653" t="s">
        <v>6290</v>
      </c>
      <c r="JP9" s="3653" t="s">
        <v>6290</v>
      </c>
      <c r="JQ9" s="3653" t="s">
        <v>6290</v>
      </c>
      <c r="JR9" s="3653" t="s">
        <v>6290</v>
      </c>
      <c r="JS9" s="3653" t="s">
        <v>6291</v>
      </c>
      <c r="JT9" s="3653" t="s">
        <v>6291</v>
      </c>
      <c r="JU9" s="3653" t="s">
        <v>6291</v>
      </c>
      <c r="JV9" s="3653" t="s">
        <v>6291</v>
      </c>
      <c r="JW9" s="3653" t="s">
        <v>6291</v>
      </c>
      <c r="JX9" s="3653" t="s">
        <v>6484</v>
      </c>
      <c r="JY9" s="3653" t="s">
        <v>6484</v>
      </c>
      <c r="JZ9" s="3653" t="s">
        <v>6484</v>
      </c>
      <c r="KA9" s="3653" t="s">
        <v>6484</v>
      </c>
      <c r="KB9" s="3653" t="s">
        <v>6484</v>
      </c>
      <c r="KC9" s="3653" t="s">
        <v>6649</v>
      </c>
      <c r="KD9" s="3653" t="s">
        <v>6649</v>
      </c>
      <c r="KE9" s="3653" t="s">
        <v>6649</v>
      </c>
      <c r="KF9" s="3653" t="s">
        <v>6649</v>
      </c>
      <c r="KG9" s="3653" t="s">
        <v>6649</v>
      </c>
      <c r="KH9" s="3653" t="s">
        <v>6650</v>
      </c>
      <c r="KI9" s="3653" t="s">
        <v>6650</v>
      </c>
      <c r="KJ9" s="3653" t="s">
        <v>6650</v>
      </c>
      <c r="KK9" s="3653" t="s">
        <v>6650</v>
      </c>
      <c r="KL9" s="3653" t="s">
        <v>6650</v>
      </c>
      <c r="KM9" s="3653" t="s">
        <v>6293</v>
      </c>
      <c r="KN9" s="3653" t="s">
        <v>6293</v>
      </c>
      <c r="KO9" s="3653" t="s">
        <v>6293</v>
      </c>
      <c r="KP9" s="3653" t="s">
        <v>6293</v>
      </c>
      <c r="KQ9" s="3653" t="s">
        <v>6293</v>
      </c>
      <c r="KR9" s="3653" t="s">
        <v>6485</v>
      </c>
      <c r="KS9" s="3653" t="s">
        <v>6485</v>
      </c>
      <c r="KT9" s="3653" t="s">
        <v>6485</v>
      </c>
      <c r="KU9" s="3653" t="s">
        <v>6485</v>
      </c>
      <c r="KV9" s="3653" t="s">
        <v>6485</v>
      </c>
      <c r="KW9" s="3653" t="s">
        <v>6651</v>
      </c>
      <c r="KX9" s="3653" t="s">
        <v>6651</v>
      </c>
      <c r="KY9" s="3653" t="s">
        <v>6651</v>
      </c>
      <c r="KZ9" s="3653" t="s">
        <v>6651</v>
      </c>
      <c r="LA9" s="3653" t="s">
        <v>6651</v>
      </c>
      <c r="LB9" s="3653" t="s">
        <v>6652</v>
      </c>
      <c r="LC9" s="3653" t="s">
        <v>6652</v>
      </c>
      <c r="LD9" s="3653" t="s">
        <v>6652</v>
      </c>
      <c r="LE9" s="3653" t="s">
        <v>6652</v>
      </c>
      <c r="LF9" s="3653" t="s">
        <v>6652</v>
      </c>
      <c r="LG9" s="3653"/>
      <c r="LH9" s="3653"/>
      <c r="LI9" s="3653"/>
      <c r="LJ9" s="3653"/>
      <c r="LK9" s="3653"/>
      <c r="LL9" s="3653"/>
      <c r="LM9" s="3653"/>
      <c r="LN9" s="3653"/>
      <c r="LO9" s="3653"/>
      <c r="LP9" s="3653"/>
      <c r="LQ9" s="3653"/>
      <c r="LR9" s="3653"/>
      <c r="LS9" s="3653"/>
      <c r="LT9" s="3653"/>
      <c r="LU9" s="3653"/>
      <c r="LV9" s="3653"/>
      <c r="LW9" s="3653"/>
      <c r="LX9" s="3653"/>
      <c r="LY9" s="3653"/>
      <c r="LZ9" s="3653"/>
      <c r="MA9" s="3653"/>
      <c r="MB9" s="3653"/>
      <c r="MC9" s="3653"/>
      <c r="MD9" s="3653"/>
      <c r="ME9" s="3653"/>
      <c r="MF9" s="3653"/>
      <c r="MG9" s="3653"/>
      <c r="MH9" s="3653"/>
      <c r="MI9" s="3653"/>
      <c r="MJ9" s="3653"/>
      <c r="MK9" s="3665"/>
      <c r="ML9" s="3665"/>
      <c r="MM9" s="3665"/>
      <c r="MN9" s="3665"/>
      <c r="MO9" s="3665"/>
      <c r="MP9" s="3653"/>
      <c r="MQ9" s="3653"/>
      <c r="MR9" s="3653"/>
      <c r="MS9" s="3653"/>
      <c r="MT9" s="3653"/>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66"/>
      <c r="B10" s="1264" t="s">
        <v>3932</v>
      </c>
      <c r="C10" s="686" t="s">
        <v>164</v>
      </c>
      <c r="D10" s="686" t="s">
        <v>166</v>
      </c>
      <c r="E10" s="686" t="s">
        <v>1383</v>
      </c>
      <c r="F10" s="686" t="s">
        <v>1203</v>
      </c>
      <c r="G10" s="3672"/>
      <c r="H10" s="686" t="s">
        <v>6093</v>
      </c>
      <c r="I10" s="3672"/>
      <c r="J10" s="3668"/>
      <c r="K10" s="358" t="s">
        <v>334</v>
      </c>
      <c r="L10" s="686" t="s">
        <v>1432</v>
      </c>
      <c r="M10" s="686" t="s">
        <v>504</v>
      </c>
      <c r="N10" s="686" t="s">
        <v>1382</v>
      </c>
      <c r="O10" s="686" t="s">
        <v>6497</v>
      </c>
      <c r="P10" s="3670"/>
      <c r="Q10" s="3655"/>
      <c r="R10" s="686" t="s">
        <v>1384</v>
      </c>
      <c r="S10" s="686" t="s">
        <v>2456</v>
      </c>
      <c r="T10" s="10" t="s">
        <v>1711</v>
      </c>
      <c r="W10" s="10"/>
      <c r="X10" s="3653"/>
      <c r="Y10" s="3653"/>
      <c r="Z10" s="3653"/>
      <c r="AA10" s="3653"/>
      <c r="AB10" s="3653"/>
      <c r="AC10" s="3653"/>
      <c r="AD10" s="3653"/>
      <c r="AE10" s="3653"/>
      <c r="AF10" s="3653"/>
      <c r="AG10" s="3653"/>
      <c r="AH10" s="3653"/>
      <c r="AI10" s="3653"/>
      <c r="AJ10" s="3653"/>
      <c r="AK10" s="3653"/>
      <c r="AL10" s="3653"/>
      <c r="AM10" s="3653"/>
      <c r="AN10" s="3653"/>
      <c r="AO10" s="3653"/>
      <c r="AP10" s="3653"/>
      <c r="AQ10" s="3653"/>
      <c r="AR10" s="3653"/>
      <c r="AS10" s="3653"/>
      <c r="AT10" s="3653"/>
      <c r="AU10" s="3653"/>
      <c r="AV10" s="3653"/>
      <c r="AW10" s="3653"/>
      <c r="AX10" s="3653"/>
      <c r="AY10" s="3653"/>
      <c r="AZ10" s="3653"/>
      <c r="BA10" s="3653"/>
      <c r="BB10" s="3653"/>
      <c r="BC10" s="3653"/>
      <c r="BD10" s="3653"/>
      <c r="BE10" s="3653"/>
      <c r="BF10" s="3653"/>
      <c r="BG10" s="3653"/>
      <c r="BH10" s="3653"/>
      <c r="BI10" s="3653"/>
      <c r="BJ10" s="3653"/>
      <c r="BK10" s="3653"/>
      <c r="BL10" s="3653"/>
      <c r="BM10" s="3653"/>
      <c r="BN10" s="3653"/>
      <c r="BO10" s="3653"/>
      <c r="BP10" s="3653"/>
      <c r="BQ10" s="3653"/>
      <c r="BR10" s="3653"/>
      <c r="BS10" s="3653"/>
      <c r="BT10" s="3653"/>
      <c r="BU10" s="3653"/>
      <c r="BV10" s="3653"/>
      <c r="BW10" s="3653"/>
      <c r="BX10" s="3653"/>
      <c r="BY10" s="3653"/>
      <c r="BZ10" s="3653"/>
      <c r="CA10" s="3653"/>
      <c r="CB10" s="3653"/>
      <c r="CC10" s="3653"/>
      <c r="CD10" s="3653"/>
      <c r="CE10" s="3653"/>
      <c r="CF10" s="3653"/>
      <c r="CG10" s="3653"/>
      <c r="CH10" s="3653"/>
      <c r="CI10" s="3653"/>
      <c r="CJ10" s="3653"/>
      <c r="CK10" s="3653"/>
      <c r="CL10" s="3653"/>
      <c r="CM10" s="3653"/>
      <c r="CN10" s="3653"/>
      <c r="CO10" s="3653"/>
      <c r="CP10" s="3653"/>
      <c r="CQ10" s="3653"/>
      <c r="CR10" s="3653"/>
      <c r="CS10" s="3653"/>
      <c r="CT10" s="3653"/>
      <c r="CU10" s="3653"/>
      <c r="CV10" s="3653"/>
      <c r="CW10" s="3653"/>
      <c r="CX10" s="3653"/>
      <c r="CY10" s="3653"/>
      <c r="CZ10" s="3653"/>
      <c r="DA10" s="3653"/>
      <c r="DB10" s="3653"/>
      <c r="DC10" s="3653"/>
      <c r="DD10" s="3653"/>
      <c r="DE10" s="3653"/>
      <c r="DF10" s="3653"/>
      <c r="DG10" s="3653"/>
      <c r="DH10" s="3653"/>
      <c r="DI10" s="3653"/>
      <c r="DJ10" s="3653"/>
      <c r="DK10" s="3653"/>
      <c r="DL10" s="3653"/>
      <c r="DM10" s="3653"/>
      <c r="DN10" s="3653"/>
      <c r="DO10" s="3653"/>
      <c r="DP10" s="3653"/>
      <c r="DQ10" s="3653"/>
      <c r="DR10" s="3653"/>
      <c r="DS10" s="3653"/>
      <c r="DT10" s="3653"/>
      <c r="DU10" s="3653"/>
      <c r="DV10" s="3653"/>
      <c r="DW10" s="3653"/>
      <c r="DX10" s="3653"/>
      <c r="DY10" s="3653"/>
      <c r="DZ10" s="3653"/>
      <c r="EA10" s="3653"/>
      <c r="EB10" s="3653"/>
      <c r="EC10" s="3653"/>
      <c r="ED10" s="3653"/>
      <c r="EE10" s="3653"/>
      <c r="EF10" s="3653"/>
      <c r="EG10" s="3653"/>
      <c r="EH10" s="3653"/>
      <c r="EI10" s="3653"/>
      <c r="EJ10" s="3653"/>
      <c r="EK10" s="3653"/>
      <c r="EL10" s="3653"/>
      <c r="EM10" s="3653"/>
      <c r="EN10" s="3653"/>
      <c r="EO10" s="3653"/>
      <c r="EP10" s="3653"/>
      <c r="EQ10" s="3653"/>
      <c r="ER10" s="3653"/>
      <c r="ES10" s="3653"/>
      <c r="ET10" s="3653"/>
      <c r="EU10" s="3653"/>
      <c r="EV10" s="3653"/>
      <c r="EW10" s="3653"/>
      <c r="EX10" s="3653"/>
      <c r="EY10" s="3653"/>
      <c r="EZ10" s="3653"/>
      <c r="FA10" s="3653"/>
      <c r="FB10" s="3653"/>
      <c r="FC10" s="3653"/>
      <c r="FD10" s="3653"/>
      <c r="FE10" s="3653"/>
      <c r="FF10" s="3653"/>
      <c r="FG10" s="3653"/>
      <c r="FH10" s="3653"/>
      <c r="FI10" s="3653"/>
      <c r="FJ10" s="3653"/>
      <c r="FK10" s="3653"/>
      <c r="FL10" s="3653"/>
      <c r="FM10" s="3653"/>
      <c r="FN10" s="3653"/>
      <c r="FO10" s="3653"/>
      <c r="FP10" s="3653"/>
      <c r="FQ10" s="3653"/>
      <c r="FR10" s="3653"/>
      <c r="FS10" s="3653"/>
      <c r="FT10" s="3653"/>
      <c r="FU10" s="3653"/>
      <c r="FV10" s="3653"/>
      <c r="FW10" s="3653"/>
      <c r="FX10" s="3653"/>
      <c r="FY10" s="3653"/>
      <c r="FZ10" s="3653"/>
      <c r="GA10" s="3653"/>
      <c r="GB10" s="3653"/>
      <c r="GC10" s="3653"/>
      <c r="GD10" s="3653"/>
      <c r="GE10" s="3653"/>
      <c r="GF10" s="3653"/>
      <c r="GG10" s="3653"/>
      <c r="GH10" s="3653"/>
      <c r="GI10" s="3653"/>
      <c r="GJ10" s="3653"/>
      <c r="GK10" s="3653"/>
      <c r="GL10" s="3653"/>
      <c r="GM10" s="3653"/>
      <c r="GN10" s="3653"/>
      <c r="GO10" s="3653"/>
      <c r="GP10" s="3653"/>
      <c r="GQ10" s="3653"/>
      <c r="GR10" s="3653"/>
      <c r="GS10" s="3653"/>
      <c r="GT10" s="3653"/>
      <c r="GU10" s="3653"/>
      <c r="GV10" s="3653"/>
      <c r="GW10" s="3653"/>
      <c r="GX10" s="3653"/>
      <c r="GY10" s="3653"/>
      <c r="GZ10" s="3653"/>
      <c r="HA10" s="3653"/>
      <c r="HB10" s="3653"/>
      <c r="HC10" s="3653"/>
      <c r="HD10" s="3653"/>
      <c r="HE10" s="3653"/>
      <c r="HF10" s="3653"/>
      <c r="HG10" s="3653"/>
      <c r="HH10" s="3653"/>
      <c r="HI10" s="3653"/>
      <c r="HJ10" s="3653"/>
      <c r="HK10" s="3653"/>
      <c r="HL10" s="3653"/>
      <c r="HM10" s="3653"/>
      <c r="HN10" s="3653"/>
      <c r="HO10" s="3653"/>
      <c r="HP10" s="3653"/>
      <c r="HQ10" s="3653"/>
      <c r="HR10" s="3653"/>
      <c r="HS10" s="3653"/>
      <c r="HT10" s="3653"/>
      <c r="HU10" s="3653"/>
      <c r="HV10" s="3653"/>
      <c r="HW10" s="3653"/>
      <c r="HX10" s="3653"/>
      <c r="HY10" s="3653"/>
      <c r="HZ10" s="3653"/>
      <c r="IA10" s="1884" t="s">
        <v>2298</v>
      </c>
      <c r="IB10" s="1884" t="s">
        <v>2298</v>
      </c>
      <c r="IC10" s="1884" t="s">
        <v>2298</v>
      </c>
      <c r="ID10" s="1884" t="s">
        <v>2298</v>
      </c>
      <c r="IE10" s="3653"/>
      <c r="IF10" s="3653"/>
      <c r="IG10" s="3653"/>
      <c r="IH10" s="3653"/>
      <c r="II10" s="3653"/>
      <c r="IJ10" s="3653"/>
      <c r="IK10" s="3653"/>
      <c r="IL10" s="3653"/>
      <c r="IM10" s="3653"/>
      <c r="IN10" s="3653"/>
      <c r="IO10" s="1884" t="s">
        <v>2300</v>
      </c>
      <c r="IP10" s="1884" t="s">
        <v>2300</v>
      </c>
      <c r="IQ10" s="1884" t="s">
        <v>2300</v>
      </c>
      <c r="IR10" s="1884" t="s">
        <v>2300</v>
      </c>
      <c r="IS10" s="1884" t="s">
        <v>2300</v>
      </c>
      <c r="IT10" s="1884" t="s">
        <v>3001</v>
      </c>
      <c r="IU10" s="1884" t="s">
        <v>3001</v>
      </c>
      <c r="IV10" s="1884" t="s">
        <v>3001</v>
      </c>
      <c r="IW10" s="1884" t="s">
        <v>3001</v>
      </c>
      <c r="IX10" s="1884" t="s">
        <v>3001</v>
      </c>
      <c r="IY10" s="3653"/>
      <c r="IZ10" s="3653"/>
      <c r="JA10" s="3653"/>
      <c r="JB10" s="3653"/>
      <c r="JC10" s="3653"/>
      <c r="JD10" s="3653"/>
      <c r="JE10" s="3653"/>
      <c r="JF10" s="3653"/>
      <c r="JG10" s="3653"/>
      <c r="JH10" s="3653"/>
      <c r="JI10" s="3653"/>
      <c r="JJ10" s="3653"/>
      <c r="JK10" s="3653"/>
      <c r="JL10" s="3653"/>
      <c r="JM10" s="3653"/>
      <c r="JN10" s="3653"/>
      <c r="JO10" s="3653"/>
      <c r="JP10" s="3653"/>
      <c r="JQ10" s="3653"/>
      <c r="JR10" s="3653"/>
      <c r="JS10" s="3653"/>
      <c r="JT10" s="3653"/>
      <c r="JU10" s="3653"/>
      <c r="JV10" s="3653"/>
      <c r="JW10" s="3653"/>
      <c r="JX10" s="3653"/>
      <c r="JY10" s="3653"/>
      <c r="JZ10" s="3653"/>
      <c r="KA10" s="3653"/>
      <c r="KB10" s="3653"/>
      <c r="KC10" s="3653"/>
      <c r="KD10" s="3653"/>
      <c r="KE10" s="3653"/>
      <c r="KF10" s="3653"/>
      <c r="KG10" s="3653"/>
      <c r="KH10" s="3653"/>
      <c r="KI10" s="3653"/>
      <c r="KJ10" s="3653"/>
      <c r="KK10" s="3653"/>
      <c r="KL10" s="3653"/>
      <c r="KM10" s="3653"/>
      <c r="KN10" s="3653"/>
      <c r="KO10" s="3653"/>
      <c r="KP10" s="3653"/>
      <c r="KQ10" s="3653"/>
      <c r="KR10" s="3653"/>
      <c r="KS10" s="3653"/>
      <c r="KT10" s="3653"/>
      <c r="KU10" s="3653"/>
      <c r="KV10" s="3653"/>
      <c r="KW10" s="3653"/>
      <c r="KX10" s="3653"/>
      <c r="KY10" s="3653"/>
      <c r="KZ10" s="3653"/>
      <c r="LA10" s="3653"/>
      <c r="LB10" s="3653"/>
      <c r="LC10" s="3653"/>
      <c r="LD10" s="3653"/>
      <c r="LE10" s="3653"/>
      <c r="LF10" s="3653"/>
      <c r="LG10" s="3653"/>
      <c r="LH10" s="3653"/>
      <c r="LI10" s="3653"/>
      <c r="LJ10" s="3653"/>
      <c r="LK10" s="3653"/>
      <c r="LL10" s="3653"/>
      <c r="LM10" s="3653"/>
      <c r="LN10" s="3653"/>
      <c r="LO10" s="3653"/>
      <c r="LP10" s="3653"/>
      <c r="LQ10" s="3653"/>
      <c r="LR10" s="3653"/>
      <c r="LS10" s="3653"/>
      <c r="LT10" s="3653"/>
      <c r="LU10" s="3653"/>
      <c r="LV10" s="3653"/>
      <c r="LW10" s="3653"/>
      <c r="LX10" s="3653"/>
      <c r="LY10" s="3653"/>
      <c r="LZ10" s="3653"/>
      <c r="MA10" s="3653"/>
      <c r="MB10" s="3653"/>
      <c r="MC10" s="3653"/>
      <c r="MD10" s="3653"/>
      <c r="ME10" s="3653"/>
      <c r="MF10" s="3653"/>
      <c r="MG10" s="3653"/>
      <c r="MH10" s="3653"/>
      <c r="MI10" s="3653"/>
      <c r="MJ10" s="3653"/>
      <c r="MK10" s="3665"/>
      <c r="ML10" s="3665"/>
      <c r="MM10" s="3665"/>
      <c r="MN10" s="3665"/>
      <c r="MO10" s="3665"/>
      <c r="MP10" s="3653"/>
      <c r="MQ10" s="3653"/>
      <c r="MR10" s="3653"/>
      <c r="MS10" s="3653"/>
      <c r="MT10" s="3653"/>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80" t="s">
        <v>3675</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592"/>
      <c r="U11" s="3593"/>
      <c r="V11" s="3593"/>
      <c r="W11" s="3594"/>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6406</v>
      </c>
    </row>
    <row r="12" spans="1:493" ht="13.95" customHeight="1">
      <c r="A12" s="86" t="str">
        <f t="shared" si="0"/>
        <v/>
      </c>
      <c r="B12" s="1081" t="s">
        <v>3675</v>
      </c>
      <c r="C12" s="132"/>
      <c r="D12" s="1751"/>
      <c r="E12" s="133"/>
      <c r="F12" s="133"/>
      <c r="G12" s="133"/>
      <c r="H12" s="133"/>
      <c r="I12" s="133"/>
      <c r="J12" s="1430"/>
      <c r="K12" s="644"/>
      <c r="L12" s="461">
        <f t="shared" si="1"/>
        <v>0</v>
      </c>
      <c r="M12" s="461">
        <f t="shared" si="2"/>
        <v>0</v>
      </c>
      <c r="N12" s="695"/>
      <c r="O12" s="1683"/>
      <c r="P12" s="695"/>
      <c r="Q12" s="134"/>
      <c r="R12" s="739"/>
      <c r="S12" s="740"/>
      <c r="T12" s="3576"/>
      <c r="U12" s="3577"/>
      <c r="V12" s="3577"/>
      <c r="W12" s="3578"/>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6407</v>
      </c>
    </row>
    <row r="13" spans="1:493" ht="13.95"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76"/>
      <c r="U13" s="3577"/>
      <c r="V13" s="3577"/>
      <c r="W13" s="3578"/>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6408</v>
      </c>
    </row>
    <row r="14" spans="1:493" ht="13.95"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76"/>
      <c r="U14" s="3577"/>
      <c r="V14" s="3577"/>
      <c r="W14" s="3578"/>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6409</v>
      </c>
    </row>
    <row r="15" spans="1:493" ht="13.95"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76"/>
      <c r="U15" s="3577"/>
      <c r="V15" s="3577"/>
      <c r="W15" s="3578"/>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6410</v>
      </c>
    </row>
    <row r="16" spans="1:493" ht="13.95"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76"/>
      <c r="U16" s="3577"/>
      <c r="V16" s="3577"/>
      <c r="W16" s="3578"/>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6411</v>
      </c>
    </row>
    <row r="17" spans="1:380" ht="13.95"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76"/>
      <c r="U17" s="3577"/>
      <c r="V17" s="3577"/>
      <c r="W17" s="3578"/>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6412</v>
      </c>
    </row>
    <row r="18" spans="1:380" ht="13.95" customHeight="1">
      <c r="A18" s="86" t="str">
        <f t="shared" si="0"/>
        <v/>
      </c>
      <c r="B18" s="1118">
        <v>60</v>
      </c>
      <c r="C18" s="1083">
        <v>1</v>
      </c>
      <c r="D18" s="1753">
        <v>1</v>
      </c>
      <c r="E18" s="1084">
        <v>13</v>
      </c>
      <c r="F18" s="1084">
        <v>612</v>
      </c>
      <c r="G18" s="1084">
        <v>731</v>
      </c>
      <c r="H18" s="1084">
        <v>668</v>
      </c>
      <c r="I18" s="1084">
        <v>0</v>
      </c>
      <c r="J18" s="1100">
        <f>IF(C18="",0,HLOOKUP(C18,'Part IV-Utility Allowances'!$I$11:$M$22,12))</f>
        <v>151</v>
      </c>
      <c r="K18" s="1101" t="s">
        <v>6946</v>
      </c>
      <c r="L18" s="1102">
        <f t="shared" si="1"/>
        <v>517</v>
      </c>
      <c r="M18" s="1102">
        <f t="shared" si="2"/>
        <v>6721</v>
      </c>
      <c r="N18" s="1103" t="s">
        <v>2652</v>
      </c>
      <c r="O18" s="1685" t="s">
        <v>6292</v>
      </c>
      <c r="P18" s="1103" t="s">
        <v>7076</v>
      </c>
      <c r="Q18" s="1104" t="s">
        <v>2652</v>
      </c>
      <c r="R18" s="739"/>
      <c r="S18" s="740"/>
      <c r="T18" s="3576"/>
      <c r="U18" s="3577"/>
      <c r="V18" s="3577"/>
      <c r="W18" s="3578"/>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f t="shared" si="14"/>
        <v>13</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f t="shared" si="64"/>
        <v>13</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f t="shared" si="129"/>
        <v>7956</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7956</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f t="shared" si="184"/>
        <v>13</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13</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f t="shared" si="259"/>
        <v>13</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13</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6413</v>
      </c>
    </row>
    <row r="19" spans="1:380" ht="13.95" customHeight="1">
      <c r="A19" s="86" t="str">
        <f t="shared" si="0"/>
        <v/>
      </c>
      <c r="B19" s="1119">
        <v>60</v>
      </c>
      <c r="C19" s="132">
        <v>2</v>
      </c>
      <c r="D19" s="1751">
        <v>1</v>
      </c>
      <c r="E19" s="133">
        <v>2</v>
      </c>
      <c r="F19" s="133">
        <v>755</v>
      </c>
      <c r="G19" s="133">
        <v>877</v>
      </c>
      <c r="H19" s="133">
        <v>804</v>
      </c>
      <c r="I19" s="133">
        <v>0</v>
      </c>
      <c r="J19" s="756">
        <f>IF(C19="",0,HLOOKUP(C19,'Part IV-Utility Allowances'!$I$11:$M$22,12))</f>
        <v>194</v>
      </c>
      <c r="K19" s="644" t="s">
        <v>6946</v>
      </c>
      <c r="L19" s="461">
        <f t="shared" si="1"/>
        <v>610</v>
      </c>
      <c r="M19" s="461">
        <f t="shared" si="2"/>
        <v>1220</v>
      </c>
      <c r="N19" s="695" t="s">
        <v>2652</v>
      </c>
      <c r="O19" s="1683" t="s">
        <v>6292</v>
      </c>
      <c r="P19" s="695" t="s">
        <v>7076</v>
      </c>
      <c r="Q19" s="134" t="s">
        <v>2652</v>
      </c>
      <c r="R19" s="739"/>
      <c r="S19" s="740"/>
      <c r="T19" s="3576"/>
      <c r="U19" s="3577"/>
      <c r="V19" s="3577"/>
      <c r="W19" s="3578"/>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f t="shared" si="15"/>
        <v>2</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f t="shared" si="65"/>
        <v>2</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f t="shared" si="130"/>
        <v>1510</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f t="shared" si="160"/>
        <v>1510</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f t="shared" si="185"/>
        <v>2</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f t="shared" si="215"/>
        <v>2</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f t="shared" si="260"/>
        <v>2</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2</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6414</v>
      </c>
    </row>
    <row r="20" spans="1:380" ht="13.95" customHeight="1">
      <c r="A20" s="86" t="str">
        <f t="shared" si="0"/>
        <v/>
      </c>
      <c r="B20" s="1119">
        <v>60</v>
      </c>
      <c r="C20" s="132">
        <v>2</v>
      </c>
      <c r="D20" s="1751">
        <v>1</v>
      </c>
      <c r="E20" s="133">
        <v>17</v>
      </c>
      <c r="F20" s="133">
        <v>771</v>
      </c>
      <c r="G20" s="133">
        <v>877</v>
      </c>
      <c r="H20" s="133">
        <v>804</v>
      </c>
      <c r="I20" s="133">
        <v>0</v>
      </c>
      <c r="J20" s="756">
        <f>IF(C20="",0,HLOOKUP(C20,'Part IV-Utility Allowances'!$I$11:$M$22,12))</f>
        <v>194</v>
      </c>
      <c r="K20" s="644" t="s">
        <v>6946</v>
      </c>
      <c r="L20" s="461">
        <f t="shared" si="1"/>
        <v>610</v>
      </c>
      <c r="M20" s="461">
        <f t="shared" si="2"/>
        <v>10370</v>
      </c>
      <c r="N20" s="695" t="s">
        <v>2652</v>
      </c>
      <c r="O20" s="1683" t="s">
        <v>6292</v>
      </c>
      <c r="P20" s="695" t="s">
        <v>7076</v>
      </c>
      <c r="Q20" s="134" t="s">
        <v>2652</v>
      </c>
      <c r="R20" s="739"/>
      <c r="S20" s="740"/>
      <c r="T20" s="3576"/>
      <c r="U20" s="3577"/>
      <c r="V20" s="3577"/>
      <c r="W20" s="3578"/>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f t="shared" si="15"/>
        <v>17</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f t="shared" si="65"/>
        <v>17</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f t="shared" si="130"/>
        <v>13107</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f t="shared" si="160"/>
        <v>13107</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f t="shared" si="185"/>
        <v>17</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f t="shared" si="215"/>
        <v>17</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f t="shared" si="260"/>
        <v>17</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17</v>
      </c>
      <c r="MI20" s="1748">
        <f t="shared" si="326"/>
        <v>0</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6415</v>
      </c>
    </row>
    <row r="21" spans="1:380" ht="13.95" customHeight="1">
      <c r="A21" s="86" t="str">
        <f t="shared" si="0"/>
        <v/>
      </c>
      <c r="B21" s="1119">
        <v>60</v>
      </c>
      <c r="C21" s="132">
        <v>3</v>
      </c>
      <c r="D21" s="1751">
        <v>1</v>
      </c>
      <c r="E21" s="133">
        <v>4</v>
      </c>
      <c r="F21" s="133">
        <v>918</v>
      </c>
      <c r="G21" s="133">
        <v>1014</v>
      </c>
      <c r="H21" s="133">
        <v>930</v>
      </c>
      <c r="I21" s="133">
        <v>0</v>
      </c>
      <c r="J21" s="756">
        <f>IF(C21="",0,HLOOKUP(C21,'Part IV-Utility Allowances'!$I$11:$M$22,12))</f>
        <v>225</v>
      </c>
      <c r="K21" s="644" t="s">
        <v>6946</v>
      </c>
      <c r="L21" s="461">
        <f t="shared" si="1"/>
        <v>705</v>
      </c>
      <c r="M21" s="461">
        <f t="shared" si="2"/>
        <v>2820</v>
      </c>
      <c r="N21" s="695" t="s">
        <v>2652</v>
      </c>
      <c r="O21" s="1683" t="s">
        <v>6292</v>
      </c>
      <c r="P21" s="695" t="s">
        <v>7076</v>
      </c>
      <c r="Q21" s="134" t="s">
        <v>2652</v>
      </c>
      <c r="R21" s="739"/>
      <c r="S21" s="740"/>
      <c r="T21" s="3576"/>
      <c r="U21" s="3577"/>
      <c r="V21" s="3577"/>
      <c r="W21" s="3578"/>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f t="shared" si="16"/>
        <v>4</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f t="shared" si="66"/>
        <v>4</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f t="shared" si="131"/>
        <v>3672</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f t="shared" si="161"/>
        <v>3672</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f t="shared" si="186"/>
        <v>4</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t="str">
        <f t="shared" si="215"/>
        <v/>
      </c>
      <c r="IC21" s="1896">
        <f t="shared" si="216"/>
        <v>4</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f t="shared" si="261"/>
        <v>4</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4</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6416</v>
      </c>
    </row>
    <row r="22" spans="1:380" ht="13.95" customHeight="1">
      <c r="A22" s="86" t="str">
        <f t="shared" si="0"/>
        <v/>
      </c>
      <c r="B22" s="1119">
        <v>60</v>
      </c>
      <c r="C22" s="132">
        <v>1</v>
      </c>
      <c r="D22" s="1751">
        <v>1</v>
      </c>
      <c r="E22" s="133">
        <v>1</v>
      </c>
      <c r="F22" s="133">
        <v>612</v>
      </c>
      <c r="G22" s="133">
        <v>731</v>
      </c>
      <c r="H22" s="133">
        <v>668</v>
      </c>
      <c r="I22" s="133">
        <v>0</v>
      </c>
      <c r="J22" s="756">
        <f>IF(C22="",0,HLOOKUP(C22,'Part IV-Utility Allowances'!$I$11:$M$22,12))</f>
        <v>151</v>
      </c>
      <c r="K22" s="644"/>
      <c r="L22" s="461">
        <f t="shared" si="1"/>
        <v>517</v>
      </c>
      <c r="M22" s="461">
        <f t="shared" si="2"/>
        <v>517</v>
      </c>
      <c r="N22" s="695" t="s">
        <v>2652</v>
      </c>
      <c r="O22" s="1683" t="s">
        <v>6292</v>
      </c>
      <c r="P22" s="695" t="s">
        <v>7076</v>
      </c>
      <c r="Q22" s="134" t="s">
        <v>2652</v>
      </c>
      <c r="R22" s="739"/>
      <c r="S22" s="740"/>
      <c r="T22" s="3576"/>
      <c r="U22" s="3577"/>
      <c r="V22" s="3577"/>
      <c r="W22" s="3578"/>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f t="shared" si="14"/>
        <v>1</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f t="shared" si="129"/>
        <v>612</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f t="shared" si="184"/>
        <v>1</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f t="shared" si="214"/>
        <v>1</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f t="shared" si="259"/>
        <v>1</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1</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6417</v>
      </c>
    </row>
    <row r="23" spans="1:380" ht="13.95" customHeight="1">
      <c r="A23" s="86" t="str">
        <f t="shared" si="0"/>
        <v/>
      </c>
      <c r="B23" s="1119">
        <v>60</v>
      </c>
      <c r="C23" s="132">
        <v>2</v>
      </c>
      <c r="D23" s="1751">
        <v>1</v>
      </c>
      <c r="E23" s="133">
        <v>3</v>
      </c>
      <c r="F23" s="133">
        <v>771</v>
      </c>
      <c r="G23" s="133">
        <v>877</v>
      </c>
      <c r="H23" s="133">
        <v>804</v>
      </c>
      <c r="I23" s="133">
        <v>0</v>
      </c>
      <c r="J23" s="756">
        <f>IF(C23="",0,HLOOKUP(C23,'Part IV-Utility Allowances'!$I$11:$M$22,12))</f>
        <v>194</v>
      </c>
      <c r="K23" s="644"/>
      <c r="L23" s="461">
        <f t="shared" si="1"/>
        <v>610</v>
      </c>
      <c r="M23" s="461">
        <f t="shared" si="2"/>
        <v>1830</v>
      </c>
      <c r="N23" s="695" t="s">
        <v>2652</v>
      </c>
      <c r="O23" s="1683" t="s">
        <v>6292</v>
      </c>
      <c r="P23" s="695" t="s">
        <v>7076</v>
      </c>
      <c r="Q23" s="134" t="s">
        <v>2652</v>
      </c>
      <c r="R23" s="739"/>
      <c r="S23" s="740"/>
      <c r="T23" s="3576"/>
      <c r="U23" s="3577"/>
      <c r="V23" s="3577"/>
      <c r="W23" s="3578"/>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f t="shared" si="15"/>
        <v>3</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f t="shared" si="130"/>
        <v>2313</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f t="shared" si="185"/>
        <v>3</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f t="shared" si="215"/>
        <v>3</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f t="shared" si="260"/>
        <v>3</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3</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6418</v>
      </c>
    </row>
    <row r="24" spans="1:380" ht="13.95"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76"/>
      <c r="U24" s="3577"/>
      <c r="V24" s="3577"/>
      <c r="W24" s="3578"/>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6419</v>
      </c>
    </row>
    <row r="25" spans="1:380" ht="13.95"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76"/>
      <c r="U25" s="3577"/>
      <c r="V25" s="3577"/>
      <c r="W25" s="3578"/>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6420</v>
      </c>
    </row>
    <row r="26" spans="1:380" ht="13.95"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76"/>
      <c r="U26" s="3577"/>
      <c r="V26" s="3577"/>
      <c r="W26" s="3578"/>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6421</v>
      </c>
    </row>
    <row r="27" spans="1:380" ht="13.95"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76"/>
      <c r="U27" s="3577"/>
      <c r="V27" s="3577"/>
      <c r="W27" s="3578"/>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6422</v>
      </c>
    </row>
    <row r="28" spans="1:380" ht="13.95"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76"/>
      <c r="U28" s="3577"/>
      <c r="V28" s="3577"/>
      <c r="W28" s="3578"/>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6423</v>
      </c>
    </row>
    <row r="29" spans="1:380" ht="13.95"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76"/>
      <c r="U29" s="3577"/>
      <c r="V29" s="3577"/>
      <c r="W29" s="3578"/>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6424</v>
      </c>
    </row>
    <row r="30" spans="1:380" ht="13.95"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76"/>
      <c r="U30" s="3577"/>
      <c r="V30" s="3577"/>
      <c r="W30" s="3578"/>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6425</v>
      </c>
    </row>
    <row r="31" spans="1:380" ht="13.95"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76"/>
      <c r="U31" s="3577"/>
      <c r="V31" s="3577"/>
      <c r="W31" s="3578"/>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6426</v>
      </c>
    </row>
    <row r="32" spans="1:380" ht="13.95"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76"/>
      <c r="U32" s="3577"/>
      <c r="V32" s="3577"/>
      <c r="W32" s="3578"/>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6427</v>
      </c>
    </row>
    <row r="33" spans="1:380" ht="13.95"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76"/>
      <c r="U33" s="3577"/>
      <c r="V33" s="3577"/>
      <c r="W33" s="3578"/>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6428</v>
      </c>
    </row>
    <row r="34" spans="1:380" ht="13.95"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76"/>
      <c r="U34" s="3577"/>
      <c r="V34" s="3577"/>
      <c r="W34" s="3578"/>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6429</v>
      </c>
    </row>
    <row r="35" spans="1:380" ht="13.95"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76"/>
      <c r="U35" s="3577"/>
      <c r="V35" s="3577"/>
      <c r="W35" s="3578"/>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6430</v>
      </c>
    </row>
    <row r="36" spans="1:380" ht="13.95"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76"/>
      <c r="U36" s="3577"/>
      <c r="V36" s="3577"/>
      <c r="W36" s="3578"/>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6431</v>
      </c>
    </row>
    <row r="37" spans="1:380" ht="13.95"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76"/>
      <c r="U37" s="3577"/>
      <c r="V37" s="3577"/>
      <c r="W37" s="3578"/>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6432</v>
      </c>
    </row>
    <row r="38" spans="1:380" ht="13.95"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76"/>
      <c r="U38" s="3577"/>
      <c r="V38" s="3577"/>
      <c r="W38" s="3578"/>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6433</v>
      </c>
    </row>
    <row r="39" spans="1:380" ht="13.95"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76"/>
      <c r="U39" s="3577"/>
      <c r="V39" s="3577"/>
      <c r="W39" s="3578"/>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6434</v>
      </c>
    </row>
    <row r="40" spans="1:380" ht="13.95"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76"/>
      <c r="U40" s="3577"/>
      <c r="V40" s="3577"/>
      <c r="W40" s="3578"/>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6435</v>
      </c>
    </row>
    <row r="41" spans="1:380" ht="13.95"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76"/>
      <c r="U41" s="3577"/>
      <c r="V41" s="3577"/>
      <c r="W41" s="3578"/>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6436</v>
      </c>
    </row>
    <row r="42" spans="1:380" ht="13.95"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76"/>
      <c r="U42" s="3577"/>
      <c r="V42" s="3577"/>
      <c r="W42" s="3578"/>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6437</v>
      </c>
    </row>
    <row r="43" spans="1:380" ht="13.95"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76"/>
      <c r="U43" s="3577"/>
      <c r="V43" s="3577"/>
      <c r="W43" s="3578"/>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6438</v>
      </c>
    </row>
    <row r="44" spans="1:380" ht="13.95"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76"/>
      <c r="U44" s="3577"/>
      <c r="V44" s="3577"/>
      <c r="W44" s="3578"/>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6439</v>
      </c>
    </row>
    <row r="45" spans="1:380" ht="13.95"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76"/>
      <c r="U45" s="3577"/>
      <c r="V45" s="3577"/>
      <c r="W45" s="3578"/>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6440</v>
      </c>
    </row>
    <row r="46" spans="1:380" ht="13.95"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76"/>
      <c r="U46" s="3577"/>
      <c r="V46" s="3577"/>
      <c r="W46" s="3578"/>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6441</v>
      </c>
    </row>
    <row r="47" spans="1:380" ht="13.95"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76"/>
      <c r="U47" s="3577"/>
      <c r="V47" s="3577"/>
      <c r="W47" s="3578"/>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6442</v>
      </c>
    </row>
    <row r="48" spans="1:380" ht="13.95"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82"/>
      <c r="U48" s="3583"/>
      <c r="V48" s="3583"/>
      <c r="W48" s="3584"/>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6443</v>
      </c>
    </row>
    <row r="49" spans="1:381" s="115" customFormat="1" ht="13.95" customHeight="1">
      <c r="A49" s="1432">
        <f>COUNT(A11,A12,A13,A14,A15,A16,A17,A18,A19,A20,A21,A22,A23,A24,A25,A26,A27,A28,A29,A30,A31,A32,A33,A34,A35,A36,A37,A38,A39,A40)</f>
        <v>0</v>
      </c>
      <c r="B49" s="3657" t="s">
        <v>3769</v>
      </c>
      <c r="C49" s="3658"/>
      <c r="D49" s="107" t="s">
        <v>954</v>
      </c>
      <c r="E49" s="1113">
        <f>SUM(E11:E48)</f>
        <v>40</v>
      </c>
      <c r="F49" s="1111">
        <f>(E11*F11+E12*F12+E13*F13+E14*F14+E15*F15+E16*F16+E17*F17+E18*F18+E19*F19+E20*F20+E21*F21+E22*F22+E23*F23+E24*F24+E25*F25+E26*F26+E27*F27+E28*F28+E29*F29+E30*F30+E31*F31+E32*F32+E33*F33+E34*F34+E35*F35+E36*F36+E37*F37+E38*F38+E39*F39+E40*F40+E41*F41+E42*F42+E43*F43+E44*F44+E45*F45+E46*F46+E47*F47+E48*F48)</f>
        <v>29170</v>
      </c>
      <c r="H49" s="3683" t="s">
        <v>3766</v>
      </c>
      <c r="I49" s="1114" t="s">
        <v>3767</v>
      </c>
      <c r="J49" s="1115" t="str">
        <f>IF(P67=0,"",IF(SUM(P58:P62)/P67&gt;=0.4,"Pass","Fail"))</f>
        <v>Pass</v>
      </c>
      <c r="K49" s="448"/>
      <c r="L49" s="699" t="s">
        <v>1225</v>
      </c>
      <c r="M49" s="94">
        <f>SUM(M11:M48)</f>
        <v>23478</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14</v>
      </c>
      <c r="AJ49" s="1749">
        <f t="shared" si="339"/>
        <v>22</v>
      </c>
      <c r="AK49" s="1749">
        <f t="shared" si="339"/>
        <v>4</v>
      </c>
      <c r="AL49" s="1749">
        <f t="shared" si="339"/>
        <v>0</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13</v>
      </c>
      <c r="CH49" s="1749">
        <f t="shared" si="338"/>
        <v>19</v>
      </c>
      <c r="CI49" s="1749">
        <f t="shared" si="338"/>
        <v>4</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8568</v>
      </c>
      <c r="EU49" s="1749">
        <f t="shared" si="342"/>
        <v>16930</v>
      </c>
      <c r="EV49" s="1749">
        <f t="shared" si="342"/>
        <v>3672</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7956</v>
      </c>
      <c r="FY49" s="1749">
        <f t="shared" si="343"/>
        <v>14617</v>
      </c>
      <c r="FZ49" s="1749">
        <f t="shared" si="343"/>
        <v>3672</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0</v>
      </c>
      <c r="GI49" s="1749">
        <f t="shared" si="343"/>
        <v>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14</v>
      </c>
      <c r="GX49" s="1749">
        <f t="shared" si="343"/>
        <v>22</v>
      </c>
      <c r="GY49" s="1749">
        <f t="shared" si="343"/>
        <v>4</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14</v>
      </c>
      <c r="IB49" s="1749">
        <f t="shared" si="344"/>
        <v>22</v>
      </c>
      <c r="IC49" s="1749">
        <f t="shared" si="344"/>
        <v>4</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14</v>
      </c>
      <c r="JU49" s="1749">
        <f t="shared" si="344"/>
        <v>22</v>
      </c>
      <c r="JV49" s="1749">
        <f t="shared" si="344"/>
        <v>4</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14</v>
      </c>
      <c r="MH49" s="1749">
        <f t="shared" si="346"/>
        <v>22</v>
      </c>
      <c r="MI49" s="1749">
        <f t="shared" si="346"/>
        <v>4</v>
      </c>
      <c r="MJ49" s="1749">
        <f t="shared" si="346"/>
        <v>0</v>
      </c>
      <c r="MK49" s="1749">
        <f t="shared" si="346"/>
        <v>0</v>
      </c>
      <c r="ML49" s="1749">
        <f t="shared" si="346"/>
        <v>0</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6444</v>
      </c>
      <c r="NQ49" s="357"/>
    </row>
    <row r="50" spans="1:381" s="115" customFormat="1" ht="13.95" customHeight="1">
      <c r="B50" s="3681">
        <f>IF(SUM(E18:E48)=0,"",(B18*E18+B19*E19+B20*E20+B21*E21+B22*E22+B23*E23+B24*E24+B25*E25+B26*E26+B27*E27+B28*E28+B29*E29+B30*E30+B31*E31+B32*E32+B33*E33+B34*E34+B35*E35+B36*E36+B37*E37+B38*E38+B39*E39+B40*E40+B41*E41+B42*E42+B43*E43+B44*E44+B45*E45+B46*E46+B47*E47+B48*E48)/SUM(E18:E48))</f>
        <v>60</v>
      </c>
      <c r="C50" s="3682"/>
      <c r="D50" s="119" t="s">
        <v>3676</v>
      </c>
      <c r="E50" s="1110">
        <f>SUM(E18:E48)</f>
        <v>40</v>
      </c>
      <c r="F50" s="1112">
        <f>(E18*F18+E19*F19+E20*F20+E21*F21+E22*F22+E23*F23+E24*F24+E25*F25+E26*F26+E27*F27+E28*F28+E29*F29+E30*F30+E31*F31+E32*F32+E33*F33+E34*F34+E35*F35+E36*F36+E37*F37+E38*F38+E39*F39+E40*F40+E41*F41+E42*F42+E43*F43+E44*F44+E45*F45+E46*F46+E47*F47+E48*F48)</f>
        <v>29170</v>
      </c>
      <c r="H50" s="3684"/>
      <c r="I50" s="1116" t="s">
        <v>3768</v>
      </c>
      <c r="J50" s="1117" t="str">
        <f>IF(P67=0,"",IF(SUM(P59:P62)/P67&gt;=0.2,"Pass","Fail"))</f>
        <v>Fail</v>
      </c>
      <c r="K50" s="448"/>
      <c r="L50" s="107" t="s">
        <v>757</v>
      </c>
      <c r="M50" s="94">
        <f>M49*12</f>
        <v>281736</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6445</v>
      </c>
      <c r="NQ50" s="357"/>
    </row>
    <row r="51" spans="1:381" ht="12" customHeight="1">
      <c r="A51" s="3680" t="s">
        <v>2408</v>
      </c>
      <c r="B51" s="3679"/>
      <c r="C51" s="3679"/>
      <c r="D51" s="3679"/>
      <c r="E51" s="3679"/>
      <c r="F51" s="3679"/>
      <c r="G51" s="3679"/>
      <c r="H51" s="3679"/>
      <c r="I51" s="3679"/>
      <c r="J51" s="3679"/>
      <c r="K51" s="3679"/>
      <c r="L51" s="3679"/>
      <c r="M51" s="3679"/>
      <c r="N51" s="3679"/>
      <c r="O51" s="3679"/>
      <c r="P51" s="3679"/>
      <c r="Q51" s="3679"/>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679"/>
      <c r="B52" s="3679"/>
      <c r="C52" s="3679"/>
      <c r="D52" s="3679"/>
      <c r="E52" s="3679"/>
      <c r="F52" s="3679"/>
      <c r="G52" s="3679"/>
      <c r="H52" s="3679"/>
      <c r="I52" s="3679"/>
      <c r="J52" s="3679"/>
      <c r="K52" s="3679"/>
      <c r="L52" s="3679"/>
      <c r="M52" s="3679"/>
      <c r="N52" s="3679"/>
      <c r="O52" s="3679"/>
      <c r="P52" s="3679"/>
      <c r="Q52" s="3679"/>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7" customHeight="1">
      <c r="A53" s="10" t="s">
        <v>689</v>
      </c>
      <c r="B53" s="10" t="s">
        <v>499</v>
      </c>
      <c r="K53" s="1891" t="s">
        <v>6642</v>
      </c>
      <c r="O53" s="3687" t="s">
        <v>7169</v>
      </c>
      <c r="P53" s="3688"/>
      <c r="S53" s="3659" t="str">
        <f>B53</f>
        <v>UNIT SUMMARY</v>
      </c>
      <c r="T53" s="3659"/>
      <c r="U53" s="3659"/>
      <c r="V53" s="3659"/>
      <c r="AY53" s="359"/>
      <c r="BD53" s="359"/>
      <c r="LO53" s="361"/>
      <c r="MD53" s="357"/>
    </row>
    <row r="54" spans="1:381" ht="14.25" customHeight="1">
      <c r="A54" s="10"/>
      <c r="B54" s="10"/>
      <c r="K54" s="144" t="s">
        <v>6644</v>
      </c>
      <c r="O54" s="3685" t="s">
        <v>3204</v>
      </c>
      <c r="P54" s="3686"/>
      <c r="S54" s="95"/>
      <c r="T54" s="95"/>
      <c r="U54" s="368"/>
      <c r="AY54" s="359"/>
      <c r="BD54" s="359"/>
      <c r="LO54" s="361"/>
      <c r="MD54" s="357"/>
    </row>
    <row r="55" spans="1:381" ht="14.7" customHeight="1">
      <c r="A55" s="10"/>
      <c r="B55" s="10" t="s">
        <v>6494</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570" t="s">
        <v>4076</v>
      </c>
      <c r="B56" s="3570"/>
      <c r="C56" s="72" t="s">
        <v>1069</v>
      </c>
      <c r="D56" s="1"/>
      <c r="E56" s="1"/>
      <c r="F56" s="1"/>
      <c r="G56" s="62"/>
      <c r="H56" s="81" t="s">
        <v>3677</v>
      </c>
      <c r="I56" s="29"/>
      <c r="J56" s="62"/>
      <c r="K56" s="1124">
        <f>X49</f>
        <v>0</v>
      </c>
      <c r="L56" s="1125">
        <f>Y49</f>
        <v>0</v>
      </c>
      <c r="M56" s="1125">
        <f>Z49</f>
        <v>0</v>
      </c>
      <c r="N56" s="1125">
        <f>AA49</f>
        <v>0</v>
      </c>
      <c r="O56" s="1126">
        <f>AB49</f>
        <v>0</v>
      </c>
      <c r="P56" s="749">
        <f t="shared" ref="P56:P67" si="347">SUM(K56:O56)</f>
        <v>0</v>
      </c>
      <c r="Q56" s="3678" t="s">
        <v>3184</v>
      </c>
      <c r="R56" s="889"/>
      <c r="S56" s="3598"/>
      <c r="T56" s="3599"/>
      <c r="U56" s="3599"/>
      <c r="V56" s="3599"/>
      <c r="W56" s="3600"/>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70"/>
      <c r="B57" s="3570"/>
      <c r="C57" s="72"/>
      <c r="D57" s="1"/>
      <c r="E57" s="1"/>
      <c r="F57" s="1"/>
      <c r="G57" s="62"/>
      <c r="H57" s="81" t="s">
        <v>3678</v>
      </c>
      <c r="I57" s="29"/>
      <c r="J57" s="62"/>
      <c r="K57" s="1127">
        <f>AC49</f>
        <v>0</v>
      </c>
      <c r="L57" s="1128">
        <f>AD49</f>
        <v>0</v>
      </c>
      <c r="M57" s="1128">
        <f>AE49</f>
        <v>0</v>
      </c>
      <c r="N57" s="1128">
        <f>AF49</f>
        <v>0</v>
      </c>
      <c r="O57" s="1129">
        <f>AG49</f>
        <v>0</v>
      </c>
      <c r="P57" s="745">
        <f t="shared" si="347"/>
        <v>0</v>
      </c>
      <c r="Q57" s="3678"/>
      <c r="R57" s="889"/>
      <c r="S57" s="3576"/>
      <c r="T57" s="3577"/>
      <c r="U57" s="3577"/>
      <c r="V57" s="3577"/>
      <c r="W57" s="3578"/>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70"/>
      <c r="B58" s="3570"/>
      <c r="C58" s="72"/>
      <c r="D58" s="1"/>
      <c r="E58" s="1"/>
      <c r="F58" s="1"/>
      <c r="G58" s="62"/>
      <c r="H58" s="81" t="s">
        <v>1081</v>
      </c>
      <c r="I58" s="29"/>
      <c r="J58" s="62"/>
      <c r="K58" s="1127">
        <f>AH49</f>
        <v>0</v>
      </c>
      <c r="L58" s="1128">
        <f>AI49</f>
        <v>14</v>
      </c>
      <c r="M58" s="1128">
        <f>AJ49</f>
        <v>22</v>
      </c>
      <c r="N58" s="1128">
        <f>AK49</f>
        <v>4</v>
      </c>
      <c r="O58" s="1129">
        <f>AL49</f>
        <v>0</v>
      </c>
      <c r="P58" s="745">
        <f t="shared" si="347"/>
        <v>40</v>
      </c>
      <c r="Q58" s="3678"/>
      <c r="R58" s="889"/>
      <c r="S58" s="3576"/>
      <c r="T58" s="3577"/>
      <c r="U58" s="3577"/>
      <c r="V58" s="3577"/>
      <c r="W58" s="3578"/>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70"/>
      <c r="B59" s="3570"/>
      <c r="C59" s="72"/>
      <c r="D59" s="1"/>
      <c r="E59" s="1"/>
      <c r="F59" s="1"/>
      <c r="G59" s="62"/>
      <c r="H59" s="81" t="s">
        <v>112</v>
      </c>
      <c r="I59" s="29"/>
      <c r="J59" s="912"/>
      <c r="K59" s="1148">
        <f>AM49</f>
        <v>0</v>
      </c>
      <c r="L59" s="1149">
        <f>AN49</f>
        <v>0</v>
      </c>
      <c r="M59" s="1149">
        <f>AO49</f>
        <v>0</v>
      </c>
      <c r="N59" s="1149">
        <f>AP49</f>
        <v>0</v>
      </c>
      <c r="O59" s="1150">
        <f>AQ49</f>
        <v>0</v>
      </c>
      <c r="P59" s="466">
        <f t="shared" si="347"/>
        <v>0</v>
      </c>
      <c r="Q59" s="3678"/>
      <c r="R59" s="889"/>
      <c r="S59" s="3576"/>
      <c r="T59" s="3577"/>
      <c r="U59" s="3577"/>
      <c r="V59" s="3577"/>
      <c r="W59" s="3578"/>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70"/>
      <c r="B60" s="3570"/>
      <c r="C60" s="72"/>
      <c r="D60" s="1"/>
      <c r="E60" s="1"/>
      <c r="F60" s="1"/>
      <c r="G60" s="62"/>
      <c r="H60" s="81" t="s">
        <v>3679</v>
      </c>
      <c r="I60" s="29"/>
      <c r="J60" s="912"/>
      <c r="K60" s="1127">
        <f>AR49</f>
        <v>0</v>
      </c>
      <c r="L60" s="1128">
        <f>AS49</f>
        <v>0</v>
      </c>
      <c r="M60" s="1128">
        <f>AT49</f>
        <v>0</v>
      </c>
      <c r="N60" s="1128">
        <f>AU49</f>
        <v>0</v>
      </c>
      <c r="O60" s="1129">
        <f>AV49</f>
        <v>0</v>
      </c>
      <c r="P60" s="745">
        <f t="shared" si="347"/>
        <v>0</v>
      </c>
      <c r="Q60" s="3678"/>
      <c r="R60" s="889"/>
      <c r="S60" s="3576"/>
      <c r="T60" s="3577"/>
      <c r="U60" s="3577"/>
      <c r="V60" s="3577"/>
      <c r="W60" s="3578"/>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70"/>
      <c r="B61" s="3570"/>
      <c r="C61" s="72"/>
      <c r="D61" s="1"/>
      <c r="E61" s="1"/>
      <c r="F61" s="1"/>
      <c r="G61" s="62"/>
      <c r="H61" s="81" t="s">
        <v>3680</v>
      </c>
      <c r="I61" s="29"/>
      <c r="J61" s="62"/>
      <c r="K61" s="1127">
        <f>AW49</f>
        <v>0</v>
      </c>
      <c r="L61" s="1128">
        <f>AX49</f>
        <v>0</v>
      </c>
      <c r="M61" s="1128">
        <f>AY49</f>
        <v>0</v>
      </c>
      <c r="N61" s="1128">
        <f>AZ49</f>
        <v>0</v>
      </c>
      <c r="O61" s="1129">
        <f>BA49</f>
        <v>0</v>
      </c>
      <c r="P61" s="745">
        <f t="shared" si="347"/>
        <v>0</v>
      </c>
      <c r="Q61" s="3678"/>
      <c r="R61" s="889"/>
      <c r="S61" s="3576"/>
      <c r="T61" s="3577"/>
      <c r="U61" s="3577"/>
      <c r="V61" s="3577"/>
      <c r="W61" s="3578"/>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70"/>
      <c r="B62" s="3570"/>
      <c r="C62" s="4"/>
      <c r="D62" s="1"/>
      <c r="E62" s="1"/>
      <c r="F62" s="1"/>
      <c r="G62" s="62"/>
      <c r="H62" s="81" t="s">
        <v>3681</v>
      </c>
      <c r="I62" s="29"/>
      <c r="J62" s="62"/>
      <c r="K62" s="1130">
        <f>BB49</f>
        <v>0</v>
      </c>
      <c r="L62" s="1131">
        <f>BC49</f>
        <v>0</v>
      </c>
      <c r="M62" s="1131">
        <f>BD49</f>
        <v>0</v>
      </c>
      <c r="N62" s="1131">
        <f>BE49</f>
        <v>0</v>
      </c>
      <c r="O62" s="1132">
        <f>BF49</f>
        <v>0</v>
      </c>
      <c r="P62" s="466">
        <f t="shared" si="347"/>
        <v>0</v>
      </c>
      <c r="Q62" s="3678"/>
      <c r="R62" s="889"/>
      <c r="S62" s="3576"/>
      <c r="T62" s="3577"/>
      <c r="U62" s="3577"/>
      <c r="V62" s="3577"/>
      <c r="W62" s="3578"/>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570"/>
      <c r="B63" s="3570"/>
      <c r="C63" s="81" t="s">
        <v>3763</v>
      </c>
      <c r="D63" s="1"/>
      <c r="E63" s="1"/>
      <c r="F63" s="1"/>
      <c r="G63" s="62"/>
      <c r="H63" s="68"/>
      <c r="I63" s="44"/>
      <c r="J63" s="62"/>
      <c r="K63" s="1092">
        <f>SUM(K56:K62)</f>
        <v>0</v>
      </c>
      <c r="L63" s="1092">
        <f>SUM(L56:L62)</f>
        <v>14</v>
      </c>
      <c r="M63" s="1092">
        <f>SUM(M56:M62)</f>
        <v>22</v>
      </c>
      <c r="N63" s="1092">
        <f>SUM(N56:N62)</f>
        <v>4</v>
      </c>
      <c r="O63" s="1092">
        <f>SUM(O56:O62)</f>
        <v>0</v>
      </c>
      <c r="P63" s="1092">
        <f t="shared" si="347"/>
        <v>40</v>
      </c>
      <c r="Q63" s="3679"/>
      <c r="S63" s="3576"/>
      <c r="T63" s="3577"/>
      <c r="U63" s="3577"/>
      <c r="V63" s="3577"/>
      <c r="W63" s="3578"/>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570"/>
      <c r="B64" s="3570"/>
      <c r="D64" s="1"/>
      <c r="E64" s="1"/>
      <c r="F64" s="1"/>
      <c r="G64" s="62"/>
      <c r="H64" s="81" t="s">
        <v>290</v>
      </c>
      <c r="I64" s="29"/>
      <c r="J64" s="62"/>
      <c r="K64" s="746">
        <f>BG49</f>
        <v>0</v>
      </c>
      <c r="L64" s="746">
        <f>BH49</f>
        <v>0</v>
      </c>
      <c r="M64" s="746">
        <f>BI49</f>
        <v>0</v>
      </c>
      <c r="N64" s="746">
        <f>BJ49</f>
        <v>0</v>
      </c>
      <c r="O64" s="746">
        <f>BK49</f>
        <v>0</v>
      </c>
      <c r="P64" s="746">
        <f t="shared" si="347"/>
        <v>0</v>
      </c>
      <c r="S64" s="3576"/>
      <c r="T64" s="3577"/>
      <c r="U64" s="3577"/>
      <c r="V64" s="3577"/>
      <c r="W64" s="3578"/>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70"/>
      <c r="B65" s="3570"/>
      <c r="C65" s="1097" t="s">
        <v>1070</v>
      </c>
      <c r="D65" s="1097"/>
      <c r="E65" s="1097"/>
      <c r="F65" s="1097"/>
      <c r="G65" s="1098"/>
      <c r="H65" s="1439"/>
      <c r="I65" s="42"/>
      <c r="J65" s="1098"/>
      <c r="K65" s="1099">
        <f>SUM(K63:K64)</f>
        <v>0</v>
      </c>
      <c r="L65" s="1099">
        <f>SUM(L63:L64)</f>
        <v>14</v>
      </c>
      <c r="M65" s="1099">
        <f>SUM(M63:M64)</f>
        <v>22</v>
      </c>
      <c r="N65" s="1099">
        <f>SUM(N63:N64)</f>
        <v>4</v>
      </c>
      <c r="O65" s="1099">
        <f>SUM(O63:O64)</f>
        <v>0</v>
      </c>
      <c r="P65" s="1099">
        <f t="shared" si="347"/>
        <v>40</v>
      </c>
      <c r="S65" s="3576"/>
      <c r="T65" s="3577"/>
      <c r="U65" s="3577"/>
      <c r="V65" s="3577"/>
      <c r="W65" s="3578"/>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70"/>
      <c r="B66" s="3570"/>
      <c r="D66" s="1"/>
      <c r="E66" s="1"/>
      <c r="F66" s="1"/>
      <c r="G66" s="62"/>
      <c r="H66" s="81" t="s">
        <v>2309</v>
      </c>
      <c r="I66" s="29"/>
      <c r="J66" s="62"/>
      <c r="K66" s="746">
        <f>ED49</f>
        <v>0</v>
      </c>
      <c r="L66" s="746">
        <f>EE49</f>
        <v>0</v>
      </c>
      <c r="M66" s="746">
        <f>EF49</f>
        <v>0</v>
      </c>
      <c r="N66" s="746">
        <f>EG49</f>
        <v>0</v>
      </c>
      <c r="O66" s="746">
        <f>EH49</f>
        <v>0</v>
      </c>
      <c r="P66" s="746">
        <f t="shared" si="347"/>
        <v>0</v>
      </c>
      <c r="Q66" s="147" t="s">
        <v>3185</v>
      </c>
      <c r="S66" s="3576"/>
      <c r="T66" s="3577"/>
      <c r="U66" s="3577"/>
      <c r="V66" s="3577"/>
      <c r="W66" s="3578"/>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70"/>
      <c r="B67" s="3570"/>
      <c r="C67" s="4" t="s">
        <v>1667</v>
      </c>
      <c r="D67" s="1"/>
      <c r="E67" s="1"/>
      <c r="F67" s="1"/>
      <c r="G67" s="62"/>
      <c r="H67" s="81"/>
      <c r="I67" s="29"/>
      <c r="J67" s="62"/>
      <c r="K67" s="1091">
        <f>SUM(K65:K66)</f>
        <v>0</v>
      </c>
      <c r="L67" s="1091">
        <f>SUM(L65:L66)</f>
        <v>14</v>
      </c>
      <c r="M67" s="1091">
        <f>SUM(M65:M66)</f>
        <v>22</v>
      </c>
      <c r="N67" s="1091">
        <f>SUM(N65:N66)</f>
        <v>4</v>
      </c>
      <c r="O67" s="1091">
        <f>SUM(O65:O66)</f>
        <v>0</v>
      </c>
      <c r="P67" s="1091">
        <f t="shared" si="347"/>
        <v>40</v>
      </c>
      <c r="S67" s="3582"/>
      <c r="T67" s="3583"/>
      <c r="U67" s="3583"/>
      <c r="V67" s="3583"/>
      <c r="W67" s="3584"/>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 customHeight="1">
      <c r="A68" s="3570"/>
      <c r="B68" s="3570"/>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70"/>
      <c r="B69" s="3570"/>
      <c r="C69" s="3656" t="s">
        <v>3772</v>
      </c>
      <c r="D69" s="3656"/>
      <c r="E69" s="3656"/>
      <c r="F69" s="3656"/>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 customHeight="1">
      <c r="A70" s="3570"/>
      <c r="B70" s="3570"/>
      <c r="C70" s="3656"/>
      <c r="D70" s="3656"/>
      <c r="E70" s="3656"/>
      <c r="F70" s="3656"/>
      <c r="G70" s="6"/>
      <c r="H70" s="81" t="s">
        <v>3677</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4070</v>
      </c>
      <c r="S70" s="3598"/>
      <c r="T70" s="3599"/>
      <c r="U70" s="3599"/>
      <c r="V70" s="3599"/>
      <c r="W70" s="3600"/>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70"/>
      <c r="B71" s="3570"/>
      <c r="C71" s="667"/>
      <c r="D71" s="6"/>
      <c r="E71" s="6"/>
      <c r="F71" s="6"/>
      <c r="G71" s="6"/>
      <c r="H71" s="81" t="s">
        <v>6487</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76"/>
      <c r="T71" s="3577"/>
      <c r="U71" s="3577"/>
      <c r="V71" s="3577"/>
      <c r="W71" s="3578"/>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70"/>
      <c r="B72" s="3570"/>
      <c r="C72" s="667"/>
      <c r="D72" s="6"/>
      <c r="E72" s="6"/>
      <c r="F72" s="6"/>
      <c r="G72" s="1504"/>
      <c r="H72" s="1441" t="s">
        <v>6488</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76"/>
      <c r="T72" s="3577"/>
      <c r="U72" s="3577"/>
      <c r="V72" s="3577"/>
      <c r="W72" s="3578"/>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70"/>
      <c r="B73" s="3570"/>
      <c r="C73" s="667"/>
      <c r="D73" s="3690" t="s">
        <v>4069</v>
      </c>
      <c r="E73" s="3690"/>
      <c r="F73" s="3690"/>
      <c r="G73" s="6"/>
      <c r="H73" s="81" t="s">
        <v>3678</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76"/>
      <c r="T73" s="3577"/>
      <c r="U73" s="3577"/>
      <c r="V73" s="3577"/>
      <c r="W73" s="3578"/>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90"/>
      <c r="E74" s="3690"/>
      <c r="F74" s="3690"/>
      <c r="G74" s="6"/>
      <c r="H74" s="81" t="s">
        <v>6487</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76"/>
      <c r="T74" s="3577"/>
      <c r="U74" s="3577"/>
      <c r="V74" s="3577"/>
      <c r="W74" s="3578"/>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90"/>
      <c r="E75" s="3690"/>
      <c r="F75" s="3690"/>
      <c r="G75" s="1504"/>
      <c r="H75" s="1441" t="s">
        <v>6488</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76"/>
      <c r="T75" s="3577"/>
      <c r="U75" s="3577"/>
      <c r="V75" s="3577"/>
      <c r="W75" s="3578"/>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4068</v>
      </c>
      <c r="D76" s="3690"/>
      <c r="E76" s="3690"/>
      <c r="F76" s="3690"/>
      <c r="G76" s="6"/>
      <c r="H76" s="81" t="s">
        <v>1081</v>
      </c>
      <c r="I76" s="29"/>
      <c r="J76" s="1"/>
      <c r="K76" s="1436" t="str">
        <f t="shared" ref="K76:P76" si="352">IF(OR(K58=0,K67=0),"",K58/K67)</f>
        <v/>
      </c>
      <c r="L76" s="1437">
        <f t="shared" si="352"/>
        <v>1</v>
      </c>
      <c r="M76" s="1437">
        <f t="shared" si="352"/>
        <v>1</v>
      </c>
      <c r="N76" s="1437">
        <f t="shared" si="352"/>
        <v>1</v>
      </c>
      <c r="O76" s="1437" t="str">
        <f t="shared" si="352"/>
        <v/>
      </c>
      <c r="P76" s="1438">
        <f t="shared" si="352"/>
        <v>1</v>
      </c>
      <c r="S76" s="3576"/>
      <c r="T76" s="3577"/>
      <c r="U76" s="3577"/>
      <c r="V76" s="3577"/>
      <c r="W76" s="3578"/>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90"/>
      <c r="E77" s="3690"/>
      <c r="F77" s="3690"/>
      <c r="G77" s="6"/>
      <c r="H77" s="81" t="s">
        <v>6487</v>
      </c>
      <c r="I77" s="29"/>
      <c r="J77" s="1"/>
      <c r="K77" s="1509" t="str">
        <f>IF(OR(K58=0,P76="",K67=0),"",P76*K67)</f>
        <v/>
      </c>
      <c r="L77" s="1509">
        <f>IF(OR(L58=0,P76="",L67=0),"",P76*L67)</f>
        <v>14</v>
      </c>
      <c r="M77" s="1509">
        <f>IF(OR(M58=0,P76="",M67=0),"",P76*M67)</f>
        <v>22</v>
      </c>
      <c r="N77" s="1509">
        <f>IF(OR(N58=0,P76="",N67=0),"",P76*N67)</f>
        <v>4</v>
      </c>
      <c r="O77" s="1509" t="str">
        <f>IF(OR(O58=0,P76="",O67=0),"",P76*O67)</f>
        <v/>
      </c>
      <c r="P77" s="1510">
        <f>IF(OR(P76="",P67=0),"",P76*P67)</f>
        <v>40</v>
      </c>
      <c r="S77" s="3582"/>
      <c r="T77" s="3583"/>
      <c r="U77" s="3583"/>
      <c r="V77" s="3583"/>
      <c r="W77" s="3584"/>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90"/>
      <c r="E78" s="3690"/>
      <c r="F78" s="3690"/>
      <c r="G78" s="1504"/>
      <c r="H78" s="1441" t="s">
        <v>6488</v>
      </c>
      <c r="I78" s="1409"/>
      <c r="J78" s="1"/>
      <c r="K78" s="1511" t="str">
        <f t="shared" ref="K78:P78" si="353">IF(OR(K77="",K58=0),"", K58-K77)</f>
        <v/>
      </c>
      <c r="L78" s="1511">
        <f t="shared" si="353"/>
        <v>0</v>
      </c>
      <c r="M78" s="1511">
        <f t="shared" si="353"/>
        <v>0</v>
      </c>
      <c r="N78" s="1511">
        <f t="shared" si="353"/>
        <v>0</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4068</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6487</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6488</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4068</v>
      </c>
      <c r="D82" s="1407"/>
      <c r="E82" s="1407"/>
      <c r="F82" s="6"/>
      <c r="G82" s="6"/>
      <c r="H82" s="81" t="s">
        <v>3679</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6487</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6488</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4068</v>
      </c>
      <c r="D85" s="6"/>
      <c r="E85" s="6"/>
      <c r="F85" s="6"/>
      <c r="G85" s="6"/>
      <c r="H85" s="81" t="s">
        <v>3680</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6487</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6488</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4068</v>
      </c>
      <c r="D88" s="6"/>
      <c r="E88" s="6"/>
      <c r="F88" s="6"/>
      <c r="G88" s="6"/>
      <c r="H88" s="81" t="s">
        <v>3681</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6487</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6488</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3677</v>
      </c>
      <c r="I93" s="29"/>
      <c r="J93" s="62"/>
      <c r="K93" s="1133">
        <f>CP49</f>
        <v>0</v>
      </c>
      <c r="L93" s="1134">
        <f>CQ49</f>
        <v>0</v>
      </c>
      <c r="M93" s="1134">
        <f>CR49</f>
        <v>0</v>
      </c>
      <c r="N93" s="1134">
        <f>CS49</f>
        <v>0</v>
      </c>
      <c r="O93" s="1135">
        <f>CT49</f>
        <v>0</v>
      </c>
      <c r="P93" s="747">
        <f t="shared" ref="P93:P100" si="362">SUM(K93:O93)</f>
        <v>0</v>
      </c>
      <c r="S93" s="3598"/>
      <c r="T93" s="3599"/>
      <c r="U93" s="3599"/>
      <c r="V93" s="3599"/>
      <c r="W93" s="3600"/>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3678</v>
      </c>
      <c r="I94" s="29"/>
      <c r="J94" s="62"/>
      <c r="K94" s="1136">
        <f>CK49</f>
        <v>0</v>
      </c>
      <c r="L94" s="1137">
        <f>CL49</f>
        <v>0</v>
      </c>
      <c r="M94" s="1137">
        <f>CM49</f>
        <v>0</v>
      </c>
      <c r="N94" s="1137">
        <f>CN49</f>
        <v>0</v>
      </c>
      <c r="O94" s="1138">
        <f>CO49</f>
        <v>0</v>
      </c>
      <c r="P94" s="1090">
        <f t="shared" si="362"/>
        <v>0</v>
      </c>
      <c r="S94" s="3576"/>
      <c r="T94" s="3577"/>
      <c r="U94" s="3577"/>
      <c r="V94" s="3577"/>
      <c r="W94" s="3578"/>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13</v>
      </c>
      <c r="M95" s="1137">
        <f>CH49</f>
        <v>19</v>
      </c>
      <c r="N95" s="1137">
        <f>CI49</f>
        <v>4</v>
      </c>
      <c r="O95" s="1138">
        <f>CJ49</f>
        <v>0</v>
      </c>
      <c r="P95" s="1090">
        <f t="shared" si="362"/>
        <v>36</v>
      </c>
      <c r="S95" s="3576"/>
      <c r="T95" s="3577"/>
      <c r="U95" s="3577"/>
      <c r="V95" s="3577"/>
      <c r="W95" s="3578"/>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76"/>
      <c r="T96" s="3577"/>
      <c r="U96" s="3577"/>
      <c r="V96" s="3577"/>
      <c r="W96" s="3578"/>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3679</v>
      </c>
      <c r="I97" s="29"/>
      <c r="J97" s="912"/>
      <c r="K97" s="1136">
        <f>BV49</f>
        <v>0</v>
      </c>
      <c r="L97" s="1137">
        <f>BW49</f>
        <v>0</v>
      </c>
      <c r="M97" s="1137">
        <f>BX49</f>
        <v>0</v>
      </c>
      <c r="N97" s="1137">
        <f>BY49</f>
        <v>0</v>
      </c>
      <c r="O97" s="1138">
        <f>BZ49</f>
        <v>0</v>
      </c>
      <c r="P97" s="1090">
        <f t="shared" si="362"/>
        <v>0</v>
      </c>
      <c r="S97" s="3576"/>
      <c r="T97" s="3577"/>
      <c r="U97" s="3577"/>
      <c r="V97" s="3577"/>
      <c r="W97" s="3578"/>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3680</v>
      </c>
      <c r="I98" s="29"/>
      <c r="J98" s="62"/>
      <c r="K98" s="1136">
        <f>BQ49</f>
        <v>0</v>
      </c>
      <c r="L98" s="1137">
        <f>BR49</f>
        <v>0</v>
      </c>
      <c r="M98" s="1137">
        <f>BS49</f>
        <v>0</v>
      </c>
      <c r="N98" s="1137">
        <f>BT49</f>
        <v>0</v>
      </c>
      <c r="O98" s="1138">
        <f>BU49</f>
        <v>0</v>
      </c>
      <c r="P98" s="1090">
        <f t="shared" si="362"/>
        <v>0</v>
      </c>
      <c r="S98" s="3576"/>
      <c r="T98" s="3577"/>
      <c r="U98" s="3577"/>
      <c r="V98" s="3577"/>
      <c r="W98" s="3578"/>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3681</v>
      </c>
      <c r="I99" s="29"/>
      <c r="J99" s="62"/>
      <c r="K99" s="1139">
        <f>BL49</f>
        <v>0</v>
      </c>
      <c r="L99" s="1140">
        <f>BM49</f>
        <v>0</v>
      </c>
      <c r="M99" s="1140">
        <f>BN49</f>
        <v>0</v>
      </c>
      <c r="N99" s="1140">
        <f>BO49</f>
        <v>0</v>
      </c>
      <c r="O99" s="1141">
        <f>BP49</f>
        <v>0</v>
      </c>
      <c r="P99" s="748">
        <f t="shared" si="362"/>
        <v>0</v>
      </c>
      <c r="S99" s="3576"/>
      <c r="T99" s="3577"/>
      <c r="U99" s="3577"/>
      <c r="V99" s="3577"/>
      <c r="W99" s="3578"/>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13</v>
      </c>
      <c r="M100" s="1091">
        <f>SUM(M93:M99)</f>
        <v>19</v>
      </c>
      <c r="N100" s="1091">
        <f>SUM(N93:N99)</f>
        <v>4</v>
      </c>
      <c r="O100" s="1091">
        <f>SUM(O93:O99)</f>
        <v>0</v>
      </c>
      <c r="P100" s="1091">
        <f t="shared" si="362"/>
        <v>36</v>
      </c>
      <c r="S100" s="3582"/>
      <c r="T100" s="3583"/>
      <c r="U100" s="3583"/>
      <c r="V100" s="3583"/>
      <c r="W100" s="3584"/>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7" customHeight="1" thickBot="1">
      <c r="A102" s="10" t="s">
        <v>689</v>
      </c>
      <c r="B102" s="10" t="s">
        <v>3875</v>
      </c>
      <c r="H102" s="68"/>
      <c r="L102" s="3585" t="str">
        <f>$O$53</f>
        <v>40% of Units at 60% of AMI</v>
      </c>
      <c r="M102" s="3586"/>
      <c r="N102" s="3586"/>
      <c r="O102" s="3587"/>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3677</v>
      </c>
      <c r="I104" s="29"/>
      <c r="J104" s="62"/>
      <c r="K104" s="1133">
        <f>DY49</f>
        <v>0</v>
      </c>
      <c r="L104" s="1134">
        <f>DZ49</f>
        <v>0</v>
      </c>
      <c r="M104" s="1134">
        <f>EA49</f>
        <v>0</v>
      </c>
      <c r="N104" s="1134">
        <f>EB49</f>
        <v>0</v>
      </c>
      <c r="O104" s="1135">
        <f>EC49</f>
        <v>0</v>
      </c>
      <c r="P104" s="749">
        <f t="shared" ref="P104:P111" si="363">SUM(K104:O104)</f>
        <v>0</v>
      </c>
      <c r="S104" s="3598"/>
      <c r="T104" s="3599"/>
      <c r="U104" s="3599"/>
      <c r="V104" s="3599"/>
      <c r="W104" s="3600"/>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3678</v>
      </c>
      <c r="I105" s="29"/>
      <c r="J105" s="62"/>
      <c r="K105" s="1136">
        <f>DT49</f>
        <v>0</v>
      </c>
      <c r="L105" s="1137">
        <f>DU49</f>
        <v>0</v>
      </c>
      <c r="M105" s="1137">
        <f>DV49</f>
        <v>0</v>
      </c>
      <c r="N105" s="1137">
        <f>DW49</f>
        <v>0</v>
      </c>
      <c r="O105" s="1138">
        <f>DX49</f>
        <v>0</v>
      </c>
      <c r="P105" s="745">
        <f t="shared" si="363"/>
        <v>0</v>
      </c>
      <c r="S105" s="3576"/>
      <c r="T105" s="3577"/>
      <c r="U105" s="3577"/>
      <c r="V105" s="3577"/>
      <c r="W105" s="3578"/>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76"/>
      <c r="T106" s="3577"/>
      <c r="U106" s="3577"/>
      <c r="V106" s="3577"/>
      <c r="W106" s="3578"/>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76"/>
      <c r="T107" s="3577"/>
      <c r="U107" s="3577"/>
      <c r="V107" s="3577"/>
      <c r="W107" s="3578"/>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3679</v>
      </c>
      <c r="I108" s="29"/>
      <c r="J108" s="912"/>
      <c r="K108" s="1136">
        <f>DE49</f>
        <v>0</v>
      </c>
      <c r="L108" s="1137">
        <f>DF49</f>
        <v>0</v>
      </c>
      <c r="M108" s="1137">
        <f>DG49</f>
        <v>0</v>
      </c>
      <c r="N108" s="1137">
        <f>DH49</f>
        <v>0</v>
      </c>
      <c r="O108" s="1138">
        <f>DI49</f>
        <v>0</v>
      </c>
      <c r="P108" s="745">
        <f t="shared" si="363"/>
        <v>0</v>
      </c>
      <c r="S108" s="3576"/>
      <c r="T108" s="3577"/>
      <c r="U108" s="3577"/>
      <c r="V108" s="3577"/>
      <c r="W108" s="3578"/>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3680</v>
      </c>
      <c r="I109" s="29"/>
      <c r="J109" s="62"/>
      <c r="K109" s="1136">
        <f>CZ49</f>
        <v>0</v>
      </c>
      <c r="L109" s="1137">
        <f>DA49</f>
        <v>0</v>
      </c>
      <c r="M109" s="1137">
        <f>DB49</f>
        <v>0</v>
      </c>
      <c r="N109" s="1137">
        <f>DC49</f>
        <v>0</v>
      </c>
      <c r="O109" s="1138">
        <f>DD49</f>
        <v>0</v>
      </c>
      <c r="P109" s="745">
        <f t="shared" si="363"/>
        <v>0</v>
      </c>
      <c r="S109" s="3576"/>
      <c r="T109" s="3577"/>
      <c r="U109" s="3577"/>
      <c r="V109" s="3577"/>
      <c r="W109" s="3578"/>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3681</v>
      </c>
      <c r="I110" s="29"/>
      <c r="J110" s="62"/>
      <c r="K110" s="1139">
        <f>CU49</f>
        <v>0</v>
      </c>
      <c r="L110" s="1140">
        <f>CV49</f>
        <v>0</v>
      </c>
      <c r="M110" s="1140">
        <f>CW49</f>
        <v>0</v>
      </c>
      <c r="N110" s="1140">
        <f>CX49</f>
        <v>0</v>
      </c>
      <c r="O110" s="1141">
        <f>CY49</f>
        <v>0</v>
      </c>
      <c r="P110" s="746">
        <f t="shared" si="363"/>
        <v>0</v>
      </c>
      <c r="S110" s="3576"/>
      <c r="T110" s="3577"/>
      <c r="U110" s="3577"/>
      <c r="V110" s="3577"/>
      <c r="W110" s="3578"/>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82"/>
      <c r="T111" s="3583"/>
      <c r="U111" s="3583"/>
      <c r="V111" s="3583"/>
      <c r="W111" s="3584"/>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81" t="s">
        <v>35</v>
      </c>
      <c r="D113" s="3581"/>
      <c r="E113" s="81" t="s">
        <v>2120</v>
      </c>
      <c r="F113" s="1"/>
      <c r="G113" s="62"/>
      <c r="H113" s="81" t="s">
        <v>1343</v>
      </c>
      <c r="I113" s="29"/>
      <c r="J113" s="62"/>
      <c r="K113" s="1124">
        <f>GG49</f>
        <v>0</v>
      </c>
      <c r="L113" s="1125">
        <f>GH49</f>
        <v>0</v>
      </c>
      <c r="M113" s="1125">
        <f>GI49</f>
        <v>0</v>
      </c>
      <c r="N113" s="1125">
        <f>GJ49</f>
        <v>0</v>
      </c>
      <c r="O113" s="1126">
        <f>GK49</f>
        <v>0</v>
      </c>
      <c r="P113" s="749">
        <f t="shared" ref="P113:P123" si="364">SUM(K113:O113)</f>
        <v>0</v>
      </c>
      <c r="S113" s="3598"/>
      <c r="T113" s="3599"/>
      <c r="U113" s="3599"/>
      <c r="V113" s="3599"/>
      <c r="W113" s="3600"/>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81"/>
      <c r="D114" s="3581"/>
      <c r="E114" s="81"/>
      <c r="F114" s="1"/>
      <c r="G114" s="62"/>
      <c r="H114" s="81" t="s">
        <v>290</v>
      </c>
      <c r="I114" s="29"/>
      <c r="J114" s="62"/>
      <c r="K114" s="1130">
        <f>GL49</f>
        <v>0</v>
      </c>
      <c r="L114" s="1131">
        <f>GM49</f>
        <v>0</v>
      </c>
      <c r="M114" s="1131">
        <f>GN49</f>
        <v>0</v>
      </c>
      <c r="N114" s="1131">
        <f>GO49</f>
        <v>0</v>
      </c>
      <c r="O114" s="1132">
        <f>GP49</f>
        <v>0</v>
      </c>
      <c r="P114" s="746">
        <f t="shared" si="364"/>
        <v>0</v>
      </c>
      <c r="S114" s="3576"/>
      <c r="T114" s="3577"/>
      <c r="U114" s="3577"/>
      <c r="V114" s="3577"/>
      <c r="W114" s="3578"/>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81"/>
      <c r="D115" s="3581"/>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576"/>
      <c r="T115" s="3577"/>
      <c r="U115" s="3577"/>
      <c r="V115" s="3577"/>
      <c r="W115" s="3578"/>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81"/>
      <c r="D116" s="3581"/>
      <c r="E116" s="81" t="s">
        <v>1983</v>
      </c>
      <c r="F116" s="1"/>
      <c r="G116" s="62"/>
      <c r="H116" s="81" t="s">
        <v>1343</v>
      </c>
      <c r="I116" s="29"/>
      <c r="J116" s="62"/>
      <c r="K116" s="1124">
        <f>GV49</f>
        <v>0</v>
      </c>
      <c r="L116" s="1125">
        <f>GW49</f>
        <v>14</v>
      </c>
      <c r="M116" s="1125">
        <f>GX49</f>
        <v>22</v>
      </c>
      <c r="N116" s="1125">
        <f>GY49</f>
        <v>4</v>
      </c>
      <c r="O116" s="1126">
        <f>GZ49</f>
        <v>0</v>
      </c>
      <c r="P116" s="749">
        <f t="shared" si="364"/>
        <v>40</v>
      </c>
      <c r="S116" s="3576"/>
      <c r="T116" s="3577"/>
      <c r="U116" s="3577"/>
      <c r="V116" s="3577"/>
      <c r="W116" s="3578"/>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81"/>
      <c r="D117" s="3581"/>
      <c r="E117" s="81"/>
      <c r="F117" s="1"/>
      <c r="G117" s="62"/>
      <c r="H117" s="81" t="s">
        <v>290</v>
      </c>
      <c r="I117" s="29"/>
      <c r="J117" s="62"/>
      <c r="K117" s="1130">
        <f>HA49</f>
        <v>0</v>
      </c>
      <c r="L117" s="1131">
        <f>HB49</f>
        <v>0</v>
      </c>
      <c r="M117" s="1131">
        <f>HC49</f>
        <v>0</v>
      </c>
      <c r="N117" s="1131">
        <f>HD49</f>
        <v>0</v>
      </c>
      <c r="O117" s="1132">
        <f>HE49</f>
        <v>0</v>
      </c>
      <c r="P117" s="746">
        <f t="shared" si="364"/>
        <v>0</v>
      </c>
      <c r="S117" s="3576"/>
      <c r="T117" s="3577"/>
      <c r="U117" s="3577"/>
      <c r="V117" s="3577"/>
      <c r="W117" s="3578"/>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81"/>
      <c r="D118" s="3581"/>
      <c r="E118" s="81"/>
      <c r="F118" s="1"/>
      <c r="G118" s="62"/>
      <c r="H118" s="141" t="s">
        <v>29</v>
      </c>
      <c r="I118" s="66"/>
      <c r="J118" s="62"/>
      <c r="K118" s="1093">
        <f>SUM(K116:K117)+HF49</f>
        <v>0</v>
      </c>
      <c r="L118" s="1093">
        <f>SUM(L116:L117)+HG49</f>
        <v>14</v>
      </c>
      <c r="M118" s="1093">
        <f>SUM(M116:M117)+HH49</f>
        <v>22</v>
      </c>
      <c r="N118" s="1093">
        <f>SUM(N116:N117)+HI49</f>
        <v>4</v>
      </c>
      <c r="O118" s="1093">
        <f>SUM(O116:O117)+HJ49</f>
        <v>0</v>
      </c>
      <c r="P118" s="1093">
        <f t="shared" si="364"/>
        <v>40</v>
      </c>
      <c r="S118" s="3576"/>
      <c r="T118" s="3577"/>
      <c r="U118" s="3577"/>
      <c r="V118" s="3577"/>
      <c r="W118" s="3578"/>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60" t="s">
        <v>1337</v>
      </c>
      <c r="F119" s="3660"/>
      <c r="G119" s="62"/>
      <c r="H119" s="81" t="s">
        <v>1343</v>
      </c>
      <c r="I119" s="29"/>
      <c r="J119" s="62"/>
      <c r="K119" s="1124">
        <f>HK49</f>
        <v>0</v>
      </c>
      <c r="L119" s="1125">
        <f>HL49</f>
        <v>0</v>
      </c>
      <c r="M119" s="1125">
        <f>HM49</f>
        <v>0</v>
      </c>
      <c r="N119" s="1125">
        <f>HN49</f>
        <v>0</v>
      </c>
      <c r="O119" s="1126">
        <f>HO49</f>
        <v>0</v>
      </c>
      <c r="P119" s="749">
        <f t="shared" si="364"/>
        <v>0</v>
      </c>
      <c r="S119" s="3576"/>
      <c r="T119" s="3577"/>
      <c r="U119" s="3577"/>
      <c r="V119" s="3577"/>
      <c r="W119" s="3578"/>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60"/>
      <c r="F120" s="3660"/>
      <c r="G120" s="62"/>
      <c r="H120" s="81" t="s">
        <v>290</v>
      </c>
      <c r="I120" s="29"/>
      <c r="J120" s="62"/>
      <c r="K120" s="1130">
        <f>HP49</f>
        <v>0</v>
      </c>
      <c r="L120" s="1131">
        <f>HQ49</f>
        <v>0</v>
      </c>
      <c r="M120" s="1131">
        <f>HR49</f>
        <v>0</v>
      </c>
      <c r="N120" s="1131">
        <f>HS49</f>
        <v>0</v>
      </c>
      <c r="O120" s="1132">
        <f>HT49</f>
        <v>0</v>
      </c>
      <c r="P120" s="746">
        <f t="shared" si="364"/>
        <v>0</v>
      </c>
      <c r="S120" s="3576"/>
      <c r="T120" s="3577"/>
      <c r="U120" s="3577"/>
      <c r="V120" s="3577"/>
      <c r="W120" s="3578"/>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76"/>
      <c r="T121" s="3577"/>
      <c r="U121" s="3577"/>
      <c r="V121" s="3577"/>
      <c r="W121" s="3578"/>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76"/>
      <c r="T122" s="3577"/>
      <c r="U122" s="3577"/>
      <c r="V122" s="3577"/>
      <c r="W122" s="3578"/>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80" t="str">
        <f>IF(AND('Part III-A-Uses of Funds'!$T$179="Yes",'Part VIII Scoring Criteria'!$O$312&gt;0,P123&lt;1),"SHOW HISTORIC UNITS HERE &gt;&gt;&gt;&gt;","")</f>
        <v/>
      </c>
      <c r="B123" s="3580"/>
      <c r="C123" s="3580"/>
      <c r="D123" s="3580"/>
      <c r="E123" s="383" t="s">
        <v>3020</v>
      </c>
      <c r="F123" s="1"/>
      <c r="G123" s="147"/>
      <c r="H123" s="87"/>
      <c r="I123" s="62"/>
      <c r="J123" s="62"/>
      <c r="K123" s="468"/>
      <c r="L123" s="468"/>
      <c r="M123" s="468"/>
      <c r="N123" s="468"/>
      <c r="O123" s="468"/>
      <c r="P123" s="464">
        <f t="shared" si="364"/>
        <v>0</v>
      </c>
      <c r="S123" s="3576"/>
      <c r="T123" s="3577"/>
      <c r="U123" s="3577"/>
      <c r="V123" s="3577"/>
      <c r="W123" s="3578"/>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6"/>
      <c r="T124" s="3577"/>
      <c r="U124" s="3577"/>
      <c r="V124" s="3577"/>
      <c r="W124" s="3578"/>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82"/>
      <c r="T125" s="3583"/>
      <c r="U125" s="3583"/>
      <c r="V125" s="3583"/>
      <c r="W125" s="3584"/>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61" t="s">
        <v>6492</v>
      </c>
      <c r="D127" s="3661"/>
      <c r="E127" s="908" t="s">
        <v>36</v>
      </c>
      <c r="F127" s="767"/>
      <c r="G127" s="909"/>
      <c r="H127" s="1442"/>
      <c r="I127" s="910"/>
      <c r="J127" s="911"/>
      <c r="K127" s="1145">
        <f t="shared" ref="K127:P127" si="365">SUM(K128:K135)</f>
        <v>0</v>
      </c>
      <c r="L127" s="1146">
        <f t="shared" si="365"/>
        <v>14</v>
      </c>
      <c r="M127" s="1146">
        <f t="shared" si="365"/>
        <v>22</v>
      </c>
      <c r="N127" s="1146">
        <f t="shared" si="365"/>
        <v>4</v>
      </c>
      <c r="O127" s="1147">
        <f t="shared" si="365"/>
        <v>0</v>
      </c>
      <c r="P127" s="1096">
        <f t="shared" si="365"/>
        <v>40</v>
      </c>
      <c r="S127" s="3598"/>
      <c r="T127" s="3599"/>
      <c r="U127" s="3599"/>
      <c r="V127" s="3599"/>
      <c r="W127" s="3600"/>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81"/>
      <c r="D128" s="3581"/>
      <c r="E128" s="81"/>
      <c r="F128" s="1"/>
      <c r="G128" s="62"/>
      <c r="H128" s="1406" t="s">
        <v>6292</v>
      </c>
      <c r="I128" s="33"/>
      <c r="J128" s="912"/>
      <c r="K128" s="1127">
        <f>JS49</f>
        <v>0</v>
      </c>
      <c r="L128" s="1128">
        <f>JT49</f>
        <v>14</v>
      </c>
      <c r="M128" s="1128">
        <f>JU49</f>
        <v>22</v>
      </c>
      <c r="N128" s="1128">
        <f>JV49</f>
        <v>4</v>
      </c>
      <c r="O128" s="1129">
        <f>JW49</f>
        <v>0</v>
      </c>
      <c r="P128" s="745">
        <f t="shared" ref="P128:P143" si="366">SUM(K128:O128)</f>
        <v>40</v>
      </c>
      <c r="S128" s="3576"/>
      <c r="T128" s="3577"/>
      <c r="U128" s="3577"/>
      <c r="V128" s="3577"/>
      <c r="W128" s="3578"/>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81"/>
      <c r="D129" s="3581"/>
      <c r="E129" s="81"/>
      <c r="F129" s="1"/>
      <c r="G129" s="62"/>
      <c r="H129" s="1443" t="s">
        <v>2997</v>
      </c>
      <c r="I129" s="73"/>
      <c r="J129" s="912"/>
      <c r="K129" s="1691">
        <f>KC49</f>
        <v>0</v>
      </c>
      <c r="L129" s="1692">
        <f>KD49</f>
        <v>0</v>
      </c>
      <c r="M129" s="1692">
        <f>KE49</f>
        <v>0</v>
      </c>
      <c r="N129" s="1692">
        <f>KF49</f>
        <v>0</v>
      </c>
      <c r="O129" s="1693">
        <f>KG49</f>
        <v>0</v>
      </c>
      <c r="P129" s="1703">
        <f t="shared" si="366"/>
        <v>0</v>
      </c>
      <c r="S129" s="3576"/>
      <c r="T129" s="3577"/>
      <c r="U129" s="3577"/>
      <c r="V129" s="3577"/>
      <c r="W129" s="3578"/>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81"/>
      <c r="D130" s="3581"/>
      <c r="E130" s="81"/>
      <c r="F130" s="1"/>
      <c r="G130" s="62"/>
      <c r="H130" s="1406" t="s">
        <v>6479</v>
      </c>
      <c r="I130" s="33"/>
      <c r="J130" s="912"/>
      <c r="K130" s="1127">
        <f>JX49</f>
        <v>0</v>
      </c>
      <c r="L130" s="1128">
        <f>JY49</f>
        <v>0</v>
      </c>
      <c r="M130" s="1128">
        <f>JZ49</f>
        <v>0</v>
      </c>
      <c r="N130" s="1128">
        <f>KA49</f>
        <v>0</v>
      </c>
      <c r="O130" s="1129">
        <f>KB49</f>
        <v>0</v>
      </c>
      <c r="P130" s="745">
        <f t="shared" ref="P130:P135" si="367">SUM(K130:O130)</f>
        <v>0</v>
      </c>
      <c r="S130" s="3576"/>
      <c r="T130" s="3577"/>
      <c r="U130" s="3577"/>
      <c r="V130" s="3577"/>
      <c r="W130" s="3578"/>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81"/>
      <c r="D131" s="3581"/>
      <c r="E131" s="81"/>
      <c r="F131" s="1"/>
      <c r="G131" s="62"/>
      <c r="H131" s="1443" t="s">
        <v>2997</v>
      </c>
      <c r="I131" s="73"/>
      <c r="J131" s="912"/>
      <c r="K131" s="1691">
        <f>KH49</f>
        <v>0</v>
      </c>
      <c r="L131" s="1692">
        <f>KI49</f>
        <v>0</v>
      </c>
      <c r="M131" s="1692">
        <f>KJ49</f>
        <v>0</v>
      </c>
      <c r="N131" s="1692">
        <f>KK49</f>
        <v>0</v>
      </c>
      <c r="O131" s="1693">
        <f>KL49</f>
        <v>0</v>
      </c>
      <c r="P131" s="1703">
        <f t="shared" si="367"/>
        <v>0</v>
      </c>
      <c r="S131" s="3576"/>
      <c r="T131" s="3577"/>
      <c r="U131" s="3577"/>
      <c r="V131" s="3577"/>
      <c r="W131" s="3578"/>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81"/>
      <c r="D132" s="3581"/>
      <c r="E132" s="81"/>
      <c r="F132" s="1"/>
      <c r="G132" s="62"/>
      <c r="H132" s="1406" t="s">
        <v>6294</v>
      </c>
      <c r="I132" s="33"/>
      <c r="J132" s="62"/>
      <c r="K132" s="1151">
        <f>KM49</f>
        <v>0</v>
      </c>
      <c r="L132" s="1152">
        <f>KN49</f>
        <v>0</v>
      </c>
      <c r="M132" s="1152">
        <f>KO49</f>
        <v>0</v>
      </c>
      <c r="N132" s="1152">
        <f>KP49</f>
        <v>0</v>
      </c>
      <c r="O132" s="1153">
        <f>KQ49</f>
        <v>0</v>
      </c>
      <c r="P132" s="469">
        <f t="shared" si="367"/>
        <v>0</v>
      </c>
      <c r="S132" s="3576"/>
      <c r="T132" s="3577"/>
      <c r="U132" s="3577"/>
      <c r="V132" s="3577"/>
      <c r="W132" s="3578"/>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81"/>
      <c r="D133" s="3581"/>
      <c r="E133" s="81"/>
      <c r="F133" s="1"/>
      <c r="G133" s="62"/>
      <c r="H133" s="1443" t="s">
        <v>2997</v>
      </c>
      <c r="I133" s="73"/>
      <c r="J133" s="62"/>
      <c r="K133" s="1699">
        <f>KW49</f>
        <v>0</v>
      </c>
      <c r="L133" s="1700">
        <f>KX49</f>
        <v>0</v>
      </c>
      <c r="M133" s="1700">
        <f>KY49</f>
        <v>0</v>
      </c>
      <c r="N133" s="1700">
        <f>KZ49</f>
        <v>0</v>
      </c>
      <c r="O133" s="1701">
        <f>LA49</f>
        <v>0</v>
      </c>
      <c r="P133" s="1702">
        <f t="shared" si="367"/>
        <v>0</v>
      </c>
      <c r="S133" s="3576"/>
      <c r="T133" s="3577"/>
      <c r="U133" s="3577"/>
      <c r="V133" s="3577"/>
      <c r="W133" s="3578"/>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81"/>
      <c r="D134" s="3581"/>
      <c r="E134" s="81"/>
      <c r="F134" s="1"/>
      <c r="G134" s="62"/>
      <c r="H134" s="1406" t="s">
        <v>6486</v>
      </c>
      <c r="I134" s="33"/>
      <c r="J134" s="62"/>
      <c r="K134" s="1151">
        <f>KR49</f>
        <v>0</v>
      </c>
      <c r="L134" s="1152">
        <f>KS49</f>
        <v>0</v>
      </c>
      <c r="M134" s="1152">
        <f>KT49</f>
        <v>0</v>
      </c>
      <c r="N134" s="1152">
        <f>KU49</f>
        <v>0</v>
      </c>
      <c r="O134" s="1153">
        <f>KV49</f>
        <v>0</v>
      </c>
      <c r="P134" s="469">
        <f t="shared" si="367"/>
        <v>0</v>
      </c>
      <c r="S134" s="3576"/>
      <c r="T134" s="3577"/>
      <c r="U134" s="3577"/>
      <c r="V134" s="3577"/>
      <c r="W134" s="3578"/>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81"/>
      <c r="D135" s="3581"/>
      <c r="E135" s="81"/>
      <c r="F135" s="1"/>
      <c r="G135" s="62"/>
      <c r="H135" s="1443" t="s">
        <v>2997</v>
      </c>
      <c r="I135" s="73"/>
      <c r="J135" s="62"/>
      <c r="K135" s="1699">
        <f>LB49</f>
        <v>0</v>
      </c>
      <c r="L135" s="1700">
        <f>LC49</f>
        <v>0</v>
      </c>
      <c r="M135" s="1700">
        <f>LD49</f>
        <v>0</v>
      </c>
      <c r="N135" s="1700">
        <f>LE49</f>
        <v>0</v>
      </c>
      <c r="O135" s="1701">
        <f>LF49</f>
        <v>0</v>
      </c>
      <c r="P135" s="1702">
        <f t="shared" si="367"/>
        <v>0</v>
      </c>
      <c r="S135" s="3576"/>
      <c r="T135" s="3577"/>
      <c r="U135" s="3577"/>
      <c r="V135" s="3577"/>
      <c r="W135" s="3578"/>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81"/>
      <c r="D136" s="3581"/>
      <c r="E136" s="81" t="s">
        <v>6481</v>
      </c>
      <c r="F136" s="1"/>
      <c r="G136" s="62"/>
      <c r="H136" s="1406"/>
      <c r="I136" s="33"/>
      <c r="J136" s="62"/>
      <c r="K136" s="1124">
        <f>IE49</f>
        <v>0</v>
      </c>
      <c r="L136" s="1125">
        <f>IF49</f>
        <v>0</v>
      </c>
      <c r="M136" s="1125">
        <f>IG49</f>
        <v>0</v>
      </c>
      <c r="N136" s="1125">
        <f>IH49</f>
        <v>0</v>
      </c>
      <c r="O136" s="1126">
        <f>II49</f>
        <v>0</v>
      </c>
      <c r="P136" s="1687">
        <f t="shared" si="366"/>
        <v>0</v>
      </c>
      <c r="S136" s="3576"/>
      <c r="T136" s="3577"/>
      <c r="U136" s="3577"/>
      <c r="V136" s="3577"/>
      <c r="W136" s="3578"/>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81"/>
      <c r="D137" s="3581"/>
      <c r="E137" s="81"/>
      <c r="F137" s="1"/>
      <c r="G137" s="62"/>
      <c r="H137" s="1443" t="s">
        <v>2997</v>
      </c>
      <c r="I137" s="73"/>
      <c r="J137" s="62"/>
      <c r="K137" s="1691">
        <f>IJ49</f>
        <v>0</v>
      </c>
      <c r="L137" s="1692">
        <f>IK49</f>
        <v>0</v>
      </c>
      <c r="M137" s="1692">
        <f>IL49</f>
        <v>0</v>
      </c>
      <c r="N137" s="1692">
        <f>IM49</f>
        <v>0</v>
      </c>
      <c r="O137" s="1693">
        <f>IN49</f>
        <v>0</v>
      </c>
      <c r="P137" s="1694">
        <f t="shared" si="366"/>
        <v>0</v>
      </c>
      <c r="S137" s="3576"/>
      <c r="T137" s="3577"/>
      <c r="U137" s="3577"/>
      <c r="V137" s="3577"/>
      <c r="W137" s="3578"/>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81"/>
      <c r="D138" s="3581"/>
      <c r="E138" s="81" t="s">
        <v>6482</v>
      </c>
      <c r="F138" s="1"/>
      <c r="G138" s="62"/>
      <c r="H138" s="1406"/>
      <c r="I138" s="33"/>
      <c r="J138" s="62"/>
      <c r="K138" s="1151">
        <f>JI49</f>
        <v>0</v>
      </c>
      <c r="L138" s="1152">
        <f>JJ49</f>
        <v>0</v>
      </c>
      <c r="M138" s="1152">
        <f>JK49</f>
        <v>0</v>
      </c>
      <c r="N138" s="1152">
        <f>JL49</f>
        <v>0</v>
      </c>
      <c r="O138" s="1153">
        <f>JM49</f>
        <v>0</v>
      </c>
      <c r="P138" s="1688">
        <f t="shared" si="366"/>
        <v>0</v>
      </c>
      <c r="S138" s="3576"/>
      <c r="T138" s="3577"/>
      <c r="U138" s="3577"/>
      <c r="V138" s="3577"/>
      <c r="W138" s="3578"/>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81"/>
      <c r="D139" s="3581"/>
      <c r="E139" s="81"/>
      <c r="F139" s="1"/>
      <c r="G139" s="62"/>
      <c r="H139" s="1443" t="s">
        <v>2997</v>
      </c>
      <c r="I139" s="73"/>
      <c r="J139" s="62"/>
      <c r="K139" s="1691">
        <f>JN49</f>
        <v>0</v>
      </c>
      <c r="L139" s="1692">
        <f>JO49</f>
        <v>0</v>
      </c>
      <c r="M139" s="1692">
        <f>JP49</f>
        <v>0</v>
      </c>
      <c r="N139" s="1692">
        <f>JQ49</f>
        <v>0</v>
      </c>
      <c r="O139" s="1693">
        <f>JR49</f>
        <v>0</v>
      </c>
      <c r="P139" s="1694">
        <f t="shared" si="366"/>
        <v>0</v>
      </c>
      <c r="S139" s="3576"/>
      <c r="T139" s="3577"/>
      <c r="U139" s="3577"/>
      <c r="V139" s="3577"/>
      <c r="W139" s="3578"/>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81"/>
      <c r="D140" s="3581"/>
      <c r="E140" s="81" t="s">
        <v>6288</v>
      </c>
      <c r="F140" s="1"/>
      <c r="G140" s="62"/>
      <c r="H140" s="1406"/>
      <c r="I140" s="33"/>
      <c r="J140" s="62"/>
      <c r="K140" s="1151">
        <f>IY49</f>
        <v>0</v>
      </c>
      <c r="L140" s="1152">
        <f>IZ49</f>
        <v>0</v>
      </c>
      <c r="M140" s="1152">
        <f>JA49</f>
        <v>0</v>
      </c>
      <c r="N140" s="1152">
        <f>JB49</f>
        <v>0</v>
      </c>
      <c r="O140" s="1153">
        <f>JC49</f>
        <v>0</v>
      </c>
      <c r="P140" s="1688">
        <f t="shared" si="366"/>
        <v>0</v>
      </c>
      <c r="S140" s="3576"/>
      <c r="T140" s="3577"/>
      <c r="U140" s="3577"/>
      <c r="V140" s="3577"/>
      <c r="W140" s="3578"/>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81"/>
      <c r="D141" s="3581"/>
      <c r="E141" s="81"/>
      <c r="F141" s="1"/>
      <c r="G141" s="62"/>
      <c r="H141" s="1443" t="s">
        <v>2997</v>
      </c>
      <c r="I141" s="73"/>
      <c r="J141" s="62"/>
      <c r="K141" s="1699">
        <f>JD49</f>
        <v>0</v>
      </c>
      <c r="L141" s="1700">
        <f>JE49</f>
        <v>0</v>
      </c>
      <c r="M141" s="1700">
        <f>JF49</f>
        <v>0</v>
      </c>
      <c r="N141" s="1700">
        <f>JG49</f>
        <v>0</v>
      </c>
      <c r="O141" s="1701">
        <f>JH49</f>
        <v>0</v>
      </c>
      <c r="P141" s="1694">
        <f t="shared" si="366"/>
        <v>0</v>
      </c>
      <c r="S141" s="3576"/>
      <c r="T141" s="3577"/>
      <c r="U141" s="3577"/>
      <c r="V141" s="3577"/>
      <c r="W141" s="3578"/>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81"/>
      <c r="D142" s="3581"/>
      <c r="E142" s="68" t="s">
        <v>525</v>
      </c>
      <c r="F142" s="1"/>
      <c r="G142" s="62"/>
      <c r="H142" s="1406"/>
      <c r="I142" s="33"/>
      <c r="J142" s="62"/>
      <c r="K142" s="1151">
        <f>IO49</f>
        <v>0</v>
      </c>
      <c r="L142" s="1152">
        <f>IP49</f>
        <v>0</v>
      </c>
      <c r="M142" s="1152">
        <f>IQ49</f>
        <v>0</v>
      </c>
      <c r="N142" s="1152">
        <f>IR49</f>
        <v>0</v>
      </c>
      <c r="O142" s="1153">
        <f>IS49</f>
        <v>0</v>
      </c>
      <c r="P142" s="1688">
        <f t="shared" si="366"/>
        <v>0</v>
      </c>
      <c r="S142" s="3576"/>
      <c r="T142" s="3577"/>
      <c r="U142" s="3577"/>
      <c r="V142" s="3577"/>
      <c r="W142" s="3578"/>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82"/>
      <c r="T143" s="3583"/>
      <c r="U143" s="3583"/>
      <c r="V143" s="3583"/>
      <c r="W143" s="3584"/>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 customHeight="1" thickBot="1">
      <c r="A145" s="10" t="s">
        <v>689</v>
      </c>
      <c r="B145" s="10" t="s">
        <v>3875</v>
      </c>
      <c r="H145" s="68"/>
      <c r="L145" s="3585" t="str">
        <f>$O$53</f>
        <v>40% of Units at 60% of AMI</v>
      </c>
      <c r="M145" s="3586"/>
      <c r="N145" s="3586"/>
      <c r="O145" s="3587"/>
      <c r="P145" s="62"/>
      <c r="S145" s="3659" t="str">
        <f>B145</f>
        <v>UNIT SUMMARY (Continued)</v>
      </c>
      <c r="T145" s="3659"/>
      <c r="U145" s="3659"/>
      <c r="V145" s="3659"/>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61" t="s">
        <v>6493</v>
      </c>
      <c r="D147" s="3661"/>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98"/>
      <c r="T147" s="3599"/>
      <c r="U147" s="3599"/>
      <c r="V147" s="3599"/>
      <c r="W147" s="3600"/>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81"/>
      <c r="D148" s="3581"/>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76"/>
      <c r="T148" s="3577"/>
      <c r="U148" s="3577"/>
      <c r="V148" s="3577"/>
      <c r="W148" s="3578"/>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81"/>
      <c r="D149" s="3581"/>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76"/>
      <c r="T149" s="3577"/>
      <c r="U149" s="3577"/>
      <c r="V149" s="3577"/>
      <c r="W149" s="3578"/>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81"/>
      <c r="D150" s="3581"/>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76"/>
      <c r="T150" s="3577"/>
      <c r="U150" s="3577"/>
      <c r="V150" s="3577"/>
      <c r="W150" s="3578"/>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81"/>
      <c r="D151" s="3581"/>
      <c r="E151" s="81" t="s">
        <v>2994</v>
      </c>
      <c r="F151" s="147"/>
      <c r="G151" s="62"/>
      <c r="H151" s="1406"/>
      <c r="I151" s="33"/>
      <c r="J151" s="912"/>
      <c r="K151" s="1160">
        <f t="shared" ref="K151:O154" si="371">K128+K132</f>
        <v>0</v>
      </c>
      <c r="L151" s="1161">
        <f t="shared" si="371"/>
        <v>14</v>
      </c>
      <c r="M151" s="1161">
        <f t="shared" si="371"/>
        <v>22</v>
      </c>
      <c r="N151" s="1161">
        <f t="shared" si="371"/>
        <v>4</v>
      </c>
      <c r="O151" s="1162">
        <f t="shared" si="371"/>
        <v>0</v>
      </c>
      <c r="P151" s="1688">
        <f t="shared" si="369"/>
        <v>40</v>
      </c>
      <c r="S151" s="3576"/>
      <c r="T151" s="3577"/>
      <c r="U151" s="3577"/>
      <c r="V151" s="3577"/>
      <c r="W151" s="3578"/>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81"/>
      <c r="D152" s="3581"/>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76"/>
      <c r="T152" s="3577"/>
      <c r="U152" s="3577"/>
      <c r="V152" s="3577"/>
      <c r="W152" s="3578"/>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81"/>
      <c r="D153" s="3581"/>
      <c r="E153" s="81" t="s">
        <v>2995</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76"/>
      <c r="T153" s="3577"/>
      <c r="U153" s="3577"/>
      <c r="V153" s="3577"/>
      <c r="W153" s="3578"/>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677" t="s">
        <v>3891</v>
      </c>
      <c r="S154" s="3582"/>
      <c r="T154" s="3583"/>
      <c r="U154" s="3583"/>
      <c r="V154" s="3583"/>
      <c r="W154" s="3584"/>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77"/>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6495</v>
      </c>
      <c r="C156" s="1"/>
      <c r="D156" s="1"/>
      <c r="E156" s="1"/>
      <c r="F156" s="1"/>
      <c r="G156" s="62"/>
      <c r="H156" s="33"/>
      <c r="I156" s="33"/>
      <c r="J156" s="62"/>
      <c r="K156" s="472"/>
      <c r="L156" s="472"/>
      <c r="M156" s="472"/>
      <c r="N156" s="472"/>
      <c r="O156" s="472"/>
      <c r="P156" s="472"/>
      <c r="Q156" s="3677"/>
      <c r="S156" s="3328" t="str">
        <f>B156</f>
        <v>UNIT SQUARE FOOTAGE</v>
      </c>
      <c r="T156" s="3328"/>
      <c r="U156" s="3328"/>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3677</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98"/>
      <c r="T157" s="3599"/>
      <c r="U157" s="3599"/>
      <c r="V157" s="3599"/>
      <c r="W157" s="3600"/>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3678</v>
      </c>
      <c r="I158" s="33"/>
      <c r="J158" s="62"/>
      <c r="K158" s="1163">
        <f>EN49</f>
        <v>0</v>
      </c>
      <c r="L158" s="1164">
        <f>EO49</f>
        <v>0</v>
      </c>
      <c r="M158" s="1164">
        <f>EP49</f>
        <v>0</v>
      </c>
      <c r="N158" s="1164">
        <f>EQ49</f>
        <v>0</v>
      </c>
      <c r="O158" s="1165">
        <f>ER49</f>
        <v>0</v>
      </c>
      <c r="P158" s="1088">
        <f t="shared" si="372"/>
        <v>0</v>
      </c>
      <c r="Q158" s="1291" t="str">
        <f t="shared" si="373"/>
        <v/>
      </c>
      <c r="S158" s="3576"/>
      <c r="T158" s="3577"/>
      <c r="U158" s="3577"/>
      <c r="V158" s="3577"/>
      <c r="W158" s="3578"/>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8568</v>
      </c>
      <c r="M159" s="1164">
        <f>EU49</f>
        <v>16930</v>
      </c>
      <c r="N159" s="1164">
        <f>EV49</f>
        <v>3672</v>
      </c>
      <c r="O159" s="1165">
        <f>EW49</f>
        <v>0</v>
      </c>
      <c r="P159" s="1088">
        <f t="shared" si="372"/>
        <v>29170</v>
      </c>
      <c r="Q159" s="1291">
        <f t="shared" si="373"/>
        <v>729.25</v>
      </c>
      <c r="S159" s="3576"/>
      <c r="T159" s="3577"/>
      <c r="U159" s="3577"/>
      <c r="V159" s="3577"/>
      <c r="W159" s="3578"/>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76"/>
      <c r="T160" s="3577"/>
      <c r="U160" s="3577"/>
      <c r="V160" s="3577"/>
      <c r="W160" s="3578"/>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3679</v>
      </c>
      <c r="I161" s="33"/>
      <c r="J161" s="912"/>
      <c r="K161" s="1163">
        <f>FC49</f>
        <v>0</v>
      </c>
      <c r="L161" s="1164">
        <f>FD49</f>
        <v>0</v>
      </c>
      <c r="M161" s="1164">
        <f>FE49</f>
        <v>0</v>
      </c>
      <c r="N161" s="1164">
        <f>FF49</f>
        <v>0</v>
      </c>
      <c r="O161" s="1165">
        <f>FG49</f>
        <v>0</v>
      </c>
      <c r="P161" s="1088">
        <f t="shared" si="372"/>
        <v>0</v>
      </c>
      <c r="Q161" s="1291" t="str">
        <f t="shared" si="373"/>
        <v/>
      </c>
      <c r="S161" s="3576"/>
      <c r="T161" s="3577"/>
      <c r="U161" s="3577"/>
      <c r="V161" s="3577"/>
      <c r="W161" s="3578"/>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3680</v>
      </c>
      <c r="I162" s="33"/>
      <c r="J162" s="62"/>
      <c r="K162" s="1163">
        <f>FH49</f>
        <v>0</v>
      </c>
      <c r="L162" s="1164">
        <f>FI49</f>
        <v>0</v>
      </c>
      <c r="M162" s="1164">
        <f>FJ49</f>
        <v>0</v>
      </c>
      <c r="N162" s="1164">
        <f>FK49</f>
        <v>0</v>
      </c>
      <c r="O162" s="1165">
        <f>FL49</f>
        <v>0</v>
      </c>
      <c r="P162" s="1088">
        <f t="shared" si="372"/>
        <v>0</v>
      </c>
      <c r="Q162" s="1291" t="str">
        <f t="shared" si="373"/>
        <v/>
      </c>
      <c r="S162" s="3576"/>
      <c r="T162" s="3577"/>
      <c r="U162" s="3577"/>
      <c r="V162" s="3577"/>
      <c r="W162" s="3578"/>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39">
        <f>FM49</f>
        <v>0</v>
      </c>
      <c r="L163" s="1140">
        <f>FN49</f>
        <v>0</v>
      </c>
      <c r="M163" s="1140">
        <f>FO49</f>
        <v>0</v>
      </c>
      <c r="N163" s="1140">
        <f>FP49</f>
        <v>0</v>
      </c>
      <c r="O163" s="1141">
        <f>FQ49</f>
        <v>0</v>
      </c>
      <c r="P163" s="1089">
        <f t="shared" si="372"/>
        <v>0</v>
      </c>
      <c r="Q163" s="1291" t="str">
        <f t="shared" si="373"/>
        <v/>
      </c>
      <c r="S163" s="3576"/>
      <c r="T163" s="3577"/>
      <c r="U163" s="3577"/>
      <c r="V163" s="3577"/>
      <c r="W163" s="3578"/>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3762</v>
      </c>
      <c r="I164" s="73"/>
      <c r="J164" s="1098"/>
      <c r="K164" s="1690">
        <f>SUM(K157:K163)</f>
        <v>0</v>
      </c>
      <c r="L164" s="1690">
        <f>SUM(L157:L163)</f>
        <v>8568</v>
      </c>
      <c r="M164" s="1690">
        <f>SUM(M157:M163)</f>
        <v>16930</v>
      </c>
      <c r="N164" s="1690">
        <f>SUM(N157:N163)</f>
        <v>3672</v>
      </c>
      <c r="O164" s="1690">
        <f>SUM(O157:O163)</f>
        <v>0</v>
      </c>
      <c r="P164" s="1690">
        <f>SUM(K164:O164)</f>
        <v>29170</v>
      </c>
      <c r="S164" s="3576"/>
      <c r="T164" s="3577"/>
      <c r="U164" s="3577"/>
      <c r="V164" s="3577"/>
      <c r="W164" s="3578"/>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76"/>
      <c r="T165" s="3577"/>
      <c r="U165" s="3577"/>
      <c r="V165" s="3577"/>
      <c r="W165" s="3578"/>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8568</v>
      </c>
      <c r="M166" s="1689">
        <f>SUM(M164:M165)</f>
        <v>16930</v>
      </c>
      <c r="N166" s="1689">
        <f>SUM(N164:N165)</f>
        <v>3672</v>
      </c>
      <c r="O166" s="1689">
        <f>SUM(O164:O165)</f>
        <v>0</v>
      </c>
      <c r="P166" s="1689">
        <f>SUM(K166:O166)</f>
        <v>29170</v>
      </c>
      <c r="S166" s="3576"/>
      <c r="T166" s="3577"/>
      <c r="U166" s="3577"/>
      <c r="V166" s="3577"/>
      <c r="W166" s="3578"/>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76"/>
      <c r="T167" s="3577"/>
      <c r="U167" s="3577"/>
      <c r="V167" s="3577"/>
      <c r="W167" s="3578"/>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8568</v>
      </c>
      <c r="M168" s="1094">
        <f>SUM(M166:M167)</f>
        <v>16930</v>
      </c>
      <c r="N168" s="1094">
        <f>SUM(N166:N167)</f>
        <v>3672</v>
      </c>
      <c r="O168" s="1094">
        <f>SUM(O166:O167)</f>
        <v>0</v>
      </c>
      <c r="P168" s="1094">
        <f>SUM(K168:O168)</f>
        <v>29170</v>
      </c>
      <c r="S168" s="3582"/>
      <c r="T168" s="3583"/>
      <c r="U168" s="3583"/>
      <c r="V168" s="3583"/>
      <c r="W168" s="3584"/>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3888</v>
      </c>
      <c r="D171" s="1"/>
      <c r="E171" s="1"/>
      <c r="F171" s="1"/>
      <c r="G171" s="1"/>
      <c r="H171" s="1"/>
      <c r="I171" s="1"/>
      <c r="J171" s="1"/>
      <c r="K171" s="1290" t="str">
        <f>IF(OR(K67="",K67=0),"",K168/K67)</f>
        <v/>
      </c>
      <c r="L171" s="1290">
        <f>IF(OR(L67="",L67=0),"",L168/L67)</f>
        <v>612</v>
      </c>
      <c r="M171" s="1290">
        <f>IF(OR(M67="",M67=0),"",M168/M67)</f>
        <v>769.5454545454545</v>
      </c>
      <c r="N171" s="1290">
        <f>IF(OR(N67="",N67=0),"",N168/N67)</f>
        <v>918</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6647</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6643</v>
      </c>
      <c r="K174" s="3590">
        <v>679</v>
      </c>
      <c r="L174" s="3591"/>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588">
        <f>P168+K174</f>
        <v>29849</v>
      </c>
      <c r="L175" s="3589"/>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89">
        <v>892</v>
      </c>
      <c r="I179" s="3689"/>
      <c r="J179" s="1406" t="s">
        <v>6758</v>
      </c>
      <c r="M179" s="81"/>
      <c r="N179" s="81"/>
      <c r="O179" s="81"/>
      <c r="P179" s="1447">
        <f>IF(M50=0,0,H179/M50)</f>
        <v>3.1660845614333985E-3</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98"/>
      <c r="T183" s="3599"/>
      <c r="U183" s="3599"/>
      <c r="V183" s="3599"/>
      <c r="W183" s="3600"/>
    </row>
    <row r="184" spans="1:493" ht="15.6" customHeight="1">
      <c r="B184" s="81" t="s">
        <v>690</v>
      </c>
      <c r="C184" s="3603"/>
      <c r="D184" s="3604"/>
      <c r="E184" s="3604"/>
      <c r="F184" s="3605"/>
      <c r="H184" s="706"/>
      <c r="I184" s="706"/>
      <c r="J184" s="706"/>
      <c r="K184" s="706"/>
      <c r="L184" s="707"/>
      <c r="M184" s="706"/>
      <c r="N184" s="706"/>
      <c r="O184" s="706"/>
      <c r="P184" s="706"/>
      <c r="Q184" s="706"/>
      <c r="R184" s="674"/>
      <c r="S184" s="3576"/>
      <c r="T184" s="3577"/>
      <c r="U184" s="3577"/>
      <c r="V184" s="3577"/>
      <c r="W184" s="3578"/>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82"/>
      <c r="T185" s="3583"/>
      <c r="U185" s="3583"/>
      <c r="V185" s="3583"/>
      <c r="W185" s="3584"/>
      <c r="NP185" s="1720"/>
    </row>
    <row r="186" spans="1:493" ht="15.6"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98"/>
      <c r="T187" s="3599"/>
      <c r="U187" s="3599"/>
      <c r="V187" s="3599"/>
      <c r="W187" s="3600"/>
    </row>
    <row r="188" spans="1:493" ht="15.6" customHeight="1">
      <c r="B188" s="81" t="s">
        <v>690</v>
      </c>
      <c r="C188" s="3603"/>
      <c r="D188" s="3604"/>
      <c r="E188" s="3604"/>
      <c r="F188" s="3605"/>
      <c r="H188" s="706"/>
      <c r="I188" s="706"/>
      <c r="J188" s="706"/>
      <c r="K188" s="706"/>
      <c r="L188" s="707"/>
      <c r="M188" s="706"/>
      <c r="N188" s="706"/>
      <c r="O188" s="706"/>
      <c r="P188" s="706"/>
      <c r="Q188" s="706"/>
      <c r="R188" s="674"/>
      <c r="S188" s="3576"/>
      <c r="T188" s="3577"/>
      <c r="U188" s="3577"/>
      <c r="V188" s="3577"/>
      <c r="W188" s="3578"/>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82"/>
      <c r="T189" s="3583"/>
      <c r="U189" s="3583"/>
      <c r="V189" s="3583"/>
      <c r="W189" s="3584"/>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98"/>
      <c r="T192" s="3599"/>
      <c r="U192" s="3599"/>
      <c r="V192" s="3599"/>
      <c r="W192" s="3600"/>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3"/>
      <c r="D193" s="3604"/>
      <c r="E193" s="3604"/>
      <c r="F193" s="3605"/>
      <c r="H193" s="706"/>
      <c r="I193" s="706"/>
      <c r="J193" s="706"/>
      <c r="K193" s="706"/>
      <c r="L193" s="707"/>
      <c r="M193" s="706"/>
      <c r="N193" s="706"/>
      <c r="O193" s="706"/>
      <c r="P193" s="706"/>
      <c r="Q193" s="706"/>
      <c r="R193" s="674"/>
      <c r="S193" s="3576"/>
      <c r="T193" s="3577"/>
      <c r="U193" s="3577"/>
      <c r="V193" s="3577"/>
      <c r="W193" s="3578"/>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82"/>
      <c r="T194" s="3583"/>
      <c r="U194" s="3583"/>
      <c r="V194" s="3583"/>
      <c r="W194" s="3584"/>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98"/>
      <c r="T196" s="3599"/>
      <c r="U196" s="3599"/>
      <c r="V196" s="3599"/>
      <c r="W196" s="3600"/>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3"/>
      <c r="D197" s="3604"/>
      <c r="E197" s="3604"/>
      <c r="F197" s="3605"/>
      <c r="H197" s="706"/>
      <c r="I197" s="706"/>
      <c r="J197" s="706"/>
      <c r="K197" s="706"/>
      <c r="L197" s="707"/>
      <c r="M197" s="706"/>
      <c r="N197" s="706"/>
      <c r="O197" s="706"/>
      <c r="P197" s="706"/>
      <c r="Q197" s="706"/>
      <c r="R197" s="674"/>
      <c r="S197" s="3576"/>
      <c r="T197" s="3577"/>
      <c r="U197" s="3577"/>
      <c r="V197" s="3577"/>
      <c r="W197" s="3578"/>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82"/>
      <c r="T198" s="3583"/>
      <c r="U198" s="3583"/>
      <c r="V198" s="3583"/>
      <c r="W198" s="3584"/>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98"/>
      <c r="T201" s="3599"/>
      <c r="U201" s="3599"/>
      <c r="V201" s="3599"/>
      <c r="W201" s="3600"/>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3"/>
      <c r="D202" s="3604"/>
      <c r="E202" s="3604"/>
      <c r="F202" s="3605"/>
      <c r="H202" s="706"/>
      <c r="I202" s="706"/>
      <c r="J202" s="706"/>
      <c r="K202" s="706"/>
      <c r="L202" s="707"/>
      <c r="M202" s="706"/>
      <c r="N202" s="706"/>
      <c r="O202" s="706"/>
      <c r="P202" s="706"/>
      <c r="Q202" s="706"/>
      <c r="R202" s="674"/>
      <c r="S202" s="3576"/>
      <c r="T202" s="3577"/>
      <c r="U202" s="3577"/>
      <c r="V202" s="3577"/>
      <c r="W202" s="3578"/>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82"/>
      <c r="T203" s="3583"/>
      <c r="U203" s="3583"/>
      <c r="V203" s="3583"/>
      <c r="W203" s="3584"/>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98"/>
      <c r="T205" s="3599"/>
      <c r="U205" s="3599"/>
      <c r="V205" s="3599"/>
      <c r="W205" s="3600"/>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3"/>
      <c r="D206" s="3604"/>
      <c r="E206" s="3604"/>
      <c r="F206" s="3605"/>
      <c r="H206" s="706"/>
      <c r="I206" s="706"/>
      <c r="J206" s="706"/>
      <c r="K206" s="706"/>
      <c r="L206" s="707"/>
      <c r="M206" s="706"/>
      <c r="N206" s="706"/>
      <c r="O206" s="706"/>
      <c r="P206" s="706"/>
      <c r="Q206" s="706"/>
      <c r="R206" s="674"/>
      <c r="S206" s="3576"/>
      <c r="T206" s="3577"/>
      <c r="U206" s="3577"/>
      <c r="V206" s="3577"/>
      <c r="W206" s="3578"/>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82"/>
      <c r="T207" s="3583"/>
      <c r="U207" s="3583"/>
      <c r="V207" s="3583"/>
      <c r="W207" s="3584"/>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98"/>
      <c r="T210" s="3599"/>
      <c r="U210" s="3599"/>
      <c r="V210" s="3599"/>
      <c r="W210" s="3600"/>
    </row>
    <row r="211" spans="1:493" ht="15.6" customHeight="1">
      <c r="B211" s="81" t="s">
        <v>690</v>
      </c>
      <c r="C211" s="3603"/>
      <c r="D211" s="3604"/>
      <c r="E211" s="3604"/>
      <c r="F211" s="3605"/>
      <c r="H211" s="706"/>
      <c r="I211" s="706"/>
      <c r="J211" s="706"/>
      <c r="K211" s="706"/>
      <c r="L211" s="707"/>
      <c r="M211" s="68"/>
      <c r="N211" s="68"/>
      <c r="O211" s="68"/>
      <c r="P211" s="68"/>
      <c r="Q211" s="68"/>
      <c r="R211" s="6"/>
      <c r="S211" s="3576"/>
      <c r="T211" s="3577"/>
      <c r="U211" s="3577"/>
      <c r="V211" s="3577"/>
      <c r="W211" s="3578"/>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82"/>
      <c r="T212" s="3583"/>
      <c r="U212" s="3583"/>
      <c r="V212" s="3583"/>
      <c r="W212" s="3584"/>
    </row>
    <row r="213" spans="1:493" ht="15.6"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98"/>
      <c r="T214" s="3599"/>
      <c r="U214" s="3599"/>
      <c r="V214" s="3599"/>
      <c r="W214" s="3600"/>
    </row>
    <row r="215" spans="1:493" ht="15.6" customHeight="1">
      <c r="B215" s="81" t="s">
        <v>690</v>
      </c>
      <c r="C215" s="3603"/>
      <c r="D215" s="3604"/>
      <c r="E215" s="3604"/>
      <c r="F215" s="3605"/>
      <c r="H215" s="706"/>
      <c r="I215" s="706"/>
      <c r="J215" s="706"/>
      <c r="K215" s="706"/>
      <c r="L215" s="707"/>
      <c r="M215" s="68"/>
      <c r="N215" s="68"/>
      <c r="O215" s="68"/>
      <c r="P215" s="68"/>
      <c r="Q215" s="68"/>
      <c r="R215" s="6"/>
      <c r="S215" s="3576"/>
      <c r="T215" s="3577"/>
      <c r="U215" s="3577"/>
      <c r="V215" s="3577"/>
      <c r="W215" s="3578"/>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82"/>
      <c r="T216" s="3583"/>
      <c r="U216" s="3583"/>
      <c r="V216" s="3583"/>
      <c r="W216" s="3584"/>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38400</v>
      </c>
      <c r="R220" s="1"/>
      <c r="S220" s="3598"/>
      <c r="T220" s="3599"/>
      <c r="U220" s="3599"/>
      <c r="V220" s="3599"/>
      <c r="W220" s="3600"/>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06">
        <v>23148</v>
      </c>
      <c r="G221" s="3607"/>
      <c r="H221" s="1"/>
      <c r="I221" s="1" t="s">
        <v>1300</v>
      </c>
      <c r="K221" s="1"/>
      <c r="L221" s="3636"/>
      <c r="M221" s="3637"/>
      <c r="N221" s="1"/>
      <c r="O221" s="319">
        <f>+Q220/(P67*0.93)</f>
        <v>1032.258064516129</v>
      </c>
      <c r="P221" s="42" t="s">
        <v>2484</v>
      </c>
      <c r="Q221" s="1"/>
      <c r="R221" s="674"/>
      <c r="S221" s="3576"/>
      <c r="T221" s="3577"/>
      <c r="U221" s="3577"/>
      <c r="V221" s="3577"/>
      <c r="W221" s="3578"/>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32">
        <v>33727</v>
      </c>
      <c r="G222" s="3633"/>
      <c r="H222" s="1"/>
      <c r="I222" s="1" t="s">
        <v>1301</v>
      </c>
      <c r="K222" s="1"/>
      <c r="L222" s="3601"/>
      <c r="M222" s="3602"/>
      <c r="N222" s="1"/>
      <c r="O222" s="319">
        <f>+Q220/(P67*0.93)/12</f>
        <v>86.021505376344081</v>
      </c>
      <c r="P222" s="42" t="s">
        <v>2485</v>
      </c>
      <c r="Q222" s="1"/>
      <c r="R222" s="674"/>
      <c r="S222" s="3576"/>
      <c r="T222" s="3577"/>
      <c r="U222" s="3577"/>
      <c r="V222" s="3577"/>
      <c r="W222" s="3578"/>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41"/>
      <c r="G223" s="3642"/>
      <c r="H223" s="1"/>
      <c r="I223" s="1"/>
      <c r="K223" s="8" t="s">
        <v>184</v>
      </c>
      <c r="L223" s="3622">
        <f>SUM(L221:M222)</f>
        <v>0</v>
      </c>
      <c r="M223" s="3623"/>
      <c r="N223" s="1"/>
      <c r="O223" s="29" t="s">
        <v>3222</v>
      </c>
      <c r="P223" s="103"/>
      <c r="Q223" s="103"/>
      <c r="R223" s="674"/>
      <c r="S223" s="3576"/>
      <c r="T223" s="3577"/>
      <c r="U223" s="3577"/>
      <c r="V223" s="3577"/>
      <c r="W223" s="3578"/>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6632</v>
      </c>
      <c r="F224" s="3641"/>
      <c r="G224" s="3642"/>
      <c r="H224" s="1"/>
      <c r="I224" s="1"/>
      <c r="K224" s="1"/>
      <c r="L224" s="1"/>
      <c r="M224" s="1"/>
      <c r="N224" s="1"/>
      <c r="R224" s="671"/>
      <c r="S224" s="3576"/>
      <c r="T224" s="3577"/>
      <c r="U224" s="3577"/>
      <c r="V224" s="3577"/>
      <c r="W224" s="3578"/>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4020</v>
      </c>
      <c r="F225" s="3641"/>
      <c r="G225" s="3642"/>
      <c r="H225" s="1"/>
      <c r="I225" s="1"/>
      <c r="K225" s="1"/>
      <c r="L225" s="1"/>
      <c r="M225" s="1"/>
      <c r="N225" s="1"/>
      <c r="R225" s="671"/>
      <c r="S225" s="3576"/>
      <c r="T225" s="3577"/>
      <c r="U225" s="3577"/>
      <c r="V225" s="3577"/>
      <c r="W225" s="3578"/>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38" t="s">
        <v>46</v>
      </c>
      <c r="C226" s="3639"/>
      <c r="D226" s="3639"/>
      <c r="E226" s="3640"/>
      <c r="F226" s="3601"/>
      <c r="G226" s="3602"/>
      <c r="H226" s="1"/>
      <c r="I226" s="4" t="s">
        <v>1215</v>
      </c>
      <c r="K226" s="1"/>
      <c r="L226" s="1"/>
      <c r="M226" s="1"/>
      <c r="N226" s="1"/>
      <c r="R226" s="671"/>
      <c r="S226" s="3576"/>
      <c r="T226" s="3577"/>
      <c r="U226" s="3577"/>
      <c r="V226" s="3577"/>
      <c r="W226" s="3578"/>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22">
        <f>SUM(F221:G226)</f>
        <v>56875</v>
      </c>
      <c r="G227" s="3623"/>
      <c r="H227" s="1"/>
      <c r="I227" s="1" t="s">
        <v>1497</v>
      </c>
      <c r="K227" s="1"/>
      <c r="L227" s="3626">
        <v>200</v>
      </c>
      <c r="M227" s="3627"/>
      <c r="N227" s="1"/>
      <c r="R227" s="1"/>
      <c r="S227" s="3576"/>
      <c r="T227" s="3577"/>
      <c r="U227" s="3577"/>
      <c r="V227" s="3577"/>
      <c r="W227" s="3578"/>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30">
        <v>5750</v>
      </c>
      <c r="M228" s="3631"/>
      <c r="N228" s="3615" t="e">
        <f>IF(Q230="","",IF(Q228&lt;Q230, "WARNING! OE below required minimum.",""))</f>
        <v>#VALUE!</v>
      </c>
      <c r="O228" s="4" t="s">
        <v>2029</v>
      </c>
      <c r="P228" s="1"/>
      <c r="Q228" s="326">
        <f>F227+F236+F247+L223+L231+L241+L247+Q220</f>
        <v>167667</v>
      </c>
      <c r="R228" s="1"/>
      <c r="S228" s="3576"/>
      <c r="T228" s="3577"/>
      <c r="U228" s="3577"/>
      <c r="V228" s="3577"/>
      <c r="W228" s="3578"/>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30">
        <v>200</v>
      </c>
      <c r="M229" s="3631"/>
      <c r="N229" s="3615"/>
      <c r="O229" s="42" t="s">
        <v>2486</v>
      </c>
      <c r="P229" s="319">
        <f>+Q228/P67</f>
        <v>4191.6750000000002</v>
      </c>
      <c r="R229" s="672"/>
      <c r="S229" s="3576"/>
      <c r="T229" s="3577"/>
      <c r="U229" s="3577"/>
      <c r="V229" s="3577"/>
      <c r="W229" s="3578"/>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6446</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06">
        <v>1700</v>
      </c>
      <c r="G230" s="3607"/>
      <c r="H230" s="1"/>
      <c r="I230" s="3644" t="s">
        <v>46</v>
      </c>
      <c r="J230" s="3645"/>
      <c r="K230" s="3646"/>
      <c r="L230" s="3634"/>
      <c r="M230" s="3635"/>
      <c r="N230" s="3615"/>
      <c r="P230" s="758" t="s">
        <v>3223</v>
      </c>
      <c r="Q230" s="759" t="e">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#VALUE!</v>
      </c>
      <c r="R230" s="1"/>
      <c r="S230" s="3576"/>
      <c r="T230" s="3577"/>
      <c r="U230" s="3577"/>
      <c r="V230" s="3577"/>
      <c r="W230" s="3578"/>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32">
        <v>1486</v>
      </c>
      <c r="G231" s="3633"/>
      <c r="H231" s="1"/>
      <c r="I231" s="4"/>
      <c r="K231" s="8" t="s">
        <v>184</v>
      </c>
      <c r="L231" s="3611">
        <f>SUM(L227:L230)</f>
        <v>6150</v>
      </c>
      <c r="M231" s="3643"/>
      <c r="N231" s="3615"/>
      <c r="O231" s="3610" t="s">
        <v>6725</v>
      </c>
      <c r="P231" s="3610"/>
      <c r="Q231" s="3610"/>
      <c r="R231" s="1"/>
      <c r="S231" s="3576"/>
      <c r="T231" s="3577"/>
      <c r="U231" s="3577"/>
      <c r="V231" s="3577"/>
      <c r="W231" s="3578"/>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32">
        <v>700</v>
      </c>
      <c r="G232" s="3633"/>
      <c r="H232" s="1"/>
      <c r="N232" s="1"/>
      <c r="O232" s="3610"/>
      <c r="P232" s="3610"/>
      <c r="Q232" s="3610"/>
      <c r="R232" s="889"/>
      <c r="S232" s="3576"/>
      <c r="T232" s="3577"/>
      <c r="U232" s="3577"/>
      <c r="V232" s="3577"/>
      <c r="W232" s="3578"/>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32"/>
      <c r="G233" s="3633"/>
      <c r="H233" s="1"/>
      <c r="L233" s="1"/>
      <c r="M233" s="1"/>
      <c r="N233" s="1"/>
      <c r="R233" s="889"/>
      <c r="S233" s="3576"/>
      <c r="T233" s="3577"/>
      <c r="U233" s="3577"/>
      <c r="V233" s="3577"/>
      <c r="W233" s="3578"/>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6447</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32"/>
      <c r="G234" s="3633"/>
      <c r="H234" s="1"/>
      <c r="I234" s="4" t="s">
        <v>1297</v>
      </c>
      <c r="K234" s="248" t="s">
        <v>3884</v>
      </c>
      <c r="O234" s="1312" t="s">
        <v>3085</v>
      </c>
      <c r="P234" s="4"/>
      <c r="Q234" s="917">
        <v>24000</v>
      </c>
      <c r="S234" s="3576"/>
      <c r="T234" s="3577"/>
      <c r="U234" s="3577"/>
      <c r="V234" s="3577"/>
      <c r="W234" s="3578"/>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38" t="s">
        <v>7163</v>
      </c>
      <c r="C235" s="3639"/>
      <c r="D235" s="3639"/>
      <c r="E235" s="3640"/>
      <c r="F235" s="3620">
        <v>4880</v>
      </c>
      <c r="G235" s="3621"/>
      <c r="H235" s="1"/>
      <c r="I235" s="1" t="s">
        <v>1290</v>
      </c>
      <c r="K235" s="365">
        <f>L235/12/P67</f>
        <v>7.6270833333333332</v>
      </c>
      <c r="L235" s="3626">
        <v>3661</v>
      </c>
      <c r="M235" s="3627"/>
      <c r="N235" s="3615" t="str">
        <f>IF(Q234&lt;Q243, "WARNING! RR proposed is below the DCA required minimum.","")</f>
        <v/>
      </c>
      <c r="O235" s="772" t="s">
        <v>3883</v>
      </c>
      <c r="P235" s="767"/>
      <c r="Q235" s="773">
        <f>Q234/P243</f>
        <v>600</v>
      </c>
      <c r="R235" s="671"/>
      <c r="S235" s="3576"/>
      <c r="T235" s="3577"/>
      <c r="U235" s="3577"/>
      <c r="V235" s="3577"/>
      <c r="W235" s="3578"/>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22">
        <f>SUM(F230:G235)</f>
        <v>8766</v>
      </c>
      <c r="G236" s="3623"/>
      <c r="H236" s="1"/>
      <c r="I236" s="1" t="s">
        <v>1291</v>
      </c>
      <c r="K236" s="365">
        <f>L236/12/P67</f>
        <v>0</v>
      </c>
      <c r="L236" s="3630"/>
      <c r="M236" s="3631"/>
      <c r="N236" s="3616"/>
      <c r="O236" s="3617" t="s">
        <v>3230</v>
      </c>
      <c r="P236" s="3618"/>
      <c r="Q236" s="3619"/>
      <c r="S236" s="3576"/>
      <c r="T236" s="3577"/>
      <c r="U236" s="3577"/>
      <c r="V236" s="3577"/>
      <c r="W236" s="3578"/>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3929</v>
      </c>
      <c r="K237" s="365">
        <f>L237/12/P67</f>
        <v>2.083333333333333</v>
      </c>
      <c r="L237" s="3630">
        <v>1000</v>
      </c>
      <c r="M237" s="3631"/>
      <c r="N237" s="3616"/>
      <c r="O237" s="766" t="s">
        <v>2464</v>
      </c>
      <c r="P237" s="669" t="s">
        <v>3284</v>
      </c>
      <c r="Q237" s="768" t="s">
        <v>3054</v>
      </c>
      <c r="R237" s="1"/>
      <c r="S237" s="3576"/>
      <c r="T237" s="3577"/>
      <c r="U237" s="3577"/>
      <c r="V237" s="3577"/>
      <c r="W237" s="3578"/>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6380</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0.72916666666666674</v>
      </c>
      <c r="L238" s="3630">
        <v>350</v>
      </c>
      <c r="M238" s="3631"/>
      <c r="N238" s="3616"/>
      <c r="O238" s="499" t="s">
        <v>36</v>
      </c>
      <c r="Q238" s="500"/>
      <c r="R238" s="672"/>
      <c r="S238" s="3576"/>
      <c r="T238" s="3577"/>
      <c r="U238" s="3577"/>
      <c r="V238" s="3577"/>
      <c r="W238" s="3578"/>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24">
        <v>1908</v>
      </c>
      <c r="G239" s="3625"/>
      <c r="H239" s="1"/>
      <c r="I239" s="72" t="s">
        <v>6682</v>
      </c>
      <c r="K239" s="365">
        <f>L239/12/P67</f>
        <v>0</v>
      </c>
      <c r="L239" s="3649"/>
      <c r="M239" s="3650"/>
      <c r="N239" s="3616"/>
      <c r="O239" s="387" t="s">
        <v>3052</v>
      </c>
      <c r="P239" s="673" t="str">
        <f>CONCATENATE(SUM(MF49:MJ49)," units x $",'DCA Underwriting Assumptions'!$Q$28," =")</f>
        <v>40 units x $350 =</v>
      </c>
      <c r="Q239" s="501">
        <f>SUM(MF49:MJ49)*'DCA Underwriting Assumptions'!$Q$28</f>
        <v>14000</v>
      </c>
      <c r="R239" s="675"/>
      <c r="S239" s="3576"/>
      <c r="T239" s="3577"/>
      <c r="U239" s="3577"/>
      <c r="V239" s="3577"/>
      <c r="W239" s="3578"/>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28">
        <v>1000</v>
      </c>
      <c r="G240" s="3629"/>
      <c r="H240" s="1"/>
      <c r="I240" s="3651" t="s">
        <v>46</v>
      </c>
      <c r="J240" s="3652"/>
      <c r="K240" s="365">
        <f>L240/12/P67</f>
        <v>0</v>
      </c>
      <c r="L240" s="3634"/>
      <c r="M240" s="3635"/>
      <c r="N240" s="3616"/>
      <c r="O240" s="387" t="s">
        <v>3051</v>
      </c>
      <c r="P240" s="673" t="str">
        <f>CONCATENATE(SUM(MK49:MO49)," units x $",'DCA Underwriting Assumptions'!$Q$29," =")</f>
        <v>0 units x $250 =</v>
      </c>
      <c r="Q240" s="501">
        <f>SUM(MK49:MO49)*'DCA Underwriting Assumptions'!$Q$29</f>
        <v>0</v>
      </c>
      <c r="S240" s="3576"/>
      <c r="T240" s="3577"/>
      <c r="U240" s="3577"/>
      <c r="V240" s="3577"/>
      <c r="W240" s="3578"/>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28">
        <v>11555</v>
      </c>
      <c r="G241" s="3629"/>
      <c r="H241" s="1"/>
      <c r="K241" s="8" t="s">
        <v>184</v>
      </c>
      <c r="L241" s="3611">
        <f>SUM(L235:L240)</f>
        <v>5011</v>
      </c>
      <c r="M241" s="3643"/>
      <c r="N241" s="3616"/>
      <c r="O241" s="502" t="s">
        <v>6499</v>
      </c>
      <c r="P241" s="673" t="str">
        <f>CONCATENATE(SUM(MP49:MT49)," units x $",'DCA Underwriting Assumptions'!$Q$30," =")</f>
        <v>0 units x $420 =</v>
      </c>
      <c r="Q241" s="501">
        <f>SUM(MP49:MT49)*'DCA Underwriting Assumptions'!$Q$30</f>
        <v>0</v>
      </c>
      <c r="R241" s="669"/>
      <c r="S241" s="3576"/>
      <c r="T241" s="3577"/>
      <c r="U241" s="3577"/>
      <c r="V241" s="3577"/>
      <c r="W241" s="3578"/>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32">
        <v>1843</v>
      </c>
      <c r="G242" s="3633"/>
      <c r="H242" s="1"/>
      <c r="O242" s="502" t="s">
        <v>3050</v>
      </c>
      <c r="P242" s="673" t="str">
        <f>CONCATENATE(P125," units x $",'DCA Underwriting Assumptions'!$Q$31," =")</f>
        <v>0 units x $420 =</v>
      </c>
      <c r="Q242" s="501">
        <f>P125*'DCA Underwriting Assumptions'!$Q$31</f>
        <v>0</v>
      </c>
      <c r="S242" s="3576"/>
      <c r="T242" s="3577"/>
      <c r="U242" s="3577"/>
      <c r="V242" s="3577"/>
      <c r="W242" s="3578"/>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6448</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32">
        <v>3146</v>
      </c>
      <c r="G243" s="3633"/>
      <c r="H243" s="1"/>
      <c r="I243" s="4" t="s">
        <v>1298</v>
      </c>
      <c r="O243" s="769" t="s">
        <v>2467</v>
      </c>
      <c r="P243" s="770">
        <f>SUM(MF49:MJ49)+SUM(MK49:MO49)+SUM(MP49:MT49)+P125</f>
        <v>40</v>
      </c>
      <c r="Q243" s="771">
        <f>SUM(Q239:Q242)</f>
        <v>14000</v>
      </c>
      <c r="R243" s="673"/>
      <c r="S243" s="3576"/>
      <c r="T243" s="3577"/>
      <c r="U243" s="3577"/>
      <c r="V243" s="3577"/>
      <c r="W243" s="3578"/>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32"/>
      <c r="G244" s="3633"/>
      <c r="H244" s="1"/>
      <c r="I244" s="72" t="s">
        <v>3930</v>
      </c>
      <c r="K244" s="1"/>
      <c r="L244" s="3626">
        <v>18250</v>
      </c>
      <c r="M244" s="3627"/>
      <c r="R244" s="673"/>
      <c r="S244" s="3576"/>
      <c r="T244" s="3577"/>
      <c r="U244" s="3577"/>
      <c r="V244" s="3577"/>
      <c r="W244" s="3578"/>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32">
        <v>375</v>
      </c>
      <c r="G245" s="3633"/>
      <c r="H245" s="1"/>
      <c r="I245" s="1" t="s">
        <v>140</v>
      </c>
      <c r="K245" s="1"/>
      <c r="L245" s="3630">
        <v>14388</v>
      </c>
      <c r="M245" s="3631"/>
      <c r="R245" s="673"/>
      <c r="S245" s="3576"/>
      <c r="T245" s="3577"/>
      <c r="U245" s="3577"/>
      <c r="V245" s="3577"/>
      <c r="W245" s="3578"/>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38" t="s">
        <v>46</v>
      </c>
      <c r="C246" s="3639"/>
      <c r="D246" s="3639"/>
      <c r="E246" s="3640"/>
      <c r="F246" s="3601"/>
      <c r="G246" s="3602"/>
      <c r="H246" s="1"/>
      <c r="I246" s="3644" t="s">
        <v>46</v>
      </c>
      <c r="J246" s="3645"/>
      <c r="K246" s="3646"/>
      <c r="L246" s="3647"/>
      <c r="M246" s="3648"/>
      <c r="N246" s="1"/>
      <c r="R246" s="673"/>
      <c r="S246" s="3576"/>
      <c r="T246" s="3577"/>
      <c r="U246" s="3577"/>
      <c r="V246" s="3577"/>
      <c r="W246" s="3578"/>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6449</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13">
        <f>SUM(F239:G246)</f>
        <v>19827</v>
      </c>
      <c r="G247" s="3614"/>
      <c r="H247" s="1"/>
      <c r="K247" s="8" t="s">
        <v>184</v>
      </c>
      <c r="L247" s="3611">
        <f>SUM(L243:L246)</f>
        <v>32638</v>
      </c>
      <c r="M247" s="3612"/>
      <c r="N247" s="1"/>
      <c r="O247" s="4" t="s">
        <v>2030</v>
      </c>
      <c r="P247" s="1"/>
      <c r="Q247" s="326">
        <f>Q228+Q234</f>
        <v>191667</v>
      </c>
      <c r="R247" s="673"/>
      <c r="S247" s="3582"/>
      <c r="T247" s="3583"/>
      <c r="U247" s="3583"/>
      <c r="V247" s="3583"/>
      <c r="W247" s="3584"/>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3873</v>
      </c>
      <c r="C251" s="8"/>
      <c r="D251" s="1"/>
      <c r="E251" s="1"/>
      <c r="H251" s="9"/>
      <c r="I251" s="1221" t="s">
        <v>3874</v>
      </c>
      <c r="K251" s="3675"/>
      <c r="L251" s="3676"/>
      <c r="M251" s="1284" t="s">
        <v>3901</v>
      </c>
      <c r="N251" s="1222"/>
      <c r="O251" s="4" t="s">
        <v>3876</v>
      </c>
      <c r="P251" s="1"/>
      <c r="Q251" s="1242">
        <f>K251*N251</f>
        <v>0</v>
      </c>
      <c r="R251" s="671"/>
      <c r="S251" s="3595"/>
      <c r="T251" s="3596"/>
      <c r="U251" s="3596"/>
      <c r="V251" s="3596"/>
      <c r="W251" s="3597"/>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3902</v>
      </c>
      <c r="C253" s="8"/>
      <c r="D253" s="1"/>
      <c r="E253" s="1"/>
      <c r="F253" s="9"/>
      <c r="G253" s="9"/>
      <c r="H253" s="1"/>
      <c r="I253" s="1"/>
      <c r="J253" s="1265" t="s">
        <v>1646</v>
      </c>
      <c r="K253" s="1221" t="s">
        <v>3904</v>
      </c>
      <c r="L253" s="1265" t="s">
        <v>1646</v>
      </c>
      <c r="M253" s="53" t="s">
        <v>3905</v>
      </c>
      <c r="N253" s="1222"/>
      <c r="O253" s="72" t="s">
        <v>3903</v>
      </c>
      <c r="P253" s="1"/>
      <c r="Q253" s="1285"/>
      <c r="R253" s="671"/>
      <c r="S253" s="3595"/>
      <c r="T253" s="3596"/>
      <c r="U253" s="3596"/>
      <c r="V253" s="3596"/>
      <c r="W253" s="3597"/>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6450</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3872</v>
      </c>
      <c r="B255" s="10" t="s">
        <v>530</v>
      </c>
      <c r="N255" s="10" t="s">
        <v>6648</v>
      </c>
      <c r="O255" s="10"/>
      <c r="NP255" s="1720"/>
    </row>
    <row r="256" spans="1:493" ht="409.5" customHeight="1">
      <c r="A256" s="3609" t="s">
        <v>7077</v>
      </c>
      <c r="B256" s="3609"/>
      <c r="C256" s="3609"/>
      <c r="D256" s="3609"/>
      <c r="E256" s="3609"/>
      <c r="F256" s="3609"/>
      <c r="G256" s="3609"/>
      <c r="H256" s="3609"/>
      <c r="I256" s="3609"/>
      <c r="J256" s="3609"/>
      <c r="K256" s="3609"/>
      <c r="L256" s="3609"/>
      <c r="M256" s="3609"/>
      <c r="N256" s="3608"/>
      <c r="O256" s="3608"/>
      <c r="P256" s="3608"/>
      <c r="Q256" s="3608"/>
      <c r="R256" s="3028" t="s">
        <v>3374</v>
      </c>
      <c r="S256" s="3027"/>
      <c r="T256" s="3027"/>
      <c r="U256" s="3027"/>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5" operator="equal">
      <formula>"Finish Row!"</formula>
    </cfRule>
  </conditionalFormatting>
  <conditionalFormatting sqref="A11:A48">
    <cfRule type="cellIs" dxfId="170" priority="33" stopIfTrue="1" operator="equal">
      <formula>1</formula>
    </cfRule>
  </conditionalFormatting>
  <conditionalFormatting sqref="B50:C50">
    <cfRule type="cellIs" dxfId="169" priority="18" operator="greaterThan">
      <formula>60.0000001</formula>
    </cfRule>
  </conditionalFormatting>
  <conditionalFormatting sqref="H11:I11">
    <cfRule type="expression" priority="31" stopIfTrue="1">
      <formula>AND($B11="PHA", $H11&gt;0)</formula>
    </cfRule>
  </conditionalFormatting>
  <conditionalFormatting sqref="J11:J48">
    <cfRule type="expression" priority="30" stopIfTrue="1">
      <formula>AND($B11="PHA", $H11&gt;0)</formula>
    </cfRule>
  </conditionalFormatting>
  <conditionalFormatting sqref="K93:P131 K56:P67">
    <cfRule type="cellIs" dxfId="168" priority="23" operator="equal">
      <formula>0</formula>
    </cfRule>
  </conditionalFormatting>
  <conditionalFormatting sqref="K130:P135">
    <cfRule type="cellIs" dxfId="167" priority="2" operator="equal">
      <formula>0</formula>
    </cfRule>
  </conditionalFormatting>
  <conditionalFormatting sqref="K136:P168">
    <cfRule type="cellIs" dxfId="166" priority="14" operator="equal">
      <formula>0</formula>
    </cfRule>
  </conditionalFormatting>
  <conditionalFormatting sqref="L102:O102">
    <cfRule type="cellIs" dxfId="165" priority="8" operator="equal">
      <formula>"&lt;&lt; Select LIHTC Election &gt;&gt;"</formula>
    </cfRule>
    <cfRule type="containsText" dxfId="164" priority="12" operator="containsText" text="&lt;&lt; Select Election or Income Averaging &gt;&gt;">
      <formula>NOT(ISERROR(SEARCH("&lt;&lt; Select Election or Income Averaging &gt;&gt;",L102)))</formula>
    </cfRule>
  </conditionalFormatting>
  <conditionalFormatting sqref="L145:O145">
    <cfRule type="cellIs" dxfId="163" priority="7" operator="equal">
      <formula>"&lt;&lt; Select LIHTC Election &gt;&gt;"</formula>
    </cfRule>
    <cfRule type="containsText" dxfId="162" priority="10" operator="containsText" text="&lt;&lt; Select Election or Income Averaging &gt;&gt;">
      <formula>NOT(ISERROR(SEARCH("&lt;&lt; Select Election or Income Averaging &gt;&gt;",L145)))</formula>
    </cfRule>
  </conditionalFormatting>
  <conditionalFormatting sqref="P179">
    <cfRule type="cellIs" dxfId="161" priority="29" operator="greaterThan">
      <formula>0.02</formula>
    </cfRule>
  </conditionalFormatting>
  <conditionalFormatting sqref="Q11:Q48">
    <cfRule type="expression" dxfId="160" priority="1">
      <formula>AND($P$11="New Construction",$Q$11="Yes")</formula>
    </cfRule>
  </conditionalFormatting>
  <conditionalFormatting sqref="U69">
    <cfRule type="cellIs" dxfId="159" priority="4" stopIfTrue="1" operator="greaterThan">
      <formula>0</formula>
    </cfRule>
  </conditionalFormatting>
  <conditionalFormatting sqref="U91:U92 U101:U103 U112 U126">
    <cfRule type="cellIs" dxfId="158" priority="32" stopIfTrue="1" operator="greaterThan">
      <formula>0</formula>
    </cfRule>
  </conditionalFormatting>
  <conditionalFormatting sqref="U155">
    <cfRule type="cellIs" dxfId="157" priority="15"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B64" sqref="B64:C64"/>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719" bestFit="1" customWidth="1"/>
    <col min="27" max="27" width="8.6640625" style="1721"/>
    <col min="28" max="16384" width="8.6640625" style="6"/>
  </cols>
  <sheetData>
    <row r="1" spans="1:27" s="1719" customFormat="1" hidden="1">
      <c r="B1" s="1719" t="s">
        <v>6451</v>
      </c>
      <c r="C1" s="1719" t="s">
        <v>6452</v>
      </c>
      <c r="D1" s="1719" t="s">
        <v>6453</v>
      </c>
      <c r="E1" s="1719" t="s">
        <v>6454</v>
      </c>
      <c r="F1" s="1719" t="s">
        <v>6455</v>
      </c>
      <c r="G1" s="1719" t="s">
        <v>6456</v>
      </c>
      <c r="H1" s="1719" t="s">
        <v>6457</v>
      </c>
      <c r="I1" s="1719" t="s">
        <v>6458</v>
      </c>
      <c r="J1" s="1719" t="s">
        <v>6459</v>
      </c>
      <c r="K1" s="1719" t="s">
        <v>6460</v>
      </c>
      <c r="AA1" s="1721">
        <v>1</v>
      </c>
    </row>
    <row r="2" spans="1:27" ht="14.1" customHeight="1">
      <c r="A2" s="3701" t="str">
        <f>CONCATENATE("PART SIX - OPERATING PRO FORMA","  -  ",'Part I-Project Identification'!$O$7," ",'Part I-Project Identification'!$F$25,", ",'Part I-Project Identification'!F26,", ",'Part I-Project Identification'!J26," County")</f>
        <v>PART SIX - OPERATING PRO FORMA  -  2023-5 Brightwood Lane Apartments, Washington, Wilkes County</v>
      </c>
      <c r="B2" s="3702"/>
      <c r="C2" s="3702"/>
      <c r="D2" s="3702"/>
      <c r="E2" s="3702"/>
      <c r="F2" s="3702"/>
      <c r="G2" s="3702"/>
      <c r="H2" s="3702"/>
      <c r="I2" s="3702"/>
      <c r="J2" s="3702"/>
      <c r="K2" s="3703"/>
      <c r="L2" s="4"/>
      <c r="M2" s="4"/>
      <c r="N2" s="3704" t="str">
        <f>A2</f>
        <v>PART SIX - OPERATING PRO FORMA  -  2023-5 Brightwood Lane Apartments, Washington, Wilkes County</v>
      </c>
      <c r="O2" s="3704"/>
      <c r="P2" s="4"/>
      <c r="AA2" s="1721">
        <v>2</v>
      </c>
    </row>
    <row r="3" spans="1:27" ht="13.5" customHeight="1">
      <c r="A3" s="382"/>
      <c r="B3" s="382"/>
      <c r="C3" s="382"/>
      <c r="D3" s="382"/>
      <c r="E3" s="382"/>
      <c r="F3" s="382"/>
      <c r="G3" s="382"/>
      <c r="H3" s="382"/>
      <c r="I3" s="382"/>
      <c r="J3" s="382"/>
      <c r="K3" s="382"/>
      <c r="N3" s="3550" t="s">
        <v>1711</v>
      </c>
      <c r="O3" s="3550"/>
      <c r="AA3" s="1721">
        <v>3</v>
      </c>
    </row>
    <row r="4" spans="1:27" ht="13.5" customHeight="1">
      <c r="A4" s="10" t="s">
        <v>85</v>
      </c>
      <c r="C4" s="3705" t="str">
        <f>'Part I-Project Identification'!$A$6</f>
        <v>Sept 2023</v>
      </c>
      <c r="D4" s="944" t="s">
        <v>75</v>
      </c>
      <c r="E4" s="180"/>
      <c r="F4" s="945" t="s">
        <v>3403</v>
      </c>
      <c r="N4" s="10" t="str">
        <f>A4</f>
        <v>I.  OPERATING ASSUMPTIONS</v>
      </c>
      <c r="O4" s="10"/>
      <c r="AA4" s="1721">
        <v>4</v>
      </c>
    </row>
    <row r="5" spans="1:27" ht="2.7" customHeight="1">
      <c r="C5" s="3705"/>
      <c r="AA5" s="1721">
        <v>5</v>
      </c>
    </row>
    <row r="6" spans="1:27" ht="13.5" customHeight="1">
      <c r="A6" s="6" t="s">
        <v>2031</v>
      </c>
      <c r="B6" s="58">
        <f>'DCA Underwriting Assumptions'!$Q$99</f>
        <v>0.02</v>
      </c>
      <c r="C6" s="3705"/>
      <c r="D6" s="3581" t="s">
        <v>3404</v>
      </c>
      <c r="E6" s="3581"/>
      <c r="F6" s="3581"/>
      <c r="G6" s="59">
        <v>3750</v>
      </c>
      <c r="H6" s="75" t="s">
        <v>1768</v>
      </c>
      <c r="K6" s="80">
        <f>IF(($B$15+$B$16+$B$17+$B$18)=0,"",B31/($B$15+$B$16+$B$17+$B$18))</f>
        <v>-1.3966657305902571E-2</v>
      </c>
      <c r="N6" s="3598"/>
      <c r="O6" s="3600"/>
      <c r="AA6" s="1721">
        <v>6</v>
      </c>
    </row>
    <row r="7" spans="1:27">
      <c r="A7" s="6" t="s">
        <v>2032</v>
      </c>
      <c r="B7" s="58">
        <f>'DCA Underwriting Assumptions'!$Q$102</f>
        <v>0.03</v>
      </c>
      <c r="C7" s="3705"/>
      <c r="D7" s="3581"/>
      <c r="E7" s="3581"/>
      <c r="F7" s="3581"/>
      <c r="G7" s="946">
        <f>IF(OR('Part II-Sources of Funds'!E6="Yes",'Part II-Sources of Funds'!I6&gt;0),'DCA Underwriting Assumptions'!$Q$64,0)</f>
        <v>0</v>
      </c>
      <c r="N7" s="3576"/>
      <c r="O7" s="3578"/>
      <c r="AA7" s="1721">
        <v>7</v>
      </c>
    </row>
    <row r="8" spans="1:27">
      <c r="A8" s="6" t="s">
        <v>2034</v>
      </c>
      <c r="B8" s="58">
        <f>'DCA Underwriting Assumptions'!$Q$103</f>
        <v>0.03</v>
      </c>
      <c r="C8" s="3705"/>
      <c r="D8" s="1" t="s">
        <v>258</v>
      </c>
      <c r="G8" s="61"/>
      <c r="H8" s="75" t="s">
        <v>2191</v>
      </c>
      <c r="K8" s="80">
        <f>IF(($B$15+$B$16+$B$17+$B$18)=0,"",-B22/($B$15+$B$16+$B$17+$B$18))</f>
        <v>0.14301857081244232</v>
      </c>
      <c r="N8" s="3576"/>
      <c r="O8" s="3578"/>
      <c r="AA8" s="1721">
        <v>8</v>
      </c>
    </row>
    <row r="9" spans="1:27" ht="13.35" customHeight="1">
      <c r="A9" s="6" t="s">
        <v>2033</v>
      </c>
      <c r="B9" s="186">
        <v>0.05</v>
      </c>
      <c r="C9" s="1213" t="str">
        <f>IF(B9&lt;0.07, "Must be &gt;= 7%!","")</f>
        <v>Must be &gt;= 7%!</v>
      </c>
      <c r="D9" s="1" t="s">
        <v>2307</v>
      </c>
      <c r="G9" s="1228" t="s">
        <v>2649</v>
      </c>
      <c r="H9" s="140" t="s">
        <v>1355</v>
      </c>
      <c r="K9" s="1230">
        <v>38400</v>
      </c>
      <c r="N9" s="3576"/>
      <c r="O9" s="3578"/>
      <c r="AA9" s="1721">
        <v>9</v>
      </c>
    </row>
    <row r="10" spans="1:27">
      <c r="A10" s="6" t="s">
        <v>1336</v>
      </c>
      <c r="B10" s="58">
        <v>0.02</v>
      </c>
      <c r="D10" s="1" t="s">
        <v>1597</v>
      </c>
      <c r="G10" s="1229"/>
      <c r="H10" s="140" t="s">
        <v>2174</v>
      </c>
      <c r="K10" s="1231"/>
      <c r="N10" s="3582"/>
      <c r="O10" s="3584"/>
      <c r="AA10" s="1721">
        <v>10</v>
      </c>
    </row>
    <row r="11" spans="1:27" ht="9" customHeight="1">
      <c r="AA11" s="1721">
        <v>11</v>
      </c>
    </row>
    <row r="12" spans="1:27">
      <c r="A12" s="10" t="s">
        <v>86</v>
      </c>
      <c r="D12" s="865"/>
      <c r="N12" s="10" t="str">
        <f>A12</f>
        <v>II.  OPERATING PRO FORMA</v>
      </c>
      <c r="AA12" s="1721">
        <v>12</v>
      </c>
    </row>
    <row r="13" spans="1:27" ht="2.7" customHeight="1">
      <c r="AA13" s="1721">
        <v>13</v>
      </c>
    </row>
    <row r="14" spans="1:27" ht="14.7"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64" t="s">
        <v>2411</v>
      </c>
      <c r="O14" s="3264"/>
      <c r="AA14" s="1721">
        <v>14</v>
      </c>
    </row>
    <row r="15" spans="1:27" ht="13.35" customHeight="1">
      <c r="A15" s="14" t="s">
        <v>2215</v>
      </c>
      <c r="B15" s="15">
        <f>'Part V-Revenues &amp; Expenses'!$M$50</f>
        <v>281736</v>
      </c>
      <c r="C15" s="15">
        <f t="shared" ref="C15:K15" si="1">$B$15*(1+$B$6)^(C14-1)</f>
        <v>287370.72000000003</v>
      </c>
      <c r="D15" s="15">
        <f t="shared" si="1"/>
        <v>293118.13439999998</v>
      </c>
      <c r="E15" s="15">
        <f t="shared" si="1"/>
        <v>298980.497088</v>
      </c>
      <c r="F15" s="15">
        <f t="shared" si="1"/>
        <v>304960.10702975997</v>
      </c>
      <c r="G15" s="15">
        <f t="shared" si="1"/>
        <v>311059.30917035521</v>
      </c>
      <c r="H15" s="15">
        <f t="shared" si="1"/>
        <v>317280.49535376235</v>
      </c>
      <c r="I15" s="15">
        <f t="shared" si="1"/>
        <v>323626.10526083747</v>
      </c>
      <c r="J15" s="15">
        <f t="shared" si="1"/>
        <v>330098.62736605428</v>
      </c>
      <c r="K15" s="16">
        <f t="shared" si="1"/>
        <v>336700.59991337539</v>
      </c>
      <c r="N15" s="3598"/>
      <c r="O15" s="3600"/>
      <c r="S15" s="3697" t="s">
        <v>3409</v>
      </c>
      <c r="Z15" s="1719" t="s">
        <v>6461</v>
      </c>
      <c r="AA15" s="1721">
        <v>15</v>
      </c>
    </row>
    <row r="16" spans="1:27" ht="13.35" customHeight="1">
      <c r="A16" s="17" t="s">
        <v>952</v>
      </c>
      <c r="B16" s="18">
        <f>MIN(B15*B10,'Part V-Revenues &amp; Expenses'!$H$179)</f>
        <v>892</v>
      </c>
      <c r="C16" s="18">
        <f t="shared" ref="C16:K16" si="2">$B$16*(1+$B$6)^(C14-1)</f>
        <v>909.84</v>
      </c>
      <c r="D16" s="18">
        <f t="shared" si="2"/>
        <v>928.03679999999997</v>
      </c>
      <c r="E16" s="18">
        <f t="shared" si="2"/>
        <v>946.59753599999999</v>
      </c>
      <c r="F16" s="18">
        <f t="shared" si="2"/>
        <v>965.52948672000002</v>
      </c>
      <c r="G16" s="18">
        <f t="shared" si="2"/>
        <v>984.84007645439999</v>
      </c>
      <c r="H16" s="18">
        <f t="shared" si="2"/>
        <v>1004.536877983488</v>
      </c>
      <c r="I16" s="18">
        <f t="shared" si="2"/>
        <v>1024.6276155431576</v>
      </c>
      <c r="J16" s="18">
        <f t="shared" si="2"/>
        <v>1045.1201678540208</v>
      </c>
      <c r="K16" s="19">
        <f t="shared" si="2"/>
        <v>1066.0225712111012</v>
      </c>
      <c r="N16" s="3576"/>
      <c r="O16" s="3578"/>
      <c r="S16" s="3698"/>
      <c r="Z16" s="1719" t="s">
        <v>6461</v>
      </c>
      <c r="AA16" s="1721">
        <v>16</v>
      </c>
    </row>
    <row r="17" spans="1:27" ht="13.35" customHeight="1">
      <c r="A17" s="17" t="s">
        <v>2216</v>
      </c>
      <c r="B17" s="18">
        <f t="shared" ref="B17:K17" si="3">-(B15+B16)*$B$9</f>
        <v>-14131.400000000001</v>
      </c>
      <c r="C17" s="18">
        <f t="shared" si="3"/>
        <v>-14414.028000000004</v>
      </c>
      <c r="D17" s="18">
        <f t="shared" si="3"/>
        <v>-14702.308559999999</v>
      </c>
      <c r="E17" s="18">
        <f t="shared" si="3"/>
        <v>-14996.354731200001</v>
      </c>
      <c r="F17" s="18">
        <f t="shared" si="3"/>
        <v>-15296.281825823999</v>
      </c>
      <c r="G17" s="18">
        <f t="shared" si="3"/>
        <v>-15602.207462340481</v>
      </c>
      <c r="H17" s="18">
        <f t="shared" si="3"/>
        <v>-15914.251611587293</v>
      </c>
      <c r="I17" s="18">
        <f t="shared" si="3"/>
        <v>-16232.536643819032</v>
      </c>
      <c r="J17" s="18">
        <f t="shared" si="3"/>
        <v>-16557.187376695416</v>
      </c>
      <c r="K17" s="19">
        <f t="shared" si="3"/>
        <v>-16888.331124229324</v>
      </c>
      <c r="N17" s="3576"/>
      <c r="O17" s="3578"/>
      <c r="Q17" s="3700" t="s">
        <v>3299</v>
      </c>
      <c r="R17" s="3700" t="s">
        <v>3408</v>
      </c>
      <c r="S17" s="3698"/>
      <c r="Z17" s="1719" t="s">
        <v>6461</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6"/>
      <c r="O18" s="3578"/>
      <c r="Q18" s="3700"/>
      <c r="R18" s="3700"/>
      <c r="S18" s="3699"/>
      <c r="Z18" s="1719" t="s">
        <v>6461</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6"/>
      <c r="O19" s="3578"/>
      <c r="Z19" s="1719" t="s">
        <v>6461</v>
      </c>
      <c r="AA19" s="1721">
        <v>19</v>
      </c>
    </row>
    <row r="20" spans="1:27" ht="13.35" customHeight="1">
      <c r="A20" s="341" t="s">
        <v>3838</v>
      </c>
      <c r="B20" s="18">
        <f>SUM(B15:B19)</f>
        <v>268496.59999999998</v>
      </c>
      <c r="C20" s="18">
        <f t="shared" ref="C20:K20" si="4">SUM(C15:C19)</f>
        <v>273866.53200000006</v>
      </c>
      <c r="D20" s="18">
        <f t="shared" si="4"/>
        <v>279343.86264000001</v>
      </c>
      <c r="E20" s="18">
        <f t="shared" si="4"/>
        <v>284930.73989279999</v>
      </c>
      <c r="F20" s="18">
        <f t="shared" si="4"/>
        <v>290629.35469065595</v>
      </c>
      <c r="G20" s="18">
        <f t="shared" si="4"/>
        <v>296441.94178446912</v>
      </c>
      <c r="H20" s="18">
        <f t="shared" si="4"/>
        <v>302370.78062015853</v>
      </c>
      <c r="I20" s="18">
        <f t="shared" si="4"/>
        <v>308418.1962325616</v>
      </c>
      <c r="J20" s="18">
        <f t="shared" si="4"/>
        <v>314586.56015721289</v>
      </c>
      <c r="K20" s="19">
        <f t="shared" si="4"/>
        <v>320878.29136035719</v>
      </c>
      <c r="N20" s="3576"/>
      <c r="O20" s="3578"/>
      <c r="Z20" s="1719" t="s">
        <v>6461</v>
      </c>
      <c r="AA20" s="1721">
        <v>20</v>
      </c>
    </row>
    <row r="21" spans="1:27" ht="13.35" customHeight="1">
      <c r="A21" s="17" t="s">
        <v>572</v>
      </c>
      <c r="B21" s="18">
        <f>-('Part V-Revenues &amp; Expenses'!$Q$228-'Part V-Revenues &amp; Expenses'!$Q$220)</f>
        <v>-129267</v>
      </c>
      <c r="C21" s="18">
        <f t="shared" ref="C21:K21" si="5">$B$21*(1+$B$7)^(C14-1)</f>
        <v>-133145.01</v>
      </c>
      <c r="D21" s="18">
        <f t="shared" si="5"/>
        <v>-137139.3603</v>
      </c>
      <c r="E21" s="18">
        <f t="shared" si="5"/>
        <v>-141253.54110900001</v>
      </c>
      <c r="F21" s="18">
        <f t="shared" si="5"/>
        <v>-145491.14734226998</v>
      </c>
      <c r="G21" s="18">
        <f t="shared" si="5"/>
        <v>-149855.88176253808</v>
      </c>
      <c r="H21" s="18">
        <f t="shared" si="5"/>
        <v>-154351.55821541423</v>
      </c>
      <c r="I21" s="18">
        <f t="shared" si="5"/>
        <v>-158982.10496187667</v>
      </c>
      <c r="J21" s="18">
        <f t="shared" si="5"/>
        <v>-163751.56811073294</v>
      </c>
      <c r="K21" s="19">
        <f t="shared" si="5"/>
        <v>-168664.11515405495</v>
      </c>
      <c r="N21" s="3576"/>
      <c r="O21" s="3578"/>
      <c r="Q21" s="47">
        <v>1</v>
      </c>
      <c r="R21" s="869">
        <f>-B32</f>
        <v>2970</v>
      </c>
      <c r="S21" s="869">
        <f>B33+R21</f>
        <v>17401.831047269196</v>
      </c>
      <c r="Z21" s="1719" t="s">
        <v>6461</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-38400</v>
      </c>
      <c r="C22" s="18">
        <f>IF(AND('Part VI-Pro Forma'!$G$9="Yes",'Part VI-Pro Forma'!$G$10="Yes"),"Choose One!",IF('Part VI-Pro Forma'!$G$9="Yes",ROUND((-$K$9*(1+'Part VI-Pro Forma'!$B$7)^('Part VI-Pro Forma'!C14-1)),),IF('Part VI-Pro Forma'!$G$10="Yes",ROUND((-(SUM(C15:C18)*'Part VI-Pro Forma'!$K$10)),),"Choose mgt fee")))</f>
        <v>-39552</v>
      </c>
      <c r="D22" s="18">
        <f>IF(AND('Part VI-Pro Forma'!$G$9="Yes",'Part VI-Pro Forma'!$G$10="Yes"),"Choose One!",IF('Part VI-Pro Forma'!$G$9="Yes",ROUND((-$K$9*(1+'Part VI-Pro Forma'!$B$7)^('Part VI-Pro Forma'!D14-1)),),IF('Part VI-Pro Forma'!$G$10="Yes",ROUND((-(SUM(D15:D18)*'Part VI-Pro Forma'!$K$10)),),"Choose mgt fee")))</f>
        <v>-40739</v>
      </c>
      <c r="E22" s="18">
        <f>IF(AND('Part VI-Pro Forma'!$G$9="Yes",'Part VI-Pro Forma'!$G$10="Yes"),"Choose One!",IF('Part VI-Pro Forma'!$G$9="Yes",ROUND((-$K$9*(1+'Part VI-Pro Forma'!$B$7)^('Part VI-Pro Forma'!E14-1)),),IF('Part VI-Pro Forma'!$G$10="Yes",ROUND((-(SUM(E15:E18)*'Part VI-Pro Forma'!$K$10)),),"Choose mgt fee")))</f>
        <v>-41961</v>
      </c>
      <c r="F22" s="18">
        <f>IF(AND('Part VI-Pro Forma'!$G$9="Yes",'Part VI-Pro Forma'!$G$10="Yes"),"Choose One!",IF('Part VI-Pro Forma'!$G$9="Yes",ROUND((-$K$9*(1+'Part VI-Pro Forma'!$B$7)^('Part VI-Pro Forma'!F14-1)),),IF('Part VI-Pro Forma'!$G$10="Yes",ROUND((-(SUM(F15:F18)*'Part VI-Pro Forma'!$K$10)),),"Choose mgt fee")))</f>
        <v>-43220</v>
      </c>
      <c r="G22" s="18">
        <f>IF(AND('Part VI-Pro Forma'!$G$9="Yes",'Part VI-Pro Forma'!$G$10="Yes"),"Choose One!",IF('Part VI-Pro Forma'!$G$9="Yes",ROUND((-$K$9*(1+'Part VI-Pro Forma'!$B$7)^('Part VI-Pro Forma'!G14-1)),),IF('Part VI-Pro Forma'!$G$10="Yes",ROUND((-(SUM(G15:G18)*'Part VI-Pro Forma'!$K$10)),),"Choose mgt fee")))</f>
        <v>-44516</v>
      </c>
      <c r="H22" s="18">
        <f>IF(AND('Part VI-Pro Forma'!$G$9="Yes",'Part VI-Pro Forma'!$G$10="Yes"),"Choose One!",IF('Part VI-Pro Forma'!$G$9="Yes",ROUND((-$K$9*(1+'Part VI-Pro Forma'!$B$7)^('Part VI-Pro Forma'!H14-1)),),IF('Part VI-Pro Forma'!$G$10="Yes",ROUND((-(SUM(H15:H18)*'Part VI-Pro Forma'!$K$10)),),"Choose mgt fee")))</f>
        <v>-45852</v>
      </c>
      <c r="I22" s="18">
        <f>IF(AND('Part VI-Pro Forma'!$G$9="Yes",'Part VI-Pro Forma'!$G$10="Yes"),"Choose One!",IF('Part VI-Pro Forma'!$G$9="Yes",ROUND((-$K$9*(1+'Part VI-Pro Forma'!$B$7)^('Part VI-Pro Forma'!I14-1)),),IF('Part VI-Pro Forma'!$G$10="Yes",ROUND((-(SUM(I15:I18)*'Part VI-Pro Forma'!$K$10)),),"Choose mgt fee")))</f>
        <v>-47227</v>
      </c>
      <c r="J22" s="18">
        <f>IF(AND('Part VI-Pro Forma'!$G$9="Yes",'Part VI-Pro Forma'!$G$10="Yes"),"Choose One!",IF('Part VI-Pro Forma'!$G$9="Yes",ROUND((-$K$9*(1+'Part VI-Pro Forma'!$B$7)^('Part VI-Pro Forma'!J14-1)),),IF('Part VI-Pro Forma'!$G$10="Yes",ROUND((-(SUM(J15:J18)*'Part VI-Pro Forma'!$K$10)),),"Choose mgt fee")))</f>
        <v>-48644</v>
      </c>
      <c r="K22" s="19">
        <f>IF(AND('Part VI-Pro Forma'!$G$9="Yes",'Part VI-Pro Forma'!$G$10="Yes"),"Choose One!",IF('Part VI-Pro Forma'!$G$9="Yes",ROUND((-$K$9*(1+'Part VI-Pro Forma'!$B$7)^('Part VI-Pro Forma'!K14-1)),),IF('Part VI-Pro Forma'!$G$10="Yes",ROUND((-(SUM(K15:K18)*'Part VI-Pro Forma'!$K$10)),),"Choose mgt fee")))</f>
        <v>-50103</v>
      </c>
      <c r="N22" s="3576"/>
      <c r="O22" s="3578"/>
      <c r="Q22" s="47">
        <v>2</v>
      </c>
      <c r="R22" s="869">
        <f>-SUM(B32:C32)</f>
        <v>5940</v>
      </c>
      <c r="S22" s="869">
        <f>SUM(B33:C33)+R22</f>
        <v>34423.58409453847</v>
      </c>
      <c r="Z22" s="1719" t="s">
        <v>6461</v>
      </c>
      <c r="AA22" s="1721">
        <v>22</v>
      </c>
    </row>
    <row r="23" spans="1:27" ht="13.35" customHeight="1">
      <c r="A23" s="17" t="s">
        <v>1128</v>
      </c>
      <c r="B23" s="18">
        <f>-('Part V-Revenues &amp; Expenses'!$Q$234)</f>
        <v>-24000</v>
      </c>
      <c r="C23" s="18">
        <f t="shared" ref="C23:K23" si="6">$B$23*(1+$B$8)^(C14-1)</f>
        <v>-24720</v>
      </c>
      <c r="D23" s="18">
        <f t="shared" si="6"/>
        <v>-25461.599999999999</v>
      </c>
      <c r="E23" s="18">
        <f t="shared" si="6"/>
        <v>-26225.448</v>
      </c>
      <c r="F23" s="18">
        <f t="shared" si="6"/>
        <v>-27012.211439999999</v>
      </c>
      <c r="G23" s="18">
        <f t="shared" si="6"/>
        <v>-27822.577783199995</v>
      </c>
      <c r="H23" s="18">
        <f t="shared" si="6"/>
        <v>-28657.255116695997</v>
      </c>
      <c r="I23" s="18">
        <f t="shared" si="6"/>
        <v>-29516.97277019688</v>
      </c>
      <c r="J23" s="18">
        <f t="shared" si="6"/>
        <v>-30402.481953302784</v>
      </c>
      <c r="K23" s="19">
        <f t="shared" si="6"/>
        <v>-31314.556411901867</v>
      </c>
      <c r="N23" s="3576"/>
      <c r="O23" s="3578"/>
      <c r="Q23" s="47">
        <v>3</v>
      </c>
      <c r="R23" s="869">
        <f>-SUM(B32:D32)</f>
        <v>8910</v>
      </c>
      <c r="S23" s="869">
        <f>SUM(B33:D33)+R23</f>
        <v>50999.717481807689</v>
      </c>
      <c r="Z23" s="1719" t="s">
        <v>6461</v>
      </c>
      <c r="AA23" s="1721">
        <v>23</v>
      </c>
    </row>
    <row r="24" spans="1:27" ht="13.35" customHeight="1">
      <c r="A24" s="341" t="s">
        <v>3837</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76"/>
      <c r="O24" s="3578"/>
      <c r="Q24" s="92">
        <v>4</v>
      </c>
      <c r="R24" s="869">
        <f>-SUM(B32:E32)</f>
        <v>11880</v>
      </c>
      <c r="S24" s="869">
        <f>SUM(B33:E33)+R24</f>
        <v>67062.699312876881</v>
      </c>
      <c r="Z24" s="1719" t="s">
        <v>6461</v>
      </c>
      <c r="AA24" s="1721">
        <v>24</v>
      </c>
    </row>
    <row r="25" spans="1:27" ht="13.35" customHeight="1">
      <c r="A25" s="17" t="s">
        <v>1129</v>
      </c>
      <c r="B25" s="18">
        <f>SUM(B20:B24)</f>
        <v>76829.599999999977</v>
      </c>
      <c r="C25" s="18">
        <f t="shared" ref="C25:J25" si="7">SUM(C20:C24)</f>
        <v>76449.522000000055</v>
      </c>
      <c r="D25" s="18">
        <f t="shared" si="7"/>
        <v>76003.902340000001</v>
      </c>
      <c r="E25" s="18">
        <f t="shared" si="7"/>
        <v>75490.750783799973</v>
      </c>
      <c r="F25" s="18">
        <f t="shared" si="7"/>
        <v>74905.995908385972</v>
      </c>
      <c r="G25" s="18">
        <f t="shared" si="7"/>
        <v>74247.482238731056</v>
      </c>
      <c r="H25" s="18">
        <f t="shared" si="7"/>
        <v>73509.967288048298</v>
      </c>
      <c r="I25" s="18">
        <f t="shared" si="7"/>
        <v>72692.118500488054</v>
      </c>
      <c r="J25" s="18">
        <f t="shared" si="7"/>
        <v>71788.510093177174</v>
      </c>
      <c r="K25" s="1215">
        <f>SUM(K20:K24)</f>
        <v>70796.61979440038</v>
      </c>
      <c r="N25" s="3576"/>
      <c r="O25" s="3578"/>
      <c r="Q25" s="92">
        <v>5</v>
      </c>
      <c r="R25" s="869">
        <f>-SUM(B32:F32)</f>
        <v>14850</v>
      </c>
      <c r="S25" s="869">
        <f>SUM(B33:F33)+R25</f>
        <v>82540.926268532072</v>
      </c>
      <c r="Z25" s="1719" t="s">
        <v>6461</v>
      </c>
      <c r="AA25" s="1721">
        <v>25</v>
      </c>
    </row>
    <row r="26" spans="1:27" ht="13.35" customHeight="1">
      <c r="A26" s="341" t="s">
        <v>1486</v>
      </c>
      <c r="B26" s="342">
        <f>IF('Part II-Sources of Funds'!$P$40="", 0,-'Part II-Sources of Funds'!$P$40)</f>
        <v>-55677.768952730781</v>
      </c>
      <c r="C26" s="342">
        <f>IF('Part II-Sources of Funds'!$P$40="", 0,-'Part II-Sources of Funds'!$P$40)</f>
        <v>-55677.768952730781</v>
      </c>
      <c r="D26" s="342">
        <f>IF('Part II-Sources of Funds'!$P$40="", 0,-'Part II-Sources of Funds'!$P$40)</f>
        <v>-55677.768952730781</v>
      </c>
      <c r="E26" s="342">
        <f>IF('Part II-Sources of Funds'!$P$40="", 0,-'Part II-Sources of Funds'!$P$40)</f>
        <v>-55677.768952730781</v>
      </c>
      <c r="F26" s="342">
        <f>IF('Part II-Sources of Funds'!$P$40="", 0,-'Part II-Sources of Funds'!$P$40)</f>
        <v>-55677.768952730781</v>
      </c>
      <c r="G26" s="342">
        <f>IF('Part II-Sources of Funds'!$P$40="", 0,-'Part II-Sources of Funds'!$P$40)</f>
        <v>-55677.768952730781</v>
      </c>
      <c r="H26" s="342">
        <f>IF('Part II-Sources of Funds'!$P$40="", 0,-'Part II-Sources of Funds'!$P$40)</f>
        <v>-55677.768952730781</v>
      </c>
      <c r="I26" s="342">
        <f>IF('Part II-Sources of Funds'!$P$40="", 0,-'Part II-Sources of Funds'!$P$40)</f>
        <v>-55677.768952730781</v>
      </c>
      <c r="J26" s="342">
        <f>IF('Part II-Sources of Funds'!$P$40="", 0,-'Part II-Sources of Funds'!$P$40)</f>
        <v>-55677.768952730781</v>
      </c>
      <c r="K26" s="342">
        <f>IF('Part II-Sources of Funds'!$P$40="", 0,-'Part II-Sources of Funds'!$P$40)</f>
        <v>-55677.768952730781</v>
      </c>
      <c r="N26" s="3576"/>
      <c r="O26" s="3578"/>
      <c r="Q26" s="92">
        <v>6</v>
      </c>
      <c r="R26" s="869">
        <f>-SUM(B32:G32)</f>
        <v>17820</v>
      </c>
      <c r="S26" s="869">
        <f>SUM(B33:G33)+R26</f>
        <v>97360.639554532347</v>
      </c>
      <c r="Z26" s="1719" t="s">
        <v>6461</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76"/>
      <c r="O27" s="3578"/>
      <c r="Q27" s="92">
        <v>7</v>
      </c>
      <c r="R27" s="869">
        <f>-SUM(B32:H32)</f>
        <v>20790</v>
      </c>
      <c r="S27" s="869">
        <f>SUM(B33:H33)+R27</f>
        <v>111442.83788984986</v>
      </c>
      <c r="Z27" s="1719" t="s">
        <v>6461</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76"/>
      <c r="O28" s="3578"/>
      <c r="Q28" s="92">
        <v>8</v>
      </c>
      <c r="R28" s="869">
        <f>-SUM(B32:I32)</f>
        <v>23760</v>
      </c>
      <c r="S28" s="869">
        <f>SUM(B33:I33)+R28</f>
        <v>124707.18743760714</v>
      </c>
      <c r="Z28" s="1719" t="s">
        <v>6461</v>
      </c>
      <c r="AA28" s="1721">
        <v>28</v>
      </c>
    </row>
    <row r="29" spans="1:27" ht="13.35"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6"/>
      <c r="O29" s="3578"/>
      <c r="Q29" s="92">
        <v>9</v>
      </c>
      <c r="R29" s="869">
        <f>-SUM(B32:J32)</f>
        <v>26730</v>
      </c>
      <c r="S29" s="869">
        <f>SUM(B33:J33)+R29</f>
        <v>137067.92857805354</v>
      </c>
      <c r="Z29" s="1719" t="s">
        <v>6461</v>
      </c>
      <c r="AA29" s="1721">
        <v>29</v>
      </c>
    </row>
    <row r="30" spans="1:27" ht="13.35" customHeight="1">
      <c r="A30" s="17" t="s">
        <v>711</v>
      </c>
      <c r="B30" s="138"/>
      <c r="C30" s="138"/>
      <c r="D30" s="138"/>
      <c r="E30" s="138"/>
      <c r="F30" s="138"/>
      <c r="G30" s="138"/>
      <c r="H30" s="138"/>
      <c r="I30" s="138"/>
      <c r="J30" s="138"/>
      <c r="K30" s="138"/>
      <c r="N30" s="3576"/>
      <c r="O30" s="3578"/>
      <c r="Q30" s="92">
        <v>10</v>
      </c>
      <c r="R30" s="869">
        <f>-SUM(B32:K32)</f>
        <v>29700</v>
      </c>
      <c r="S30" s="869">
        <f>SUM(B33:K33)+R30</f>
        <v>148436.77941972314</v>
      </c>
      <c r="Z30" s="1719" t="s">
        <v>6461</v>
      </c>
      <c r="AA30" s="1721">
        <v>30</v>
      </c>
    </row>
    <row r="31" spans="1:27" ht="13.35" customHeight="1">
      <c r="A31" s="341" t="s">
        <v>1095</v>
      </c>
      <c r="B31" s="907">
        <f>-$G$6</f>
        <v>-3750</v>
      </c>
      <c r="C31" s="907">
        <f t="shared" ref="C31:K31" si="8">+B31</f>
        <v>-3750</v>
      </c>
      <c r="D31" s="907">
        <f t="shared" si="8"/>
        <v>-3750</v>
      </c>
      <c r="E31" s="907">
        <f>+D31</f>
        <v>-3750</v>
      </c>
      <c r="F31" s="907">
        <f t="shared" si="8"/>
        <v>-3750</v>
      </c>
      <c r="G31" s="907">
        <f t="shared" si="8"/>
        <v>-3750</v>
      </c>
      <c r="H31" s="907">
        <f t="shared" si="8"/>
        <v>-3750</v>
      </c>
      <c r="I31" s="907">
        <f t="shared" si="8"/>
        <v>-3750</v>
      </c>
      <c r="J31" s="907">
        <f t="shared" si="8"/>
        <v>-3750</v>
      </c>
      <c r="K31" s="907">
        <f t="shared" si="8"/>
        <v>-3750</v>
      </c>
      <c r="N31" s="3576"/>
      <c r="O31" s="3578"/>
      <c r="Q31" s="92">
        <v>11</v>
      </c>
      <c r="R31" s="869">
        <f>-SUM(B32:K32)-B64</f>
        <v>32670</v>
      </c>
      <c r="S31" s="869">
        <f>SUM(B33:K33)+B65+R31</f>
        <v>158720.83594162116</v>
      </c>
      <c r="Z31" s="1719" t="s">
        <v>6461</v>
      </c>
      <c r="AA31" s="1721">
        <v>31</v>
      </c>
    </row>
    <row r="32" spans="1:27" ht="13.35" customHeight="1">
      <c r="A32" s="341" t="s">
        <v>3362</v>
      </c>
      <c r="B32" s="179">
        <v>-2970</v>
      </c>
      <c r="C32" s="179">
        <v>-2970</v>
      </c>
      <c r="D32" s="179">
        <v>-2970</v>
      </c>
      <c r="E32" s="179">
        <v>-2970</v>
      </c>
      <c r="F32" s="179">
        <v>-2970</v>
      </c>
      <c r="G32" s="179">
        <v>-2970</v>
      </c>
      <c r="H32" s="179">
        <v>-2970</v>
      </c>
      <c r="I32" s="179">
        <v>-2970</v>
      </c>
      <c r="J32" s="179">
        <v>-2970</v>
      </c>
      <c r="K32" s="179">
        <v>-2970</v>
      </c>
      <c r="N32" s="3576"/>
      <c r="O32" s="3578"/>
      <c r="Q32" s="92">
        <v>12</v>
      </c>
      <c r="R32" s="869">
        <f>-SUM(B32:K32) - SUM(B64:C64)</f>
        <v>35421</v>
      </c>
      <c r="S32" s="869">
        <f>SUM(B33:K33) + SUM(B65:C65)+R32</f>
        <v>167822.46865588235</v>
      </c>
      <c r="Z32" s="1719" t="s">
        <v>6461</v>
      </c>
      <c r="AA32" s="1721">
        <v>32</v>
      </c>
    </row>
    <row r="33" spans="1:27" ht="13.35" customHeight="1">
      <c r="A33" s="17" t="s">
        <v>1096</v>
      </c>
      <c r="B33" s="18">
        <f t="shared" ref="B33:K33" si="9">SUM(B25:B32)</f>
        <v>14431.831047269196</v>
      </c>
      <c r="C33" s="18">
        <f t="shared" si="9"/>
        <v>14051.753047269274</v>
      </c>
      <c r="D33" s="18">
        <f t="shared" si="9"/>
        <v>13606.133387269219</v>
      </c>
      <c r="E33" s="18">
        <f t="shared" si="9"/>
        <v>13092.981831069192</v>
      </c>
      <c r="F33" s="18">
        <f t="shared" si="9"/>
        <v>12508.226955655191</v>
      </c>
      <c r="G33" s="18">
        <f t="shared" si="9"/>
        <v>11849.713286000275</v>
      </c>
      <c r="H33" s="18">
        <f t="shared" si="9"/>
        <v>11112.198335317516</v>
      </c>
      <c r="I33" s="18">
        <f t="shared" si="9"/>
        <v>10294.349547757272</v>
      </c>
      <c r="J33" s="18">
        <f t="shared" si="9"/>
        <v>9390.7411404463928</v>
      </c>
      <c r="K33" s="19">
        <f t="shared" si="9"/>
        <v>8398.8508416695986</v>
      </c>
      <c r="N33" s="3576"/>
      <c r="O33" s="3578"/>
      <c r="Q33" s="92">
        <v>13</v>
      </c>
      <c r="R33" s="869">
        <f>-SUM(B32:K32) - SUM(B64:D64)</f>
        <v>35421</v>
      </c>
      <c r="S33" s="869">
        <f>SUM(B33:K33) + SUM(B65:D65)+R33</f>
        <v>175642.21567684013</v>
      </c>
      <c r="Z33" s="1719" t="s">
        <v>6461</v>
      </c>
      <c r="AA33" s="1721">
        <v>33</v>
      </c>
    </row>
    <row r="34" spans="1:27" ht="13.35" customHeight="1">
      <c r="A34" s="17" t="str">
        <f>IF('Part II-Sources of Funds'!$E$40 = "Neither", "", "DCR Mortgage A")</f>
        <v>DCR Mortgage A</v>
      </c>
      <c r="B34" s="20">
        <f t="shared" ref="B34:K34" si="10">IF(B26=0,"",-B25/B26)</f>
        <v>1.3798972452582761</v>
      </c>
      <c r="C34" s="20">
        <f t="shared" si="10"/>
        <v>1.3730708582253726</v>
      </c>
      <c r="D34" s="20">
        <f t="shared" si="10"/>
        <v>1.3650673108781652</v>
      </c>
      <c r="E34" s="20">
        <f t="shared" si="10"/>
        <v>1.3558508575997359</v>
      </c>
      <c r="F34" s="20">
        <f t="shared" si="10"/>
        <v>1.3453483736386698</v>
      </c>
      <c r="G34" s="20">
        <f t="shared" si="10"/>
        <v>1.333521145607784</v>
      </c>
      <c r="H34" s="20">
        <f t="shared" si="10"/>
        <v>1.3202750158767436</v>
      </c>
      <c r="I34" s="20">
        <f t="shared" si="10"/>
        <v>1.3055860510898361</v>
      </c>
      <c r="J34" s="20">
        <f t="shared" si="10"/>
        <v>1.2893568015292434</v>
      </c>
      <c r="K34" s="21">
        <f t="shared" si="10"/>
        <v>1.2715419659596126</v>
      </c>
      <c r="N34" s="3576"/>
      <c r="O34" s="3578"/>
      <c r="Q34" s="92">
        <v>14</v>
      </c>
      <c r="R34" s="869">
        <f>-SUM(B32:K32) - SUM(B64:E64)</f>
        <v>35421</v>
      </c>
      <c r="S34" s="869">
        <f>SUM(B33:K33) + SUM(B65:E65)+R34</f>
        <v>182073.67207882917</v>
      </c>
      <c r="Z34" s="1719" t="s">
        <v>6461</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76"/>
      <c r="O35" s="3578"/>
      <c r="Q35" s="92">
        <v>15</v>
      </c>
      <c r="R35" s="869">
        <f>-SUM(B32:K32) - SUM(B64:F64)</f>
        <v>35421</v>
      </c>
      <c r="S35" s="869">
        <f>SUM(B33:K33) + SUM(B65:F65)+R35</f>
        <v>187008.37542131686</v>
      </c>
      <c r="Z35" s="1719" t="s">
        <v>6461</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76"/>
      <c r="O36" s="3578"/>
      <c r="Q36" s="47">
        <v>16</v>
      </c>
      <c r="R36" s="869">
        <f>-SUM(B32:K32) - SUM(B64:G64)</f>
        <v>35421</v>
      </c>
      <c r="S36" s="869">
        <f>SUM(B33:K33) + SUM(B65:G65)+R36</f>
        <v>190330.6873161151</v>
      </c>
      <c r="Z36" s="1719" t="s">
        <v>6461</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76"/>
      <c r="O37" s="3578"/>
      <c r="Q37" s="47">
        <v>17</v>
      </c>
      <c r="R37" s="869">
        <f>-SUM(B32:K32) - SUM(B64:H64)</f>
        <v>35421</v>
      </c>
      <c r="S37" s="869">
        <f>SUM(B33:K33) + SUM(B65:H65)+R37</f>
        <v>191921.6709074626</v>
      </c>
      <c r="Z37" s="1719" t="s">
        <v>6461</v>
      </c>
      <c r="AA37" s="1721">
        <v>37</v>
      </c>
    </row>
    <row r="38" spans="1:27" ht="13.35" customHeight="1">
      <c r="A38" s="341" t="s">
        <v>3213</v>
      </c>
      <c r="B38" s="20">
        <f t="shared" ref="B38:K38" si="14">IF(AND(B26=0,B27=0,B28=0,B29=0),"",-B25/(B26+B27+B28+B29))</f>
        <v>1.3798972452582761</v>
      </c>
      <c r="C38" s="20">
        <f t="shared" si="14"/>
        <v>1.3730708582253726</v>
      </c>
      <c r="D38" s="20">
        <f t="shared" si="14"/>
        <v>1.3650673108781652</v>
      </c>
      <c r="E38" s="20">
        <f t="shared" si="14"/>
        <v>1.3558508575997359</v>
      </c>
      <c r="F38" s="20">
        <f t="shared" si="14"/>
        <v>1.3453483736386698</v>
      </c>
      <c r="G38" s="20">
        <f t="shared" si="14"/>
        <v>1.333521145607784</v>
      </c>
      <c r="H38" s="20">
        <f t="shared" si="14"/>
        <v>1.3202750158767436</v>
      </c>
      <c r="I38" s="20">
        <f t="shared" si="14"/>
        <v>1.3055860510898361</v>
      </c>
      <c r="J38" s="20">
        <f t="shared" si="14"/>
        <v>1.2893568015292434</v>
      </c>
      <c r="K38" s="21">
        <f t="shared" si="14"/>
        <v>1.2715419659596126</v>
      </c>
      <c r="N38" s="3576"/>
      <c r="O38" s="3578"/>
      <c r="Q38" s="47">
        <v>18</v>
      </c>
      <c r="R38" s="869">
        <f>-SUM(B32:K32) - SUM(B64:I64)</f>
        <v>35421</v>
      </c>
      <c r="S38" s="869">
        <f>SUM(B33:K33) + SUM(B65:I65)+R38</f>
        <v>191657.96413167805</v>
      </c>
      <c r="Z38" s="1719" t="s">
        <v>6461</v>
      </c>
      <c r="AA38" s="1721">
        <v>38</v>
      </c>
    </row>
    <row r="39" spans="1:27" ht="13.35" customHeight="1">
      <c r="A39" s="17" t="s">
        <v>718</v>
      </c>
      <c r="B39" s="220">
        <f t="shared" ref="B39:K39" si="15">IF(OR(B22="Choose mgt fee",B22="Choose One!"),"",(B15+B16+B17+B18+B19) / -(B21+B22+B23))</f>
        <v>1.4008493898271479</v>
      </c>
      <c r="C39" s="220">
        <f t="shared" si="15"/>
        <v>1.3872489103142636</v>
      </c>
      <c r="D39" s="220">
        <f t="shared" si="15"/>
        <v>1.3737775016178164</v>
      </c>
      <c r="E39" s="220">
        <f t="shared" si="15"/>
        <v>1.3604409602242287</v>
      </c>
      <c r="F39" s="220">
        <f t="shared" si="15"/>
        <v>1.3472317338800048</v>
      </c>
      <c r="G39" s="220">
        <f t="shared" si="15"/>
        <v>1.3341554167935832</v>
      </c>
      <c r="H39" s="220">
        <f t="shared" si="15"/>
        <v>1.3211994496470423</v>
      </c>
      <c r="I39" s="220">
        <f t="shared" si="15"/>
        <v>1.3083753787440946</v>
      </c>
      <c r="J39" s="220">
        <f t="shared" si="15"/>
        <v>1.2956716912439932</v>
      </c>
      <c r="K39" s="221">
        <f t="shared" si="15"/>
        <v>1.2830939962576522</v>
      </c>
      <c r="N39" s="3576"/>
      <c r="O39" s="3578"/>
      <c r="Q39" s="92">
        <v>19</v>
      </c>
      <c r="R39" s="869">
        <f>-SUM(B32:K32) - SUM(B64:J64)</f>
        <v>35421</v>
      </c>
      <c r="S39" s="869">
        <f>SUM(B33:K33) + SUM(B65:J65)+R39</f>
        <v>189409.64861887845</v>
      </c>
      <c r="Z39" s="1719" t="s">
        <v>6461</v>
      </c>
      <c r="AA39" s="1721">
        <v>39</v>
      </c>
    </row>
    <row r="40" spans="1:27" ht="13.35" customHeight="1">
      <c r="A40" s="341" t="s">
        <v>2405</v>
      </c>
      <c r="B40" s="177">
        <f>IF('Part II-Sources of Funds'!$I$40="","",-FV('Part II-Sources of Funds'!$K$40/12,12,B26/12,'Part II-Sources of Funds'!$I$40))</f>
        <v>765110.87337037933</v>
      </c>
      <c r="C40" s="177">
        <f>IF('Part II-Sources of Funds'!$I$40="","",-FV('Part II-Sources of Funds'!$K$40/12,12,C26/12,B40))</f>
        <v>760950.95487847168</v>
      </c>
      <c r="D40" s="177">
        <f>IF('Part II-Sources of Funds'!$I$40="","",-FV('Part II-Sources of Funds'!$K$40/12,12,D26/12,C40))</f>
        <v>756501.38984566554</v>
      </c>
      <c r="E40" s="177">
        <f>IF('Part II-Sources of Funds'!$I$40="","",-FV('Part II-Sources of Funds'!$K$40/12,12,E26/12,D40))</f>
        <v>751742.01078098314</v>
      </c>
      <c r="F40" s="177">
        <f>IF('Part II-Sources of Funds'!$I$40="","",-FV('Part II-Sources of Funds'!$K$40/12,12,F26/12,E40))</f>
        <v>746651.24597266375</v>
      </c>
      <c r="G40" s="177">
        <f>IF('Part II-Sources of Funds'!$I$40="","",-FV('Part II-Sources of Funds'!$K$40/12,12,G26/12,F40))</f>
        <v>741206.02171516872</v>
      </c>
      <c r="H40" s="177">
        <f>IF('Part II-Sources of Funds'!$I$40="","",-FV('Part II-Sources of Funds'!$K$40/12,12,H26/12,G40))</f>
        <v>735381.65772845363</v>
      </c>
      <c r="I40" s="177">
        <f>IF('Part II-Sources of Funds'!$I$40="","",-FV('Part II-Sources of Funds'!$K$40/12,12,I26/12,H40))</f>
        <v>729151.75529550039</v>
      </c>
      <c r="J40" s="177">
        <f>IF('Part II-Sources of Funds'!$I$40="","",-FV('Part II-Sources of Funds'!$K$40/12,12,J26/12,I40))</f>
        <v>722488.0776110969</v>
      </c>
      <c r="K40" s="177">
        <f>IF('Part II-Sources of Funds'!$I$40="","",-FV('Part II-Sources of Funds'!$K$40/12,12,K26/12,J40))</f>
        <v>715360.42179954879</v>
      </c>
      <c r="N40" s="3576"/>
      <c r="O40" s="3578"/>
      <c r="Q40" s="92">
        <v>20</v>
      </c>
      <c r="R40" s="869">
        <f>-SUM(B32:K32) - SUM(B64:K64)</f>
        <v>35421</v>
      </c>
      <c r="S40" s="869">
        <f>SUM(B33:K33) + SUM(B65:K65)+R40</f>
        <v>185041.11409490695</v>
      </c>
      <c r="Z40" s="1719" t="s">
        <v>6461</v>
      </c>
      <c r="AA40" s="1721">
        <v>40</v>
      </c>
    </row>
    <row r="41" spans="1:27" ht="13.35" customHeight="1">
      <c r="A41" s="341" t="s">
        <v>2406</v>
      </c>
      <c r="B41" s="178">
        <f>IF('Part II-Sources of Funds'!$I$41="","",-FV('Part II-Sources of Funds'!$K$41/12,12,B27/12,'Part II-Sources of Funds'!$I$41))</f>
        <v>1039091.8525844133</v>
      </c>
      <c r="C41" s="178">
        <f>IF('Part II-Sources of Funds'!$I$41="","",-FV('Part II-Sources of Funds'!$K$41/12,12,C27/12,B41))</f>
        <v>1049530.5286936644</v>
      </c>
      <c r="D41" s="178">
        <f>IF('Part II-Sources of Funds'!$I$41="","",-FV('Part II-Sources of Funds'!$K$41/12,12,D27/12,C41))</f>
        <v>1060074.0713348228</v>
      </c>
      <c r="E41" s="178">
        <f>IF('Part II-Sources of Funds'!$I$41="","",-FV('Part II-Sources of Funds'!$K$41/12,12,E27/12,D41))</f>
        <v>1070723.5339929666</v>
      </c>
      <c r="F41" s="178">
        <f>IF('Part II-Sources of Funds'!$I$41="","",-FV('Part II-Sources of Funds'!$K$41/12,12,F27/12,E41))</f>
        <v>1081479.9807364438</v>
      </c>
      <c r="G41" s="178">
        <f>IF('Part II-Sources of Funds'!$I$41="","",-FV('Part II-Sources of Funds'!$K$41/12,12,G27/12,F41))</f>
        <v>1092344.4863231909</v>
      </c>
      <c r="H41" s="178">
        <f>IF('Part II-Sources of Funds'!$I$41="","",-FV('Part II-Sources of Funds'!$K$41/12,12,H27/12,G41))</f>
        <v>1103318.136308121</v>
      </c>
      <c r="I41" s="178">
        <f>IF('Part II-Sources of Funds'!$I$41="","",-FV('Part II-Sources of Funds'!$K$41/12,12,I27/12,H41))</f>
        <v>1114402.0271515893</v>
      </c>
      <c r="J41" s="178">
        <f>IF('Part II-Sources of Funds'!$I$41="","",-FV('Part II-Sources of Funds'!$K$41/12,12,J27/12,I41))</f>
        <v>1125597.2663289488</v>
      </c>
      <c r="K41" s="178">
        <f>IF('Part II-Sources of Funds'!$I$41="","",-FV('Part II-Sources of Funds'!$K$41/12,12,K27/12,J41))</f>
        <v>1136904.9724412067</v>
      </c>
      <c r="N41" s="3576"/>
      <c r="O41" s="3578"/>
      <c r="Z41" s="1719" t="s">
        <v>6461</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76"/>
      <c r="O42" s="3578"/>
      <c r="Z42" s="1719" t="s">
        <v>6461</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6"/>
      <c r="O43" s="3578"/>
      <c r="Z43" s="1719" t="s">
        <v>6461</v>
      </c>
      <c r="AA43" s="1721">
        <v>43</v>
      </c>
    </row>
    <row r="44" spans="1:27" ht="13.35" customHeight="1">
      <c r="A44" s="341" t="s">
        <v>3363</v>
      </c>
      <c r="B44" s="179">
        <f>IF('Part II-Sources of Funds'!$I$45="","",-FV('Part II-Sources of Funds'!$K$45/12,12,B32/12,'Part II-Sources of Funds'!$I$45))</f>
        <v>32451</v>
      </c>
      <c r="C44" s="179">
        <f>IF('Part II-Sources of Funds'!$I$45="","",IF(-FV('Part II-Sources of Funds'!$K$45/12,12,C32/12,B44)&gt;0,-FV('Part II-Sources of Funds'!$K$45/12,12,C32/12,B44),0))</f>
        <v>29481</v>
      </c>
      <c r="D44" s="179">
        <f>IF('Part II-Sources of Funds'!$I$45="","",IF(-FV('Part II-Sources of Funds'!$K$45/12,12,D32/12,C44)&gt;0,-FV('Part II-Sources of Funds'!$K$45/12,12,D32/12,C44),0))</f>
        <v>26511</v>
      </c>
      <c r="E44" s="179">
        <f>IF('Part II-Sources of Funds'!$I$45="","",IF(-FV('Part II-Sources of Funds'!$K$45/12,12,E32/12,D44)&gt;0,-FV('Part II-Sources of Funds'!$K$45/12,12,E32/12,D44),0))</f>
        <v>23541</v>
      </c>
      <c r="F44" s="179">
        <f>IF('Part II-Sources of Funds'!$I$45="","",IF(-FV('Part II-Sources of Funds'!$K$45/12,12,F32/12,E44)&gt;0,-FV('Part II-Sources of Funds'!$K$45/12,12,F32/12,E44),0))</f>
        <v>20571</v>
      </c>
      <c r="G44" s="179">
        <f>IF('Part II-Sources of Funds'!$I$45="","",IF(-FV('Part II-Sources of Funds'!$K$45/12,12,G32/12,F44)&gt;0,-FV('Part II-Sources of Funds'!$K$45/12,12,G32/12,F44),0))</f>
        <v>17601</v>
      </c>
      <c r="H44" s="179">
        <f>IF('Part II-Sources of Funds'!$I$45="","",IF(-FV('Part II-Sources of Funds'!$K$45/12,12,H32/12,G44)&gt;0,-FV('Part II-Sources of Funds'!$K$45/12,12,H32/12,G44),0))</f>
        <v>14631</v>
      </c>
      <c r="I44" s="179">
        <f>IF('Part II-Sources of Funds'!$I$45="","",IF(-FV('Part II-Sources of Funds'!$K$45/12,12,I32/12,H44)&gt;0,-FV('Part II-Sources of Funds'!$K$45/12,12,I32/12,H44),0))</f>
        <v>11661</v>
      </c>
      <c r="J44" s="179">
        <f>IF('Part II-Sources of Funds'!$I$45="","",IF(-FV('Part II-Sources of Funds'!$K$45/12,12,J32/12,I44)&gt;0,-FV('Part II-Sources of Funds'!$K$45/12,12,J32/12,I44),0))</f>
        <v>8691</v>
      </c>
      <c r="K44" s="179">
        <f>IF('Part II-Sources of Funds'!$I$45="","",IF(-FV('Part II-Sources of Funds'!$K$45/12,12,K32/12,J44)&gt;0,-FV('Part II-Sources of Funds'!$K$45/12,12,K32/12,J44),0))</f>
        <v>5721</v>
      </c>
      <c r="N44" s="3582"/>
      <c r="O44" s="3584"/>
      <c r="Z44" s="1719" t="s">
        <v>6461</v>
      </c>
      <c r="AA44" s="1721">
        <v>44</v>
      </c>
    </row>
    <row r="45" spans="1:27" ht="4.3499999999999996" customHeight="1">
      <c r="B45" s="13"/>
      <c r="C45" s="13"/>
      <c r="D45" s="13"/>
      <c r="E45" s="13"/>
      <c r="F45" s="13"/>
      <c r="G45" s="13"/>
      <c r="H45" s="13"/>
      <c r="I45" s="13"/>
      <c r="J45" s="13"/>
      <c r="K45" s="13"/>
      <c r="AA45" s="1721">
        <v>45</v>
      </c>
    </row>
    <row r="46" spans="1:27" ht="14.7"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64" t="s">
        <v>2409</v>
      </c>
      <c r="O46" s="3264"/>
      <c r="AA46" s="1721">
        <v>46</v>
      </c>
    </row>
    <row r="47" spans="1:27" ht="13.35" customHeight="1">
      <c r="A47" s="14" t="s">
        <v>2215</v>
      </c>
      <c r="B47" s="15">
        <f t="shared" ref="B47:K47" si="17">$B$15*(1+$B$6)^(B46-1)</f>
        <v>343434.61191164289</v>
      </c>
      <c r="C47" s="15">
        <f t="shared" si="17"/>
        <v>350303.30414987571</v>
      </c>
      <c r="D47" s="15">
        <f t="shared" si="17"/>
        <v>357309.37023287325</v>
      </c>
      <c r="E47" s="15">
        <f t="shared" si="17"/>
        <v>364455.55763753067</v>
      </c>
      <c r="F47" s="15">
        <f t="shared" si="17"/>
        <v>371744.66879028134</v>
      </c>
      <c r="G47" s="15">
        <f t="shared" si="17"/>
        <v>379179.56216608686</v>
      </c>
      <c r="H47" s="15">
        <f t="shared" si="17"/>
        <v>386763.1534094087</v>
      </c>
      <c r="I47" s="15">
        <f t="shared" si="17"/>
        <v>394498.41647759685</v>
      </c>
      <c r="J47" s="15">
        <f t="shared" si="17"/>
        <v>402388.38480714877</v>
      </c>
      <c r="K47" s="16">
        <f t="shared" si="17"/>
        <v>410436.15250329173</v>
      </c>
      <c r="N47" s="3598"/>
      <c r="O47" s="3600"/>
      <c r="Z47" s="1719" t="s">
        <v>6462</v>
      </c>
      <c r="AA47" s="1721">
        <v>47</v>
      </c>
    </row>
    <row r="48" spans="1:27" ht="13.35" customHeight="1">
      <c r="A48" s="17" t="s">
        <v>952</v>
      </c>
      <c r="B48" s="18">
        <f t="shared" ref="B48:K48" si="18">$B$16*(1+$B$6)^(B46-1)</f>
        <v>1087.3430226353235</v>
      </c>
      <c r="C48" s="18">
        <f t="shared" si="18"/>
        <v>1109.0898830880296</v>
      </c>
      <c r="D48" s="18">
        <f t="shared" si="18"/>
        <v>1131.2716807497904</v>
      </c>
      <c r="E48" s="18">
        <f t="shared" si="18"/>
        <v>1153.8971143647861</v>
      </c>
      <c r="F48" s="18">
        <f t="shared" si="18"/>
        <v>1176.975056652082</v>
      </c>
      <c r="G48" s="18">
        <f t="shared" si="18"/>
        <v>1200.5145577851233</v>
      </c>
      <c r="H48" s="18">
        <f t="shared" si="18"/>
        <v>1224.5248489408259</v>
      </c>
      <c r="I48" s="18">
        <f t="shared" si="18"/>
        <v>1249.0153459196426</v>
      </c>
      <c r="J48" s="18">
        <f t="shared" si="18"/>
        <v>1273.9956528380353</v>
      </c>
      <c r="K48" s="19">
        <f t="shared" si="18"/>
        <v>1299.4755658947959</v>
      </c>
      <c r="N48" s="3576"/>
      <c r="O48" s="3578"/>
      <c r="Z48" s="1719" t="s">
        <v>6462</v>
      </c>
      <c r="AA48" s="1721">
        <v>48</v>
      </c>
    </row>
    <row r="49" spans="1:27" ht="13.35" customHeight="1">
      <c r="A49" s="17" t="s">
        <v>2216</v>
      </c>
      <c r="B49" s="18">
        <f t="shared" ref="B49:K49" si="19">-(B47+B48)*$B$9</f>
        <v>-17226.097746713913</v>
      </c>
      <c r="C49" s="18">
        <f t="shared" si="19"/>
        <v>-17570.619701648186</v>
      </c>
      <c r="D49" s="18">
        <f t="shared" si="19"/>
        <v>-17922.032095681152</v>
      </c>
      <c r="E49" s="18">
        <f t="shared" si="19"/>
        <v>-18280.472737594773</v>
      </c>
      <c r="F49" s="18">
        <f t="shared" si="19"/>
        <v>-18646.082192346672</v>
      </c>
      <c r="G49" s="18">
        <f t="shared" si="19"/>
        <v>-19019.003836193599</v>
      </c>
      <c r="H49" s="18">
        <f t="shared" si="19"/>
        <v>-19399.383912917478</v>
      </c>
      <c r="I49" s="18">
        <f t="shared" si="19"/>
        <v>-19787.371591175826</v>
      </c>
      <c r="J49" s="18">
        <f t="shared" si="19"/>
        <v>-20183.119022999341</v>
      </c>
      <c r="K49" s="19">
        <f t="shared" si="19"/>
        <v>-20586.781403459328</v>
      </c>
      <c r="N49" s="3576"/>
      <c r="O49" s="3578"/>
      <c r="Z49" s="1719" t="s">
        <v>6462</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6"/>
      <c r="O50" s="3578"/>
      <c r="Z50" s="1719" t="s">
        <v>6462</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6"/>
      <c r="O51" s="3578"/>
      <c r="Z51" s="1719" t="s">
        <v>6462</v>
      </c>
      <c r="AA51" s="1721">
        <v>51</v>
      </c>
    </row>
    <row r="52" spans="1:27" ht="13.35" customHeight="1">
      <c r="A52" s="341" t="s">
        <v>3838</v>
      </c>
      <c r="B52" s="18">
        <f t="shared" ref="B52:K52" si="20">SUM(B47:B51)</f>
        <v>327295.85718756431</v>
      </c>
      <c r="C52" s="18">
        <f t="shared" si="20"/>
        <v>333841.77433131554</v>
      </c>
      <c r="D52" s="18">
        <f t="shared" si="20"/>
        <v>340518.60981794185</v>
      </c>
      <c r="E52" s="18">
        <f t="shared" si="20"/>
        <v>347328.98201430065</v>
      </c>
      <c r="F52" s="18">
        <f t="shared" si="20"/>
        <v>354275.56165458675</v>
      </c>
      <c r="G52" s="18">
        <f t="shared" si="20"/>
        <v>361361.0728876784</v>
      </c>
      <c r="H52" s="18">
        <f t="shared" si="20"/>
        <v>368588.29434543208</v>
      </c>
      <c r="I52" s="18">
        <f t="shared" si="20"/>
        <v>375960.06023234065</v>
      </c>
      <c r="J52" s="18">
        <f t="shared" si="20"/>
        <v>383479.26143698744</v>
      </c>
      <c r="K52" s="19">
        <f t="shared" si="20"/>
        <v>391148.84666572721</v>
      </c>
      <c r="N52" s="3576"/>
      <c r="O52" s="3578"/>
      <c r="Z52" s="1719" t="s">
        <v>6462</v>
      </c>
      <c r="AA52" s="1721">
        <v>52</v>
      </c>
    </row>
    <row r="53" spans="1:27" ht="13.35" customHeight="1">
      <c r="A53" s="17" t="s">
        <v>572</v>
      </c>
      <c r="B53" s="18">
        <f t="shared" ref="B53:K53" si="21">$B$21*(1+$B$7)^(B46-1)</f>
        <v>-173724.03860867658</v>
      </c>
      <c r="C53" s="18">
        <f t="shared" si="21"/>
        <v>-178935.75976693688</v>
      </c>
      <c r="D53" s="18">
        <f t="shared" si="21"/>
        <v>-184303.83255994497</v>
      </c>
      <c r="E53" s="18">
        <f t="shared" si="21"/>
        <v>-189832.9475367433</v>
      </c>
      <c r="F53" s="18">
        <f t="shared" si="21"/>
        <v>-195527.93596284563</v>
      </c>
      <c r="G53" s="18">
        <f t="shared" si="21"/>
        <v>-201393.77404173103</v>
      </c>
      <c r="H53" s="18">
        <f t="shared" si="21"/>
        <v>-207435.58726298291</v>
      </c>
      <c r="I53" s="18">
        <f t="shared" si="21"/>
        <v>-213658.6548808724</v>
      </c>
      <c r="J53" s="18">
        <f t="shared" si="21"/>
        <v>-220068.41452729856</v>
      </c>
      <c r="K53" s="19">
        <f t="shared" si="21"/>
        <v>-226670.46696311753</v>
      </c>
      <c r="N53" s="3576"/>
      <c r="O53" s="3578"/>
      <c r="Z53" s="1719" t="s">
        <v>6462</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-51606</v>
      </c>
      <c r="C54" s="18">
        <f>IF(AND('Part VI-Pro Forma'!$G$9="Yes",'Part VI-Pro Forma'!$G$10="Yes"),"Choose One!",IF('Part VI-Pro Forma'!$G$9="Yes",ROUND((-$K$9*(1+'Part VI-Pro Forma'!$B$7)^('Part VI-Pro Forma'!C46-1)),),IF('Part VI-Pro Forma'!$G$10="Yes",ROUND((-(SUM(C47:C50)*'Part VI-Pro Forma'!$K$10)),),"Choose mgt fee")))</f>
        <v>-53155</v>
      </c>
      <c r="D54" s="18">
        <f>IF(AND('Part VI-Pro Forma'!$G$9="Yes",'Part VI-Pro Forma'!$G$10="Yes"),"Choose One!",IF('Part VI-Pro Forma'!$G$9="Yes",ROUND((-$K$9*(1+'Part VI-Pro Forma'!$B$7)^('Part VI-Pro Forma'!D46-1)),),IF('Part VI-Pro Forma'!$G$10="Yes",ROUND((-(SUM(D47:D50)*'Part VI-Pro Forma'!$K$10)),),"Choose mgt fee")))</f>
        <v>-54749</v>
      </c>
      <c r="E54" s="18">
        <f>IF(AND('Part VI-Pro Forma'!$G$9="Yes",'Part VI-Pro Forma'!$G$10="Yes"),"Choose One!",IF('Part VI-Pro Forma'!$G$9="Yes",ROUND((-$K$9*(1+'Part VI-Pro Forma'!$B$7)^('Part VI-Pro Forma'!E46-1)),),IF('Part VI-Pro Forma'!$G$10="Yes",ROUND((-(SUM(E47:E50)*'Part VI-Pro Forma'!$K$10)),),"Choose mgt fee")))</f>
        <v>-56392</v>
      </c>
      <c r="F54" s="18">
        <f>IF(AND('Part VI-Pro Forma'!$G$9="Yes",'Part VI-Pro Forma'!$G$10="Yes"),"Choose One!",IF('Part VI-Pro Forma'!$G$9="Yes",ROUND((-$K$9*(1+'Part VI-Pro Forma'!$B$7)^('Part VI-Pro Forma'!F46-1)),),IF('Part VI-Pro Forma'!$G$10="Yes",ROUND((-(SUM(F47:F50)*'Part VI-Pro Forma'!$K$10)),),"Choose mgt fee")))</f>
        <v>-58083</v>
      </c>
      <c r="G54" s="18">
        <f>IF(AND('Part VI-Pro Forma'!$G$9="Yes",'Part VI-Pro Forma'!$G$10="Yes"),"Choose One!",IF('Part VI-Pro Forma'!$G$9="Yes",ROUND((-$K$9*(1+'Part VI-Pro Forma'!$B$7)^('Part VI-Pro Forma'!G46-1)),),IF('Part VI-Pro Forma'!$G$10="Yes",ROUND((-(SUM(G47:G50)*'Part VI-Pro Forma'!$K$10)),),"Choose mgt fee")))</f>
        <v>-59826</v>
      </c>
      <c r="H54" s="18">
        <f>IF(AND('Part VI-Pro Forma'!$G$9="Yes",'Part VI-Pro Forma'!$G$10="Yes"),"Choose One!",IF('Part VI-Pro Forma'!$G$9="Yes",ROUND((-$K$9*(1+'Part VI-Pro Forma'!$B$7)^('Part VI-Pro Forma'!H46-1)),),IF('Part VI-Pro Forma'!$G$10="Yes",ROUND((-(SUM(H47:H50)*'Part VI-Pro Forma'!$K$10)),),"Choose mgt fee")))</f>
        <v>-61621</v>
      </c>
      <c r="I54" s="18">
        <f>IF(AND('Part VI-Pro Forma'!$G$9="Yes",'Part VI-Pro Forma'!$G$10="Yes"),"Choose One!",IF('Part VI-Pro Forma'!$G$9="Yes",ROUND((-$K$9*(1+'Part VI-Pro Forma'!$B$7)^('Part VI-Pro Forma'!I46-1)),),IF('Part VI-Pro Forma'!$G$10="Yes",ROUND((-(SUM(I47:I50)*'Part VI-Pro Forma'!$K$10)),),"Choose mgt fee")))</f>
        <v>-63469</v>
      </c>
      <c r="J54" s="18">
        <f>IF(AND('Part VI-Pro Forma'!$G$9="Yes",'Part VI-Pro Forma'!$G$10="Yes"),"Choose One!",IF('Part VI-Pro Forma'!$G$9="Yes",ROUND((-$K$9*(1+'Part VI-Pro Forma'!$B$7)^('Part VI-Pro Forma'!J46-1)),),IF('Part VI-Pro Forma'!$G$10="Yes",ROUND((-(SUM(J47:J50)*'Part VI-Pro Forma'!$K$10)),),"Choose mgt fee")))</f>
        <v>-65373</v>
      </c>
      <c r="K54" s="19">
        <f>IF(AND('Part VI-Pro Forma'!$G$9="Yes",'Part VI-Pro Forma'!$G$10="Yes"),"Choose One!",IF('Part VI-Pro Forma'!$G$9="Yes",ROUND((-$K$9*(1+'Part VI-Pro Forma'!$B$7)^('Part VI-Pro Forma'!K46-1)),),IF('Part VI-Pro Forma'!$G$10="Yes",ROUND((-(SUM(K47:K50)*'Part VI-Pro Forma'!$K$10)),),"Choose mgt fee")))</f>
        <v>-67335</v>
      </c>
      <c r="N54" s="3576"/>
      <c r="O54" s="3578"/>
      <c r="Z54" s="1719" t="s">
        <v>6462</v>
      </c>
      <c r="AA54" s="1721">
        <v>54</v>
      </c>
    </row>
    <row r="55" spans="1:27" ht="13.35" customHeight="1">
      <c r="A55" s="17" t="s">
        <v>1128</v>
      </c>
      <c r="B55" s="18">
        <f t="shared" ref="B55:K55" si="22">$B$23*(1+$B$8)^(B46-1)</f>
        <v>-32253.993104258923</v>
      </c>
      <c r="C55" s="18">
        <f t="shared" si="22"/>
        <v>-33221.612897386694</v>
      </c>
      <c r="D55" s="18">
        <f t="shared" si="22"/>
        <v>-34218.26128430829</v>
      </c>
      <c r="E55" s="18">
        <f t="shared" si="22"/>
        <v>-35244.809122837534</v>
      </c>
      <c r="F55" s="18">
        <f t="shared" si="22"/>
        <v>-36302.153396522663</v>
      </c>
      <c r="G55" s="18">
        <f t="shared" si="22"/>
        <v>-37391.217998418346</v>
      </c>
      <c r="H55" s="18">
        <f t="shared" si="22"/>
        <v>-38512.95453837089</v>
      </c>
      <c r="I55" s="18">
        <f t="shared" si="22"/>
        <v>-39668.343174522015</v>
      </c>
      <c r="J55" s="18">
        <f t="shared" si="22"/>
        <v>-40858.393469757677</v>
      </c>
      <c r="K55" s="19">
        <f t="shared" si="22"/>
        <v>-42084.145273850409</v>
      </c>
      <c r="N55" s="3576"/>
      <c r="O55" s="3578"/>
      <c r="Q55" s="92"/>
      <c r="R55" s="869"/>
      <c r="S55" s="869"/>
      <c r="Z55" s="1719" t="s">
        <v>6462</v>
      </c>
      <c r="AA55" s="1721">
        <v>55</v>
      </c>
    </row>
    <row r="56" spans="1:27" ht="13.35" customHeight="1">
      <c r="A56" s="341" t="s">
        <v>3837</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76"/>
      <c r="O56" s="3578"/>
      <c r="Z56" s="1719" t="s">
        <v>6462</v>
      </c>
      <c r="AA56" s="1721">
        <v>56</v>
      </c>
    </row>
    <row r="57" spans="1:27" ht="13.35" customHeight="1">
      <c r="A57" s="17" t="s">
        <v>1129</v>
      </c>
      <c r="B57" s="18">
        <f t="shared" ref="B57:K57" si="23">SUM(B52:B56)</f>
        <v>69711.8254746288</v>
      </c>
      <c r="C57" s="18">
        <f t="shared" si="23"/>
        <v>68529.401666991966</v>
      </c>
      <c r="D57" s="18">
        <f t="shared" si="23"/>
        <v>67247.515973688583</v>
      </c>
      <c r="E57" s="18">
        <f t="shared" si="23"/>
        <v>65859.22535471982</v>
      </c>
      <c r="F57" s="18">
        <f t="shared" si="23"/>
        <v>64362.47229521846</v>
      </c>
      <c r="G57" s="18">
        <f t="shared" si="23"/>
        <v>62750.080847529025</v>
      </c>
      <c r="H57" s="18">
        <f t="shared" si="23"/>
        <v>61018.752544078277</v>
      </c>
      <c r="I57" s="18">
        <f t="shared" si="23"/>
        <v>59164.06217694623</v>
      </c>
      <c r="J57" s="18">
        <f t="shared" si="23"/>
        <v>57179.453439931196</v>
      </c>
      <c r="K57" s="1215">
        <f t="shared" si="23"/>
        <v>55059.234428759264</v>
      </c>
      <c r="N57" s="3576"/>
      <c r="O57" s="3578"/>
      <c r="Z57" s="1719" t="s">
        <v>6462</v>
      </c>
      <c r="AA57" s="1721">
        <v>57</v>
      </c>
    </row>
    <row r="58" spans="1:27" ht="13.35" customHeight="1">
      <c r="A58" s="17" t="str">
        <f>$A26</f>
        <v>Mortgage A</v>
      </c>
      <c r="B58" s="342">
        <f>IF('Part II-Sources of Funds'!$P$40="", 0,-'Part II-Sources of Funds'!$P$40)</f>
        <v>-55677.768952730781</v>
      </c>
      <c r="C58" s="342">
        <f>IF('Part II-Sources of Funds'!$P$40="", 0,-'Part II-Sources of Funds'!$P$40)</f>
        <v>-55677.768952730781</v>
      </c>
      <c r="D58" s="342">
        <f>IF('Part II-Sources of Funds'!$P$40="", 0,-'Part II-Sources of Funds'!$P$40)</f>
        <v>-55677.768952730781</v>
      </c>
      <c r="E58" s="342">
        <f>IF('Part II-Sources of Funds'!$P$40="", 0,-'Part II-Sources of Funds'!$P$40)</f>
        <v>-55677.768952730781</v>
      </c>
      <c r="F58" s="342">
        <f>IF('Part II-Sources of Funds'!$P$40="", 0,-'Part II-Sources of Funds'!$P$40)</f>
        <v>-55677.768952730781</v>
      </c>
      <c r="G58" s="342">
        <f>IF('Part II-Sources of Funds'!$P$40="", 0,-'Part II-Sources of Funds'!$P$40)</f>
        <v>-55677.768952730781</v>
      </c>
      <c r="H58" s="342">
        <f>IF('Part II-Sources of Funds'!$P$40="", 0,-'Part II-Sources of Funds'!$P$40)</f>
        <v>-55677.768952730781</v>
      </c>
      <c r="I58" s="342">
        <f>IF('Part II-Sources of Funds'!$P$40="", 0,-'Part II-Sources of Funds'!$P$40)</f>
        <v>-55677.768952730781</v>
      </c>
      <c r="J58" s="342">
        <f>IF('Part II-Sources of Funds'!$P$40="", 0,-'Part II-Sources of Funds'!$P$40)</f>
        <v>-55677.768952730781</v>
      </c>
      <c r="K58" s="342">
        <f>IF('Part II-Sources of Funds'!$P$40="", 0,-'Part II-Sources of Funds'!$P$40)</f>
        <v>-55677.768952730781</v>
      </c>
      <c r="N58" s="3576"/>
      <c r="O58" s="3578"/>
      <c r="Z58" s="1719" t="s">
        <v>6462</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76"/>
      <c r="O59" s="3578"/>
      <c r="Z59" s="1719" t="s">
        <v>6462</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76"/>
      <c r="O60" s="3578"/>
      <c r="Z60" s="1719" t="s">
        <v>6462</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6"/>
      <c r="O61" s="3578"/>
      <c r="Z61" s="1719" t="s">
        <v>6462</v>
      </c>
      <c r="AA61" s="1721">
        <v>61</v>
      </c>
    </row>
    <row r="62" spans="1:27" ht="13.35" customHeight="1">
      <c r="A62" s="17" t="s">
        <v>711</v>
      </c>
      <c r="B62" s="138"/>
      <c r="C62" s="138"/>
      <c r="D62" s="138"/>
      <c r="E62" s="138"/>
      <c r="F62" s="138"/>
      <c r="G62" s="138"/>
      <c r="H62" s="138"/>
      <c r="I62" s="138"/>
      <c r="J62" s="138"/>
      <c r="K62" s="138"/>
      <c r="N62" s="3576"/>
      <c r="O62" s="3578"/>
      <c r="Q62" s="92"/>
      <c r="R62" s="869"/>
      <c r="Z62" s="1719" t="s">
        <v>6462</v>
      </c>
      <c r="AA62" s="1721">
        <v>62</v>
      </c>
    </row>
    <row r="63" spans="1:27" ht="13.35" customHeight="1">
      <c r="A63" s="341" t="s">
        <v>1095</v>
      </c>
      <c r="B63" s="178">
        <f>+K31</f>
        <v>-3750</v>
      </c>
      <c r="C63" s="178">
        <f t="shared" ref="C63:K63" si="24">+B63</f>
        <v>-3750</v>
      </c>
      <c r="D63" s="178">
        <f t="shared" si="24"/>
        <v>-3750</v>
      </c>
      <c r="E63" s="178">
        <f t="shared" si="24"/>
        <v>-3750</v>
      </c>
      <c r="F63" s="178">
        <f t="shared" si="24"/>
        <v>-3750</v>
      </c>
      <c r="G63" s="178">
        <f t="shared" si="24"/>
        <v>-3750</v>
      </c>
      <c r="H63" s="178">
        <f t="shared" si="24"/>
        <v>-3750</v>
      </c>
      <c r="I63" s="178">
        <f t="shared" si="24"/>
        <v>-3750</v>
      </c>
      <c r="J63" s="178">
        <f t="shared" si="24"/>
        <v>-3750</v>
      </c>
      <c r="K63" s="178">
        <f t="shared" si="24"/>
        <v>-3750</v>
      </c>
      <c r="N63" s="3576"/>
      <c r="O63" s="3578"/>
      <c r="Z63" s="1719" t="s">
        <v>6462</v>
      </c>
      <c r="AA63" s="1721">
        <v>63</v>
      </c>
    </row>
    <row r="64" spans="1:27" ht="13.35" customHeight="1">
      <c r="A64" s="341" t="s">
        <v>3362</v>
      </c>
      <c r="B64" s="179">
        <v>-2970</v>
      </c>
      <c r="C64" s="179">
        <v>-2751</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76"/>
      <c r="O64" s="3578"/>
      <c r="Z64" s="1719" t="s">
        <v>6462</v>
      </c>
      <c r="AA64" s="1721">
        <v>64</v>
      </c>
    </row>
    <row r="65" spans="1:27" ht="13.35" customHeight="1">
      <c r="A65" s="17" t="s">
        <v>1096</v>
      </c>
      <c r="B65" s="18">
        <f t="shared" ref="B65:K65" si="25">SUM(B57:B64)</f>
        <v>7314.0565218980191</v>
      </c>
      <c r="C65" s="18">
        <f t="shared" si="25"/>
        <v>6350.6327142611844</v>
      </c>
      <c r="D65" s="18">
        <f t="shared" si="25"/>
        <v>7819.7470209578023</v>
      </c>
      <c r="E65" s="18">
        <f t="shared" si="25"/>
        <v>6431.4564019890386</v>
      </c>
      <c r="F65" s="18">
        <f t="shared" si="25"/>
        <v>4934.703342487679</v>
      </c>
      <c r="G65" s="18">
        <f t="shared" si="25"/>
        <v>3322.3118947982439</v>
      </c>
      <c r="H65" s="18">
        <f t="shared" si="25"/>
        <v>1590.9835913474963</v>
      </c>
      <c r="I65" s="18">
        <f t="shared" si="25"/>
        <v>-263.7067757845507</v>
      </c>
      <c r="J65" s="18">
        <f t="shared" si="25"/>
        <v>-2248.3155127995851</v>
      </c>
      <c r="K65" s="497">
        <f t="shared" si="25"/>
        <v>-4368.534523971517</v>
      </c>
      <c r="N65" s="3576"/>
      <c r="O65" s="3578"/>
      <c r="Z65" s="1719" t="s">
        <v>6462</v>
      </c>
      <c r="AA65" s="1721">
        <v>65</v>
      </c>
    </row>
    <row r="66" spans="1:27" ht="13.35" customHeight="1">
      <c r="A66" s="17" t="str">
        <f>$A34</f>
        <v>DCR Mortgage A</v>
      </c>
      <c r="B66" s="20">
        <f t="shared" ref="B66:K66" si="26">IF(B58=0,"",-B57/B58)</f>
        <v>1.252058528670799</v>
      </c>
      <c r="C66" s="20">
        <f t="shared" si="26"/>
        <v>1.2308216179633911</v>
      </c>
      <c r="D66" s="20">
        <f t="shared" si="26"/>
        <v>1.2077983230754139</v>
      </c>
      <c r="E66" s="20">
        <f t="shared" si="26"/>
        <v>1.1828639436079573</v>
      </c>
      <c r="F66" s="20">
        <f t="shared" si="26"/>
        <v>1.1559815255862858</v>
      </c>
      <c r="G66" s="20">
        <f t="shared" si="26"/>
        <v>1.127022185475903</v>
      </c>
      <c r="H66" s="20">
        <f t="shared" si="26"/>
        <v>1.0959266811836852</v>
      </c>
      <c r="I66" s="20">
        <f t="shared" si="26"/>
        <v>1.062615533808031</v>
      </c>
      <c r="J66" s="20">
        <f t="shared" si="26"/>
        <v>1.0269709888784393</v>
      </c>
      <c r="K66" s="21">
        <f t="shared" si="26"/>
        <v>0.98889081700639547</v>
      </c>
      <c r="N66" s="3576"/>
      <c r="O66" s="3578"/>
      <c r="Z66" s="1719" t="s">
        <v>6462</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76"/>
      <c r="O67" s="3578"/>
      <c r="Z67" s="1719" t="s">
        <v>6462</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76"/>
      <c r="O68" s="3578"/>
      <c r="Z68" s="1719" t="s">
        <v>6462</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76"/>
      <c r="O69" s="3578"/>
      <c r="Z69" s="1719" t="s">
        <v>6462</v>
      </c>
      <c r="AA69" s="1721">
        <v>69</v>
      </c>
    </row>
    <row r="70" spans="1:27" ht="13.35" customHeight="1">
      <c r="A70" s="341" t="s">
        <v>3213</v>
      </c>
      <c r="B70" s="20">
        <f t="shared" ref="B70:K70" si="30">IF(AND(B58=0,B59=0,B60=0,B61=0),"",-B57/(B58+B59+B60+B61))</f>
        <v>1.252058528670799</v>
      </c>
      <c r="C70" s="20">
        <f t="shared" si="30"/>
        <v>1.2308216179633911</v>
      </c>
      <c r="D70" s="20">
        <f t="shared" si="30"/>
        <v>1.2077983230754139</v>
      </c>
      <c r="E70" s="20">
        <f t="shared" si="30"/>
        <v>1.1828639436079573</v>
      </c>
      <c r="F70" s="20">
        <f t="shared" si="30"/>
        <v>1.1559815255862858</v>
      </c>
      <c r="G70" s="20">
        <f t="shared" si="30"/>
        <v>1.127022185475903</v>
      </c>
      <c r="H70" s="20">
        <f t="shared" si="30"/>
        <v>1.0959266811836852</v>
      </c>
      <c r="I70" s="20">
        <f t="shared" si="30"/>
        <v>1.062615533808031</v>
      </c>
      <c r="J70" s="20">
        <f t="shared" si="30"/>
        <v>1.0269709888784393</v>
      </c>
      <c r="K70" s="21">
        <f t="shared" si="30"/>
        <v>0.98889081700639547</v>
      </c>
      <c r="N70" s="3576"/>
      <c r="O70" s="3578"/>
      <c r="Z70" s="1719" t="s">
        <v>6462</v>
      </c>
      <c r="AA70" s="1721">
        <v>70</v>
      </c>
    </row>
    <row r="71" spans="1:27" ht="13.35" customHeight="1">
      <c r="A71" s="17" t="s">
        <v>718</v>
      </c>
      <c r="B71" s="220">
        <f t="shared" ref="B71:K71" si="31">IF(OR(B54="Choose mgt fee",B54="Choose One!"),"",(B47+B48+B49+B50+B51) / -(B53+B54+B55))</f>
        <v>1.2706372169541904</v>
      </c>
      <c r="C71" s="220">
        <f t="shared" si="31"/>
        <v>1.2582970442682526</v>
      </c>
      <c r="D71" s="220">
        <f t="shared" si="31"/>
        <v>1.2460835320255836</v>
      </c>
      <c r="E71" s="220">
        <f t="shared" si="31"/>
        <v>1.2339833100945625</v>
      </c>
      <c r="F71" s="220">
        <f t="shared" si="31"/>
        <v>1.2220060930585872</v>
      </c>
      <c r="G71" s="220">
        <f t="shared" si="31"/>
        <v>1.2101398894220612</v>
      </c>
      <c r="H71" s="220">
        <f t="shared" si="31"/>
        <v>1.1983901012652538</v>
      </c>
      <c r="I71" s="220">
        <f t="shared" si="31"/>
        <v>1.1867576059676137</v>
      </c>
      <c r="J71" s="220">
        <f t="shared" si="31"/>
        <v>1.1752359395824317</v>
      </c>
      <c r="K71" s="221">
        <f t="shared" si="31"/>
        <v>1.1638230770129796</v>
      </c>
      <c r="N71" s="3576"/>
      <c r="O71" s="3578"/>
      <c r="Z71" s="1719" t="s">
        <v>6462</v>
      </c>
      <c r="AA71" s="1721">
        <v>71</v>
      </c>
    </row>
    <row r="72" spans="1:27" ht="13.35" customHeight="1">
      <c r="A72" s="341" t="s">
        <v>2405</v>
      </c>
      <c r="B72" s="177">
        <f>IF('Part II-Sources of Funds'!$I$40="","",-FV('Part II-Sources of Funds'!$K$40/12,12,B58/12,K40))</f>
        <v>707736.48202124855</v>
      </c>
      <c r="C72" s="177">
        <f>IF('Part II-Sources of Funds'!$I$40="","",-FV('Part II-Sources of Funds'!$K$40/12,12,C58/12,B72))</f>
        <v>699581.70304763748</v>
      </c>
      <c r="D72" s="177">
        <f>IF('Part II-Sources of Funds'!$I$40="","",-FV('Part II-Sources of Funds'!$K$40/12,12,D58/12,C72))</f>
        <v>690859.12364089477</v>
      </c>
      <c r="E72" s="177">
        <f>IF('Part II-Sources of Funds'!$I$40="","",-FV('Part II-Sources of Funds'!$K$40/12,12,E58/12,D72))</f>
        <v>681529.20902847673</v>
      </c>
      <c r="F72" s="177">
        <f>IF('Part II-Sources of Funds'!$I$40="","",-FV('Part II-Sources of Funds'!$K$40/12,12,F58/12,E72))</f>
        <v>671549.67171320494</v>
      </c>
      <c r="G72" s="177">
        <f>IF('Part II-Sources of Funds'!$I$40="","",-FV('Part II-Sources of Funds'!$K$40/12,12,G58/12,F72))</f>
        <v>660875.27980672941</v>
      </c>
      <c r="H72" s="177">
        <f>IF('Part II-Sources of Funds'!$I$40="","",-FV('Part II-Sources of Funds'!$K$40/12,12,H58/12,G72))</f>
        <v>649457.65201764717</v>
      </c>
      <c r="I72" s="177">
        <f>IF('Part II-Sources of Funds'!$I$40="","",-FV('Part II-Sources of Funds'!$K$40/12,12,I58/12,H72))</f>
        <v>637245.03836506617</v>
      </c>
      <c r="J72" s="177">
        <f>IF('Part II-Sources of Funds'!$I$40="","",-FV('Part II-Sources of Funds'!$K$40/12,12,J58/12,I72))</f>
        <v>624182.08562370727</v>
      </c>
      <c r="K72" s="177">
        <f>IF('Part II-Sources of Funds'!$I$40="","",-FV('Part II-Sources of Funds'!$K$40/12,12,K58/12,J72))</f>
        <v>610209.58643743244</v>
      </c>
      <c r="N72" s="3576"/>
      <c r="O72" s="3578"/>
      <c r="Z72" s="1719" t="s">
        <v>6462</v>
      </c>
      <c r="AA72" s="1721">
        <v>72</v>
      </c>
    </row>
    <row r="73" spans="1:27" ht="13.35" customHeight="1">
      <c r="A73" s="341" t="s">
        <v>2406</v>
      </c>
      <c r="B73" s="178">
        <f>IF('Part II-Sources of Funds'!$I$41="","",-FV('Part II-Sources of Funds'!$K$41/12,12,B59/12,K41))</f>
        <v>1148326.2753267922</v>
      </c>
      <c r="C73" s="178">
        <f>IF('Part II-Sources of Funds'!$I$41="","",-FV('Part II-Sources of Funds'!$K$41/12,12,C59/12,B73))</f>
        <v>1159862.3161744468</v>
      </c>
      <c r="D73" s="178">
        <f>IF('Part II-Sources of Funds'!$I$41="","",-FV('Part II-Sources of Funds'!$K$41/12,12,D59/12,C73))</f>
        <v>1171514.24763725</v>
      </c>
      <c r="E73" s="178">
        <f>IF('Part II-Sources of Funds'!$I$41="","",-FV('Part II-Sources of Funds'!$K$41/12,12,E59/12,D73))</f>
        <v>1183283.2339477886</v>
      </c>
      <c r="F73" s="178">
        <f>IF('Part II-Sources of Funds'!$I$41="","",-FV('Part II-Sources of Funds'!$K$41/12,12,F59/12,E73))</f>
        <v>1195170.4510344847</v>
      </c>
      <c r="G73" s="178">
        <f>IF('Part II-Sources of Funds'!$I$41="","",-FV('Part II-Sources of Funds'!$K$41/12,12,G59/12,F73))</f>
        <v>1207177.0866390911</v>
      </c>
      <c r="H73" s="178">
        <f>IF('Part II-Sources of Funds'!$I$41="","",-FV('Part II-Sources of Funds'!$K$41/12,12,H59/12,G73))</f>
        <v>1219304.340435368</v>
      </c>
      <c r="I73" s="178">
        <f>IF('Part II-Sources of Funds'!$I$41="","",-FV('Part II-Sources of Funds'!$K$41/12,12,I59/12,H73))</f>
        <v>1231553.4241489512</v>
      </c>
      <c r="J73" s="178">
        <f>IF('Part II-Sources of Funds'!$I$41="","",-FV('Part II-Sources of Funds'!$K$41/12,12,J59/12,I73))</f>
        <v>1243925.5616784249</v>
      </c>
      <c r="K73" s="178">
        <f>IF('Part II-Sources of Funds'!$I$41="","",-FV('Part II-Sources of Funds'!$K$41/12,12,K59/12,J73))</f>
        <v>1256421.9892176106</v>
      </c>
      <c r="N73" s="3576"/>
      <c r="O73" s="3578"/>
      <c r="Z73" s="1719" t="s">
        <v>6462</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76"/>
      <c r="O74" s="3578"/>
      <c r="Z74" s="1719" t="s">
        <v>6462</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6"/>
      <c r="O75" s="3578"/>
      <c r="Z75" s="1719" t="s">
        <v>6462</v>
      </c>
      <c r="AA75" s="1721">
        <v>75</v>
      </c>
    </row>
    <row r="76" spans="1:27" ht="13.35" customHeight="1">
      <c r="A76" s="341" t="s">
        <v>3363</v>
      </c>
      <c r="B76" s="179">
        <f>IF('Part II-Sources of Funds'!$I$45="","",IF(-FV('Part II-Sources of Funds'!$K$45/12,12,B64/12,K44)&gt;0,-FV('Part II-Sources of Funds'!$K$45/12,12,B64/12,K44),0))</f>
        <v>2751</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82"/>
      <c r="O76" s="3584"/>
      <c r="Z76" s="1719" t="s">
        <v>6462</v>
      </c>
      <c r="AA76" s="1721">
        <v>76</v>
      </c>
    </row>
    <row r="77" spans="1:27" ht="4.3499999999999996" customHeight="1">
      <c r="B77" s="13"/>
      <c r="C77" s="13"/>
      <c r="D77" s="13"/>
      <c r="E77" s="13"/>
      <c r="F77" s="13"/>
      <c r="G77" s="13"/>
      <c r="H77" s="13"/>
      <c r="I77" s="13"/>
      <c r="J77" s="13"/>
      <c r="K77" s="13"/>
      <c r="AA77" s="1721">
        <v>77</v>
      </c>
    </row>
    <row r="78" spans="1:27" ht="14.7"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64" t="s">
        <v>2410</v>
      </c>
      <c r="O78" s="3264"/>
      <c r="AA78" s="1721">
        <v>78</v>
      </c>
    </row>
    <row r="79" spans="1:27" ht="13.35" customHeight="1">
      <c r="A79" s="14" t="s">
        <v>2215</v>
      </c>
      <c r="B79" s="15">
        <f t="shared" ref="B79:K79" si="33">$B$15*(1+$B$6)^(B78-1)</f>
        <v>418644.87555335759</v>
      </c>
      <c r="C79" s="15">
        <f t="shared" si="33"/>
        <v>427017.77306442475</v>
      </c>
      <c r="D79" s="15">
        <f t="shared" si="33"/>
        <v>435558.12852571323</v>
      </c>
      <c r="E79" s="15">
        <f t="shared" si="33"/>
        <v>444269.29109622742</v>
      </c>
      <c r="F79" s="15">
        <f t="shared" si="33"/>
        <v>453154.67691815202</v>
      </c>
      <c r="G79" s="15">
        <f t="shared" si="33"/>
        <v>462217.77045651502</v>
      </c>
      <c r="H79" s="15">
        <f t="shared" si="33"/>
        <v>471462.12586564542</v>
      </c>
      <c r="I79" s="15">
        <f t="shared" si="33"/>
        <v>480891.36838295823</v>
      </c>
      <c r="J79" s="15">
        <f t="shared" si="33"/>
        <v>490509.19575061748</v>
      </c>
      <c r="K79" s="16">
        <f t="shared" si="33"/>
        <v>500319.37966562976</v>
      </c>
      <c r="N79" s="3598"/>
      <c r="O79" s="3600"/>
      <c r="Z79" s="1719" t="s">
        <v>6463</v>
      </c>
      <c r="AA79" s="1721">
        <v>79</v>
      </c>
    </row>
    <row r="80" spans="1:27" ht="13.35" customHeight="1">
      <c r="A80" s="17" t="s">
        <v>952</v>
      </c>
      <c r="B80" s="18">
        <f t="shared" ref="B80:K80" si="34">$B$16*(1+$B$6)^(B78-1)</f>
        <v>1325.465077212692</v>
      </c>
      <c r="C80" s="18">
        <f t="shared" si="34"/>
        <v>1351.9743787569457</v>
      </c>
      <c r="D80" s="18">
        <f t="shared" si="34"/>
        <v>1379.0138663320847</v>
      </c>
      <c r="E80" s="18">
        <f t="shared" si="34"/>
        <v>1406.5941436587261</v>
      </c>
      <c r="F80" s="18">
        <f t="shared" si="34"/>
        <v>1434.7260265319007</v>
      </c>
      <c r="G80" s="18">
        <f t="shared" si="34"/>
        <v>1463.4205470625388</v>
      </c>
      <c r="H80" s="18">
        <f t="shared" si="34"/>
        <v>1492.6889580037896</v>
      </c>
      <c r="I80" s="18">
        <f t="shared" si="34"/>
        <v>1522.5427371638652</v>
      </c>
      <c r="J80" s="18">
        <f t="shared" si="34"/>
        <v>1552.9935919071429</v>
      </c>
      <c r="K80" s="19">
        <f t="shared" si="34"/>
        <v>1584.0534637452854</v>
      </c>
      <c r="N80" s="3576"/>
      <c r="O80" s="3578"/>
      <c r="Z80" s="1719" t="s">
        <v>6463</v>
      </c>
      <c r="AA80" s="1721">
        <v>80</v>
      </c>
    </row>
    <row r="81" spans="1:27" ht="13.35" customHeight="1">
      <c r="A81" s="17" t="s">
        <v>2216</v>
      </c>
      <c r="B81" s="18">
        <f t="shared" ref="B81:K81" si="35">-(B79+B80)*$B$9</f>
        <v>-20998.517031528518</v>
      </c>
      <c r="C81" s="18">
        <f t="shared" si="35"/>
        <v>-21418.487372159085</v>
      </c>
      <c r="D81" s="18">
        <f t="shared" si="35"/>
        <v>-21846.857119602268</v>
      </c>
      <c r="E81" s="18">
        <f t="shared" si="35"/>
        <v>-22283.794261994306</v>
      </c>
      <c r="F81" s="18">
        <f t="shared" si="35"/>
        <v>-22729.470147234199</v>
      </c>
      <c r="G81" s="18">
        <f t="shared" si="35"/>
        <v>-23184.059550178878</v>
      </c>
      <c r="H81" s="18">
        <f t="shared" si="35"/>
        <v>-23647.740741182461</v>
      </c>
      <c r="I81" s="18">
        <f t="shared" si="35"/>
        <v>-24120.695556006103</v>
      </c>
      <c r="J81" s="18">
        <f t="shared" si="35"/>
        <v>-24603.109467126233</v>
      </c>
      <c r="K81" s="19">
        <f t="shared" si="35"/>
        <v>-25095.171656468752</v>
      </c>
      <c r="N81" s="3576"/>
      <c r="O81" s="3578"/>
      <c r="Z81" s="1719" t="s">
        <v>6463</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6"/>
      <c r="O82" s="3578"/>
      <c r="Z82" s="1719" t="s">
        <v>6463</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6"/>
      <c r="O83" s="3578"/>
      <c r="Z83" s="1719" t="s">
        <v>6463</v>
      </c>
      <c r="AA83" s="1721">
        <v>83</v>
      </c>
    </row>
    <row r="84" spans="1:27" ht="13.35" customHeight="1">
      <c r="A84" s="341" t="s">
        <v>3838</v>
      </c>
      <c r="B84" s="18">
        <f t="shared" ref="B84:K84" si="36">SUM(B79:B83)</f>
        <v>398971.82359904179</v>
      </c>
      <c r="C84" s="18">
        <f t="shared" si="36"/>
        <v>406951.26007102261</v>
      </c>
      <c r="D84" s="18">
        <f t="shared" si="36"/>
        <v>415090.28527244303</v>
      </c>
      <c r="E84" s="18">
        <f t="shared" si="36"/>
        <v>423392.09097789181</v>
      </c>
      <c r="F84" s="18">
        <f t="shared" si="36"/>
        <v>431859.9327974497</v>
      </c>
      <c r="G84" s="18">
        <f t="shared" si="36"/>
        <v>440497.13145339867</v>
      </c>
      <c r="H84" s="18">
        <f t="shared" si="36"/>
        <v>449307.07408246672</v>
      </c>
      <c r="I84" s="18">
        <f t="shared" si="36"/>
        <v>458293.21556411596</v>
      </c>
      <c r="J84" s="18">
        <f t="shared" si="36"/>
        <v>467459.07987539837</v>
      </c>
      <c r="K84" s="19">
        <f t="shared" si="36"/>
        <v>476808.26147290628</v>
      </c>
      <c r="N84" s="3576"/>
      <c r="O84" s="3578"/>
      <c r="Z84" s="1719" t="s">
        <v>6463</v>
      </c>
      <c r="AA84" s="1721">
        <v>84</v>
      </c>
    </row>
    <row r="85" spans="1:27" ht="13.35" customHeight="1">
      <c r="A85" s="17" t="s">
        <v>572</v>
      </c>
      <c r="B85" s="18">
        <f t="shared" ref="B85:K85" si="37">$B$21*(1+$B$7)^(B78-1)</f>
        <v>-233470.58097201106</v>
      </c>
      <c r="C85" s="18">
        <f t="shared" si="37"/>
        <v>-240474.69840117134</v>
      </c>
      <c r="D85" s="18">
        <f t="shared" si="37"/>
        <v>-247688.93935320652</v>
      </c>
      <c r="E85" s="18">
        <f t="shared" si="37"/>
        <v>-255119.60753380271</v>
      </c>
      <c r="F85" s="18">
        <f t="shared" si="37"/>
        <v>-262773.19575981674</v>
      </c>
      <c r="G85" s="18">
        <f t="shared" si="37"/>
        <v>-270656.39163261128</v>
      </c>
      <c r="H85" s="18">
        <f t="shared" si="37"/>
        <v>-278776.08338158962</v>
      </c>
      <c r="I85" s="18">
        <f t="shared" si="37"/>
        <v>-287139.36588303727</v>
      </c>
      <c r="J85" s="18">
        <f t="shared" si="37"/>
        <v>-295753.5468595284</v>
      </c>
      <c r="K85" s="19">
        <f t="shared" si="37"/>
        <v>-304626.15326531423</v>
      </c>
      <c r="N85" s="3576"/>
      <c r="O85" s="3578"/>
      <c r="Z85" s="1719" t="s">
        <v>6463</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-69355</v>
      </c>
      <c r="C86" s="18">
        <f>IF(AND('Part VI-Pro Forma'!$G$9="Yes",'Part VI-Pro Forma'!$G$10="Yes"),"Choose One!",IF('Part VI-Pro Forma'!$G$9="Yes",ROUND((-$K$9*(1+'Part VI-Pro Forma'!$B$7)^('Part VI-Pro Forma'!C78-1)),),IF('Part VI-Pro Forma'!$G$10="Yes",ROUND((-(SUM(C79:C82)*'Part VI-Pro Forma'!$K$10)),),"Choose mgt fee")))</f>
        <v>-71435</v>
      </c>
      <c r="D86" s="18">
        <f>IF(AND('Part VI-Pro Forma'!$G$9="Yes",'Part VI-Pro Forma'!$G$10="Yes"),"Choose One!",IF('Part VI-Pro Forma'!$G$9="Yes",ROUND((-$K$9*(1+'Part VI-Pro Forma'!$B$7)^('Part VI-Pro Forma'!D78-1)),),IF('Part VI-Pro Forma'!$G$10="Yes",ROUND((-(SUM(D79:D82)*'Part VI-Pro Forma'!$K$10)),),"Choose mgt fee")))</f>
        <v>-73578</v>
      </c>
      <c r="E86" s="18">
        <f>IF(AND('Part VI-Pro Forma'!$G$9="Yes",'Part VI-Pro Forma'!$G$10="Yes"),"Choose One!",IF('Part VI-Pro Forma'!$G$9="Yes",ROUND((-$K$9*(1+'Part VI-Pro Forma'!$B$7)^('Part VI-Pro Forma'!E78-1)),),IF('Part VI-Pro Forma'!$G$10="Yes",ROUND((-(SUM(E79:E82)*'Part VI-Pro Forma'!$K$10)),),"Choose mgt fee")))</f>
        <v>-75786</v>
      </c>
      <c r="F86" s="18">
        <f>IF(AND('Part VI-Pro Forma'!$G$9="Yes",'Part VI-Pro Forma'!$G$10="Yes"),"Choose One!",IF('Part VI-Pro Forma'!$G$9="Yes",ROUND((-$K$9*(1+'Part VI-Pro Forma'!$B$7)^('Part VI-Pro Forma'!F78-1)),),IF('Part VI-Pro Forma'!$G$10="Yes",ROUND((-(SUM(F79:F82)*'Part VI-Pro Forma'!$K$10)),),"Choose mgt fee")))</f>
        <v>-78059</v>
      </c>
      <c r="G86" s="18">
        <f>IF(AND('Part VI-Pro Forma'!$G$9="Yes",'Part VI-Pro Forma'!$G$10="Yes"),"Choose One!",IF('Part VI-Pro Forma'!$G$9="Yes",ROUND((-$K$9*(1+'Part VI-Pro Forma'!$B$7)^('Part VI-Pro Forma'!G78-1)),),IF('Part VI-Pro Forma'!$G$10="Yes",ROUND((-(SUM(G79:G82)*'Part VI-Pro Forma'!$K$10)),),"Choose mgt fee")))</f>
        <v>-80401</v>
      </c>
      <c r="H86" s="18">
        <f>IF(AND('Part VI-Pro Forma'!$G$9="Yes",'Part VI-Pro Forma'!$G$10="Yes"),"Choose One!",IF('Part VI-Pro Forma'!$G$9="Yes",ROUND((-$K$9*(1+'Part VI-Pro Forma'!$B$7)^('Part VI-Pro Forma'!H78-1)),),IF('Part VI-Pro Forma'!$G$10="Yes",ROUND((-(SUM(H79:H82)*'Part VI-Pro Forma'!$K$10)),),"Choose mgt fee")))</f>
        <v>-82813</v>
      </c>
      <c r="I86" s="18">
        <f>IF(AND('Part VI-Pro Forma'!$G$9="Yes",'Part VI-Pro Forma'!$G$10="Yes"),"Choose One!",IF('Part VI-Pro Forma'!$G$9="Yes",ROUND((-$K$9*(1+'Part VI-Pro Forma'!$B$7)^('Part VI-Pro Forma'!I78-1)),),IF('Part VI-Pro Forma'!$G$10="Yes",ROUND((-(SUM(I79:I82)*'Part VI-Pro Forma'!$K$10)),),"Choose mgt fee")))</f>
        <v>-85297</v>
      </c>
      <c r="J86" s="18">
        <f>IF(AND('Part VI-Pro Forma'!$G$9="Yes",'Part VI-Pro Forma'!$G$10="Yes"),"Choose One!",IF('Part VI-Pro Forma'!$G$9="Yes",ROUND((-$K$9*(1+'Part VI-Pro Forma'!$B$7)^('Part VI-Pro Forma'!J78-1)),),IF('Part VI-Pro Forma'!$G$10="Yes",ROUND((-(SUM(J79:J82)*'Part VI-Pro Forma'!$K$10)),),"Choose mgt fee")))</f>
        <v>-87856</v>
      </c>
      <c r="K86" s="19">
        <f>IF(AND('Part VI-Pro Forma'!$G$9="Yes",'Part VI-Pro Forma'!$G$10="Yes"),"Choose One!",IF('Part VI-Pro Forma'!$G$9="Yes",ROUND((-$K$9*(1+'Part VI-Pro Forma'!$B$7)^('Part VI-Pro Forma'!K78-1)),),IF('Part VI-Pro Forma'!$G$10="Yes",ROUND((-(SUM(K79:K82)*'Part VI-Pro Forma'!$K$10)),),"Choose mgt fee")))</f>
        <v>-90492</v>
      </c>
      <c r="N86" s="3576"/>
      <c r="O86" s="3578"/>
      <c r="Z86" s="1719" t="s">
        <v>6463</v>
      </c>
      <c r="AA86" s="1721">
        <v>86</v>
      </c>
    </row>
    <row r="87" spans="1:27" ht="13.35" customHeight="1">
      <c r="A87" s="17" t="s">
        <v>1128</v>
      </c>
      <c r="B87" s="18">
        <f t="shared" ref="B87:K87" si="38">$B$23*(1+$B$8)^(B78-1)</f>
        <v>-43346.669632065918</v>
      </c>
      <c r="C87" s="18">
        <f t="shared" si="38"/>
        <v>-44647.069721027889</v>
      </c>
      <c r="D87" s="18">
        <f t="shared" si="38"/>
        <v>-45986.481812658734</v>
      </c>
      <c r="E87" s="18">
        <f t="shared" si="38"/>
        <v>-47366.076267038494</v>
      </c>
      <c r="F87" s="18">
        <f t="shared" si="38"/>
        <v>-48787.058555049647</v>
      </c>
      <c r="G87" s="18">
        <f t="shared" si="38"/>
        <v>-50250.670311701135</v>
      </c>
      <c r="H87" s="18">
        <f t="shared" si="38"/>
        <v>-51758.190421052175</v>
      </c>
      <c r="I87" s="18">
        <f t="shared" si="38"/>
        <v>-53310.936133683732</v>
      </c>
      <c r="J87" s="18">
        <f t="shared" si="38"/>
        <v>-54910.264217694246</v>
      </c>
      <c r="K87" s="19">
        <f t="shared" si="38"/>
        <v>-56557.572144225065</v>
      </c>
      <c r="N87" s="3576"/>
      <c r="O87" s="3578"/>
      <c r="Q87" s="92"/>
      <c r="R87" s="869"/>
      <c r="S87" s="869"/>
      <c r="Z87" s="1719" t="s">
        <v>6463</v>
      </c>
      <c r="AA87" s="1721">
        <v>87</v>
      </c>
    </row>
    <row r="88" spans="1:27" ht="13.35" customHeight="1">
      <c r="A88" s="341" t="s">
        <v>3837</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76"/>
      <c r="O88" s="3578"/>
      <c r="Z88" s="1719" t="s">
        <v>6463</v>
      </c>
      <c r="AA88" s="1721">
        <v>88</v>
      </c>
    </row>
    <row r="89" spans="1:27" ht="13.35" customHeight="1">
      <c r="A89" s="17" t="s">
        <v>1129</v>
      </c>
      <c r="B89" s="18">
        <f t="shared" ref="B89:K89" si="39">SUM(B84:B88)</f>
        <v>52799.572994964816</v>
      </c>
      <c r="C89" s="18">
        <f t="shared" si="39"/>
        <v>50394.491948823386</v>
      </c>
      <c r="D89" s="18">
        <f t="shared" si="39"/>
        <v>47836.864106577777</v>
      </c>
      <c r="E89" s="18">
        <f t="shared" si="39"/>
        <v>45120.407177050605</v>
      </c>
      <c r="F89" s="18">
        <f t="shared" si="39"/>
        <v>42240.678482583317</v>
      </c>
      <c r="G89" s="18">
        <f t="shared" si="39"/>
        <v>39189.069509086257</v>
      </c>
      <c r="H89" s="18">
        <f t="shared" si="39"/>
        <v>35959.800279824922</v>
      </c>
      <c r="I89" s="18">
        <f t="shared" si="39"/>
        <v>32545.913547394957</v>
      </c>
      <c r="J89" s="18">
        <f t="shared" si="39"/>
        <v>28939.268798175719</v>
      </c>
      <c r="K89" s="1215">
        <f t="shared" si="39"/>
        <v>25132.536063366977</v>
      </c>
      <c r="N89" s="3576"/>
      <c r="O89" s="3578"/>
      <c r="Z89" s="1719" t="s">
        <v>6463</v>
      </c>
      <c r="AA89" s="1721">
        <v>89</v>
      </c>
    </row>
    <row r="90" spans="1:27" ht="13.35" customHeight="1">
      <c r="A90" s="17" t="str">
        <f>$A58</f>
        <v>Mortgage A</v>
      </c>
      <c r="B90" s="342">
        <f>IF('Part II-Sources of Funds'!$P$40="", 0,-'Part II-Sources of Funds'!$P$40)</f>
        <v>-55677.768952730781</v>
      </c>
      <c r="C90" s="342">
        <f>IF('Part II-Sources of Funds'!$P$40="", 0,-'Part II-Sources of Funds'!$P$40)</f>
        <v>-55677.768952730781</v>
      </c>
      <c r="D90" s="342">
        <f>IF('Part II-Sources of Funds'!$P$40="", 0,-'Part II-Sources of Funds'!$P$40)</f>
        <v>-55677.768952730781</v>
      </c>
      <c r="E90" s="342">
        <f>IF('Part II-Sources of Funds'!$P$40="", 0,-'Part II-Sources of Funds'!$P$40)</f>
        <v>-55677.768952730781</v>
      </c>
      <c r="F90" s="342">
        <f>IF('Part II-Sources of Funds'!$P$40="", 0,-'Part II-Sources of Funds'!$P$40)</f>
        <v>-55677.768952730781</v>
      </c>
      <c r="G90" s="342">
        <f>IF('Part II-Sources of Funds'!$P$40="", 0,-'Part II-Sources of Funds'!$P$40)</f>
        <v>-55677.768952730781</v>
      </c>
      <c r="H90" s="342">
        <f>IF('Part II-Sources of Funds'!$P$40="", 0,-'Part II-Sources of Funds'!$P$40)</f>
        <v>-55677.768952730781</v>
      </c>
      <c r="I90" s="342">
        <f>IF('Part II-Sources of Funds'!$P$40="", 0,-'Part II-Sources of Funds'!$P$40)</f>
        <v>-55677.768952730781</v>
      </c>
      <c r="J90" s="342">
        <f>IF('Part II-Sources of Funds'!$P$40="", 0,-'Part II-Sources of Funds'!$P$40)</f>
        <v>-55677.768952730781</v>
      </c>
      <c r="K90" s="342">
        <f>IF('Part II-Sources of Funds'!$P$40="", 0,-'Part II-Sources of Funds'!$P$40)</f>
        <v>-55677.768952730781</v>
      </c>
      <c r="N90" s="3576"/>
      <c r="O90" s="3578"/>
      <c r="Z90" s="1719" t="s">
        <v>6463</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76"/>
      <c r="O91" s="3578"/>
      <c r="Z91" s="1719" t="s">
        <v>6463</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76"/>
      <c r="O92" s="3578"/>
      <c r="Z92" s="1719" t="s">
        <v>6463</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6"/>
      <c r="O93" s="3578"/>
      <c r="Z93" s="1719" t="s">
        <v>6463</v>
      </c>
      <c r="AA93" s="1721">
        <v>93</v>
      </c>
    </row>
    <row r="94" spans="1:27" ht="13.35" customHeight="1">
      <c r="A94" s="17" t="s">
        <v>711</v>
      </c>
      <c r="B94" s="138"/>
      <c r="C94" s="138"/>
      <c r="D94" s="138"/>
      <c r="E94" s="138"/>
      <c r="F94" s="138"/>
      <c r="G94" s="138"/>
      <c r="H94" s="138"/>
      <c r="I94" s="138"/>
      <c r="J94" s="138"/>
      <c r="K94" s="138"/>
      <c r="N94" s="3576"/>
      <c r="O94" s="3578"/>
      <c r="Z94" s="1719" t="s">
        <v>6463</v>
      </c>
      <c r="AA94" s="1721">
        <v>94</v>
      </c>
    </row>
    <row r="95" spans="1:27" ht="13.35" customHeight="1">
      <c r="A95" s="341" t="s">
        <v>1095</v>
      </c>
      <c r="B95" s="179">
        <f>+K63</f>
        <v>-3750</v>
      </c>
      <c r="C95" s="179">
        <f t="shared" ref="C95:K95" si="40">+B95</f>
        <v>-3750</v>
      </c>
      <c r="D95" s="179">
        <f t="shared" si="40"/>
        <v>-3750</v>
      </c>
      <c r="E95" s="179">
        <f t="shared" si="40"/>
        <v>-3750</v>
      </c>
      <c r="F95" s="179">
        <f t="shared" si="40"/>
        <v>-3750</v>
      </c>
      <c r="G95" s="179">
        <f t="shared" si="40"/>
        <v>-3750</v>
      </c>
      <c r="H95" s="179">
        <f t="shared" si="40"/>
        <v>-3750</v>
      </c>
      <c r="I95" s="179">
        <f t="shared" si="40"/>
        <v>-3750</v>
      </c>
      <c r="J95" s="179">
        <f t="shared" si="40"/>
        <v>-3750</v>
      </c>
      <c r="K95" s="179">
        <f t="shared" si="40"/>
        <v>-3750</v>
      </c>
      <c r="N95" s="3576"/>
      <c r="O95" s="3578"/>
      <c r="Z95" s="1719" t="s">
        <v>6463</v>
      </c>
      <c r="AA95" s="1721">
        <v>95</v>
      </c>
    </row>
    <row r="96" spans="1:27" ht="13.35" customHeight="1">
      <c r="A96" s="17" t="s">
        <v>1096</v>
      </c>
      <c r="B96" s="18">
        <f t="shared" ref="B96:K96" si="41">SUM(B89:B95)</f>
        <v>-6628.1959577659654</v>
      </c>
      <c r="C96" s="18">
        <f t="shared" si="41"/>
        <v>-9033.2770039073948</v>
      </c>
      <c r="D96" s="18">
        <f t="shared" si="41"/>
        <v>-11590.904846153004</v>
      </c>
      <c r="E96" s="18">
        <f t="shared" si="41"/>
        <v>-14307.361775680176</v>
      </c>
      <c r="F96" s="18">
        <f t="shared" si="41"/>
        <v>-17187.090470147465</v>
      </c>
      <c r="G96" s="18">
        <f t="shared" si="41"/>
        <v>-20238.699443644524</v>
      </c>
      <c r="H96" s="18">
        <f t="shared" si="41"/>
        <v>-23467.968672905859</v>
      </c>
      <c r="I96" s="18">
        <f t="shared" si="41"/>
        <v>-26881.855405335824</v>
      </c>
      <c r="J96" s="18">
        <f t="shared" si="41"/>
        <v>-30488.500154555062</v>
      </c>
      <c r="K96" s="19">
        <f t="shared" si="41"/>
        <v>-34295.232889363804</v>
      </c>
      <c r="N96" s="3576"/>
      <c r="O96" s="3578"/>
      <c r="Z96" s="1719" t="s">
        <v>6463</v>
      </c>
      <c r="AA96" s="1721">
        <v>96</v>
      </c>
    </row>
    <row r="97" spans="1:27" ht="13.35" customHeight="1">
      <c r="A97" s="17" t="str">
        <f>$A66</f>
        <v>DCR Mortgage A</v>
      </c>
      <c r="B97" s="20">
        <f t="shared" ref="B97:K97" si="42">IF(B90=0,"",-B89/B90)</f>
        <v>0.9483061909285645</v>
      </c>
      <c r="C97" s="20">
        <f t="shared" si="42"/>
        <v>0.90510975739001354</v>
      </c>
      <c r="D97" s="20">
        <f t="shared" si="42"/>
        <v>0.85917350867974318</v>
      </c>
      <c r="E97" s="20">
        <f t="shared" si="42"/>
        <v>0.81038461177129517</v>
      </c>
      <c r="F97" s="20">
        <f t="shared" si="42"/>
        <v>0.75866327399800693</v>
      </c>
      <c r="G97" s="20">
        <f t="shared" si="42"/>
        <v>0.70385488223058879</v>
      </c>
      <c r="H97" s="20">
        <f t="shared" si="42"/>
        <v>0.64585562525599782</v>
      </c>
      <c r="I97" s="20">
        <f t="shared" si="42"/>
        <v>0.58454054750336226</v>
      </c>
      <c r="J97" s="20">
        <f t="shared" si="42"/>
        <v>0.51976344136103103</v>
      </c>
      <c r="K97" s="21">
        <f t="shared" si="42"/>
        <v>0.45139265699931252</v>
      </c>
      <c r="N97" s="3576"/>
      <c r="O97" s="3578"/>
      <c r="Z97" s="1719" t="s">
        <v>6463</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76"/>
      <c r="O98" s="3578"/>
      <c r="Z98" s="1719" t="s">
        <v>6463</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76"/>
      <c r="O99" s="3578"/>
      <c r="Z99" s="1719" t="s">
        <v>6463</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76"/>
      <c r="O100" s="3578"/>
      <c r="Z100" s="1719" t="s">
        <v>6463</v>
      </c>
      <c r="AA100" s="1721">
        <v>100</v>
      </c>
    </row>
    <row r="101" spans="1:27" ht="13.35" customHeight="1">
      <c r="A101" s="341" t="s">
        <v>3213</v>
      </c>
      <c r="B101" s="20">
        <f t="shared" ref="B101:K101" si="46">IF(AND(B90=0,B91=0,B92=0,B93=0),"",-B89/(B90+B91+B92+B93))</f>
        <v>0.9483061909285645</v>
      </c>
      <c r="C101" s="20">
        <f t="shared" si="46"/>
        <v>0.90510975739001354</v>
      </c>
      <c r="D101" s="20">
        <f t="shared" si="46"/>
        <v>0.85917350867974318</v>
      </c>
      <c r="E101" s="20">
        <f t="shared" si="46"/>
        <v>0.81038461177129517</v>
      </c>
      <c r="F101" s="20">
        <f t="shared" si="46"/>
        <v>0.75866327399800693</v>
      </c>
      <c r="G101" s="20">
        <f t="shared" si="46"/>
        <v>0.70385488223058879</v>
      </c>
      <c r="H101" s="20">
        <f t="shared" si="46"/>
        <v>0.64585562525599782</v>
      </c>
      <c r="I101" s="20">
        <f t="shared" si="46"/>
        <v>0.58454054750336226</v>
      </c>
      <c r="J101" s="20">
        <f t="shared" si="46"/>
        <v>0.51976344136103103</v>
      </c>
      <c r="K101" s="21">
        <f t="shared" si="46"/>
        <v>0.45139265699931252</v>
      </c>
      <c r="N101" s="3576"/>
      <c r="O101" s="3578"/>
      <c r="Z101" s="1719" t="s">
        <v>6463</v>
      </c>
      <c r="AA101" s="1721">
        <v>101</v>
      </c>
    </row>
    <row r="102" spans="1:27" ht="13.35" customHeight="1">
      <c r="A102" s="17" t="s">
        <v>718</v>
      </c>
      <c r="B102" s="220">
        <f>IF(OR(B86="Choose mgt fee",B86="Choose One!"),"",(B79+B80+B81+B82+B83) / -(B85+B86+B87))</f>
        <v>1.1525239903049089</v>
      </c>
      <c r="C102" s="220">
        <f t="shared" ref="C102:K102" si="47">IF(OR(C86="Choose mgt fee",C86="Choose One!"),"",(C79+C80+C81+C82+C83) / -(C85+C86+C87))</f>
        <v>1.1413365176440913</v>
      </c>
      <c r="D102" s="220">
        <f t="shared" si="47"/>
        <v>1.1302557344591022</v>
      </c>
      <c r="E102" s="220">
        <f t="shared" si="47"/>
        <v>1.1192804249149306</v>
      </c>
      <c r="F102" s="220">
        <f t="shared" si="47"/>
        <v>1.1084152746939118</v>
      </c>
      <c r="G102" s="220">
        <f t="shared" si="47"/>
        <v>1.0976533322535751</v>
      </c>
      <c r="H102" s="220">
        <f t="shared" si="47"/>
        <v>1.0869965826773407</v>
      </c>
      <c r="I102" s="220">
        <f t="shared" si="47"/>
        <v>1.0764442038580828</v>
      </c>
      <c r="J102" s="220">
        <f t="shared" si="47"/>
        <v>1.0659930704774467</v>
      </c>
      <c r="K102" s="221">
        <f t="shared" si="47"/>
        <v>1.0556428752963845</v>
      </c>
      <c r="N102" s="3576"/>
      <c r="O102" s="3578"/>
      <c r="Z102" s="1719" t="s">
        <v>6463</v>
      </c>
      <c r="AA102" s="1721">
        <v>102</v>
      </c>
    </row>
    <row r="103" spans="1:27" ht="13.35" customHeight="1">
      <c r="A103" s="341" t="s">
        <v>2405</v>
      </c>
      <c r="B103" s="177">
        <f>IF('Part II-Sources of Funds'!$I$40="","",-FV('Part II-Sources of Funds'!$K$40/12,12,B90/12,K72))</f>
        <v>595264.21096406609</v>
      </c>
      <c r="C103" s="177">
        <f>IF('Part II-Sources of Funds'!$I$40="","",-FV('Part II-Sources of Funds'!$K$40/12,12,C90/12,B103))</f>
        <v>579278.21983519825</v>
      </c>
      <c r="D103" s="177">
        <f>IF('Part II-Sources of Funds'!$I$40="","",-FV('Part II-Sources of Funds'!$K$40/12,12,D90/12,C103))</f>
        <v>562179.15712997213</v>
      </c>
      <c r="E103" s="177">
        <f>IF('Part II-Sources of Funds'!$I$40="","",-FV('Part II-Sources of Funds'!$K$40/12,12,E90/12,D103))</f>
        <v>543889.52197126916</v>
      </c>
      <c r="F103" s="177">
        <f>IF('Part II-Sources of Funds'!$I$40="","",-FV('Part II-Sources of Funds'!$K$40/12,12,F90/12,E103))</f>
        <v>524326.41725581454</v>
      </c>
      <c r="G103" s="177">
        <f>IF('Part II-Sources of Funds'!$I$40="","",-FV('Part II-Sources of Funds'!$K$40/12,12,G90/12,F103))</f>
        <v>503401.17392608454</v>
      </c>
      <c r="H103" s="177">
        <f>IF('Part II-Sources of Funds'!$I$40="","",-FV('Part II-Sources of Funds'!$K$40/12,12,H90/12,G103))</f>
        <v>481018.94908104243</v>
      </c>
      <c r="I103" s="177">
        <f>IF('Part II-Sources of Funds'!$I$40="","",-FV('Part II-Sources of Funds'!$K$40/12,12,I90/12,H103))</f>
        <v>457078.29610415385</v>
      </c>
      <c r="J103" s="177">
        <f>IF('Part II-Sources of Funds'!$I$40="","",-FV('Part II-Sources of Funds'!$K$40/12,12,J90/12,I103))</f>
        <v>431470.70486030279</v>
      </c>
      <c r="K103" s="177">
        <f>IF('Part II-Sources of Funds'!$I$40="","",-FV('Part II-Sources of Funds'!$K$40/12,12,K90/12,J103))</f>
        <v>404080.10987756803</v>
      </c>
      <c r="N103" s="3576"/>
      <c r="O103" s="3578"/>
      <c r="Z103" s="1719" t="s">
        <v>6463</v>
      </c>
      <c r="AA103" s="1721">
        <v>103</v>
      </c>
    </row>
    <row r="104" spans="1:27" ht="13.35" customHeight="1">
      <c r="A104" s="341" t="s">
        <v>2406</v>
      </c>
      <c r="B104" s="178">
        <f>IF('Part II-Sources of Funds'!$I$41="","",-FV('Part II-Sources of Funds'!$K$41/12,12,B91/12,K73))</f>
        <v>1269043.9553790842</v>
      </c>
      <c r="C104" s="178">
        <f>IF('Part II-Sources of Funds'!$I$41="","",-FV('Part II-Sources of Funds'!$K$41/12,12,C91/12,B104))</f>
        <v>1281792.7213189355</v>
      </c>
      <c r="D104" s="178">
        <f>IF('Part II-Sources of Funds'!$I$41="","",-FV('Part II-Sources of Funds'!$K$41/12,12,D91/12,C104))</f>
        <v>1294669.5608627782</v>
      </c>
      <c r="E104" s="178">
        <f>IF('Part II-Sources of Funds'!$I$41="","",-FV('Part II-Sources of Funds'!$K$41/12,12,E91/12,D104))</f>
        <v>1307675.760633029</v>
      </c>
      <c r="F104" s="178">
        <f>IF('Part II-Sources of Funds'!$I$41="","",-FV('Part II-Sources of Funds'!$K$41/12,12,F91/12,E104))</f>
        <v>1320812.6201774625</v>
      </c>
      <c r="G104" s="178">
        <f>IF('Part II-Sources of Funds'!$I$41="","",-FV('Part II-Sources of Funds'!$K$41/12,12,G91/12,F104))</f>
        <v>1334081.4520990597</v>
      </c>
      <c r="H104" s="178">
        <f>IF('Part II-Sources of Funds'!$I$41="","",-FV('Part II-Sources of Funds'!$K$41/12,12,H91/12,G104))</f>
        <v>1347483.5821871599</v>
      </c>
      <c r="I104" s="178">
        <f>IF('Part II-Sources of Funds'!$I$41="","",-FV('Part II-Sources of Funds'!$K$41/12,12,I91/12,H104))</f>
        <v>1361020.3495499301</v>
      </c>
      <c r="J104" s="178">
        <f>IF('Part II-Sources of Funds'!$I$41="","",-FV('Part II-Sources of Funds'!$K$41/12,12,J91/12,I104))</f>
        <v>1374693.1067481656</v>
      </c>
      <c r="K104" s="178">
        <f>IF('Part II-Sources of Funds'!$I$41="","",-FV('Part II-Sources of Funds'!$K$41/12,12,K91/12,J104))</f>
        <v>1388503.2199304344</v>
      </c>
      <c r="N104" s="3576"/>
      <c r="O104" s="3578"/>
      <c r="Z104" s="1719" t="s">
        <v>6463</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76"/>
      <c r="O105" s="3578"/>
      <c r="Z105" s="1719" t="s">
        <v>6463</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82"/>
      <c r="O106" s="3584"/>
      <c r="Z106" s="1719" t="s">
        <v>6463</v>
      </c>
      <c r="AA106" s="1721">
        <v>106</v>
      </c>
    </row>
    <row r="107" spans="1:27" ht="4.3499999999999996" customHeight="1">
      <c r="B107" s="13"/>
      <c r="C107" s="13"/>
      <c r="D107" s="13"/>
      <c r="E107" s="13"/>
      <c r="F107" s="13"/>
      <c r="G107" s="13"/>
      <c r="H107" s="13"/>
      <c r="I107" s="13"/>
      <c r="J107" s="13"/>
      <c r="K107" s="13"/>
      <c r="AA107" s="1721">
        <v>107</v>
      </c>
    </row>
    <row r="108" spans="1:27" ht="14.7" customHeight="1">
      <c r="A108" s="10" t="s">
        <v>2284</v>
      </c>
      <c r="B108" s="12">
        <f>K78+1</f>
        <v>31</v>
      </c>
      <c r="C108" s="12">
        <f>B108+1</f>
        <v>32</v>
      </c>
      <c r="D108" s="12">
        <f>C108+1</f>
        <v>33</v>
      </c>
      <c r="E108" s="12">
        <f>D108+1</f>
        <v>34</v>
      </c>
      <c r="F108" s="12">
        <f>E108+1</f>
        <v>35</v>
      </c>
      <c r="G108" s="13"/>
      <c r="H108" s="13"/>
      <c r="I108" s="13"/>
      <c r="J108" s="13"/>
      <c r="K108" s="13"/>
      <c r="N108" s="3264" t="s">
        <v>3205</v>
      </c>
      <c r="O108" s="3264"/>
      <c r="AA108" s="1721">
        <v>108</v>
      </c>
    </row>
    <row r="109" spans="1:27" ht="13.35" customHeight="1">
      <c r="A109" s="14" t="s">
        <v>2215</v>
      </c>
      <c r="B109" s="15">
        <f>$B$15*(1+$B$6)^(B108-1)</f>
        <v>510325.76725894242</v>
      </c>
      <c r="C109" s="15">
        <f>$B$15*(1+$B$6)^(C108-1)</f>
        <v>520532.28260412114</v>
      </c>
      <c r="D109" s="15">
        <f>$B$15*(1+$B$6)^(D108-1)</f>
        <v>530942.92825620365</v>
      </c>
      <c r="E109" s="15">
        <f>$B$15*(1+$B$6)^(E108-1)</f>
        <v>541561.78682132775</v>
      </c>
      <c r="F109" s="497">
        <f>$B$15*(1+$B$6)^(F108-1)</f>
        <v>552393.0225577543</v>
      </c>
      <c r="G109" s="13"/>
      <c r="H109" s="13"/>
      <c r="I109" s="13"/>
      <c r="J109" s="13"/>
      <c r="K109" s="13"/>
      <c r="N109" s="3598"/>
      <c r="O109" s="3600"/>
      <c r="Z109" s="1719" t="s">
        <v>6464</v>
      </c>
      <c r="AA109" s="1721">
        <v>109</v>
      </c>
    </row>
    <row r="110" spans="1:27" ht="13.35" customHeight="1">
      <c r="A110" s="17" t="s">
        <v>952</v>
      </c>
      <c r="B110" s="18">
        <f>$B$16*(1+$B$6)^(B108-1)</f>
        <v>1615.7345330201913</v>
      </c>
      <c r="C110" s="18">
        <f>$B$16*(1+$B$6)^(C108-1)</f>
        <v>1648.0492236805947</v>
      </c>
      <c r="D110" s="18">
        <f>$B$16*(1+$B$6)^(D108-1)</f>
        <v>1681.010208154207</v>
      </c>
      <c r="E110" s="18">
        <f>$B$16*(1+$B$6)^(E108-1)</f>
        <v>1714.6304123172913</v>
      </c>
      <c r="F110" s="19">
        <f>$B$16*(1+$B$6)^(F108-1)</f>
        <v>1748.923020563637</v>
      </c>
      <c r="G110" s="13"/>
      <c r="H110" s="13"/>
      <c r="I110" s="13"/>
      <c r="J110" s="13"/>
      <c r="K110" s="13"/>
      <c r="N110" s="3576"/>
      <c r="O110" s="3578"/>
      <c r="Z110" s="1719" t="s">
        <v>6464</v>
      </c>
      <c r="AA110" s="1721">
        <v>110</v>
      </c>
    </row>
    <row r="111" spans="1:27" ht="13.35" customHeight="1">
      <c r="A111" s="17" t="s">
        <v>2216</v>
      </c>
      <c r="B111" s="18">
        <f>-(B109+B110)*$B$9</f>
        <v>-25597.075089598133</v>
      </c>
      <c r="C111" s="18">
        <f>-(C109+C110)*$B$9</f>
        <v>-26109.016591390086</v>
      </c>
      <c r="D111" s="18">
        <f>-(D109+D110)*$B$9</f>
        <v>-26631.196923217896</v>
      </c>
      <c r="E111" s="18">
        <f>-(E109+E110)*$B$9</f>
        <v>-27163.820861682256</v>
      </c>
      <c r="F111" s="19">
        <f>-(F109+F110)*$B$9</f>
        <v>-27707.097278915899</v>
      </c>
      <c r="G111" s="13"/>
      <c r="H111" s="13"/>
      <c r="I111" s="13"/>
      <c r="J111" s="13"/>
      <c r="K111" s="13"/>
      <c r="N111" s="3576"/>
      <c r="O111" s="3578"/>
      <c r="Z111" s="1719" t="s">
        <v>6464</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6"/>
      <c r="O112" s="3578"/>
      <c r="Z112" s="1719" t="s">
        <v>6464</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6"/>
      <c r="O113" s="3578"/>
      <c r="Z113" s="1719" t="s">
        <v>6464</v>
      </c>
      <c r="AA113" s="1721">
        <v>113</v>
      </c>
    </row>
    <row r="114" spans="1:27" ht="13.35" customHeight="1">
      <c r="A114" s="341" t="s">
        <v>3838</v>
      </c>
      <c r="B114" s="18">
        <f>SUM(B109:B113)</f>
        <v>486344.42670236446</v>
      </c>
      <c r="C114" s="18">
        <f>SUM(C109:C113)</f>
        <v>496071.31523641164</v>
      </c>
      <c r="D114" s="18">
        <f>SUM(D109:D113)</f>
        <v>505992.74154113996</v>
      </c>
      <c r="E114" s="18">
        <f>SUM(E109:E113)</f>
        <v>516112.59637196286</v>
      </c>
      <c r="F114" s="19">
        <f>SUM(F109:F113)</f>
        <v>526434.84829940205</v>
      </c>
      <c r="G114" s="13"/>
      <c r="H114" s="13"/>
      <c r="I114" s="13"/>
      <c r="J114" s="13"/>
      <c r="K114" s="13"/>
      <c r="N114" s="3576"/>
      <c r="O114" s="3578"/>
      <c r="Z114" s="1719" t="s">
        <v>6464</v>
      </c>
      <c r="AA114" s="1721">
        <v>114</v>
      </c>
    </row>
    <row r="115" spans="1:27" ht="13.35" customHeight="1">
      <c r="A115" s="17" t="s">
        <v>572</v>
      </c>
      <c r="B115" s="18">
        <f>$B$21*(1+$B$7)^(B108-1)</f>
        <v>-313764.93786327366</v>
      </c>
      <c r="C115" s="18">
        <f>$B$21*(1+$B$7)^(C108-1)</f>
        <v>-323177.88599917194</v>
      </c>
      <c r="D115" s="18">
        <f>$B$21*(1+$B$7)^(D108-1)</f>
        <v>-332873.22257914703</v>
      </c>
      <c r="E115" s="18">
        <f>$B$21*(1+$B$7)^(E108-1)</f>
        <v>-342859.41925652145</v>
      </c>
      <c r="F115" s="19">
        <f>$B$21*(1+$B$7)^(F108-1)</f>
        <v>-353145.201834217</v>
      </c>
      <c r="G115" s="13"/>
      <c r="H115" s="13"/>
      <c r="I115" s="13"/>
      <c r="J115" s="13"/>
      <c r="K115" s="13"/>
      <c r="N115" s="3576"/>
      <c r="O115" s="3578"/>
      <c r="Z115" s="1719" t="s">
        <v>6464</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-93207</v>
      </c>
      <c r="C116" s="18">
        <f>IF(AND('Part VI-Pro Forma'!$G$9="Yes",'Part VI-Pro Forma'!$G$10="Yes"),"Choose One!",IF('Part VI-Pro Forma'!$G$9="Yes",ROUND((-$K$9*(1+'Part VI-Pro Forma'!$B$7)^('Part VI-Pro Forma'!C108-1)),),IF('Part VI-Pro Forma'!$G$10="Yes",ROUND((-(SUM(C109:C112)*'Part VI-Pro Forma'!$K$10)),),"Choose mgt fee")))</f>
        <v>-96003</v>
      </c>
      <c r="D116" s="18">
        <f>IF(AND('Part VI-Pro Forma'!$G$9="Yes",'Part VI-Pro Forma'!$G$10="Yes"),"Choose One!",IF('Part VI-Pro Forma'!$G$9="Yes",ROUND((-$K$9*(1+'Part VI-Pro Forma'!$B$7)^('Part VI-Pro Forma'!D108-1)),),IF('Part VI-Pro Forma'!$G$10="Yes",ROUND((-(SUM(D109:D112)*'Part VI-Pro Forma'!$K$10)),),"Choose mgt fee")))</f>
        <v>-98883</v>
      </c>
      <c r="E116" s="18">
        <f>IF(AND('Part VI-Pro Forma'!$G$9="Yes",'Part VI-Pro Forma'!$G$10="Yes"),"Choose One!",IF('Part VI-Pro Forma'!$G$9="Yes",ROUND((-$K$9*(1+'Part VI-Pro Forma'!$B$7)^('Part VI-Pro Forma'!E108-1)),),IF('Part VI-Pro Forma'!$G$10="Yes",ROUND((-(SUM(E109:E112)*'Part VI-Pro Forma'!$K$10)),),"Choose mgt fee")))</f>
        <v>-101850</v>
      </c>
      <c r="F116" s="19">
        <f>IF(AND('Part VI-Pro Forma'!$G$9="Yes",'Part VI-Pro Forma'!$G$10="Yes"),"Choose One!",IF('Part VI-Pro Forma'!$G$9="Yes",ROUND((-$K$9*(1+'Part VI-Pro Forma'!$B$7)^('Part VI-Pro Forma'!F108-1)),),IF('Part VI-Pro Forma'!$G$10="Yes",ROUND((-(SUM(F109:F112)*'Part VI-Pro Forma'!$K$10)),),"Choose mgt fee")))</f>
        <v>-104905</v>
      </c>
      <c r="G116" s="13"/>
      <c r="H116" s="13"/>
      <c r="I116" s="13"/>
      <c r="J116" s="13"/>
      <c r="K116" s="13"/>
      <c r="N116" s="3576"/>
      <c r="O116" s="3578"/>
      <c r="Z116" s="1719" t="s">
        <v>6464</v>
      </c>
      <c r="AA116" s="1721">
        <v>116</v>
      </c>
    </row>
    <row r="117" spans="1:27" ht="13.35" customHeight="1">
      <c r="A117" s="17" t="s">
        <v>1128</v>
      </c>
      <c r="B117" s="18">
        <f>$B$23*(1+$B$8)^(B108-1)</f>
        <v>-58254.299308551817</v>
      </c>
      <c r="C117" s="18">
        <f>$B$23*(1+$B$8)^(C108-1)</f>
        <v>-60001.928287808383</v>
      </c>
      <c r="D117" s="18">
        <f>$B$23*(1+$B$8)^(D108-1)</f>
        <v>-61801.986136442625</v>
      </c>
      <c r="E117" s="18">
        <f>$B$23*(1+$B$8)^(E108-1)</f>
        <v>-63656.045720535905</v>
      </c>
      <c r="F117" s="19">
        <f>$B$23*(1+$B$8)^(F108-1)</f>
        <v>-65565.727092151967</v>
      </c>
      <c r="G117" s="13"/>
      <c r="H117" s="13"/>
      <c r="I117" s="13"/>
      <c r="J117" s="13"/>
      <c r="K117" s="13"/>
      <c r="N117" s="3576"/>
      <c r="O117" s="3578"/>
      <c r="Q117" s="92">
        <v>10</v>
      </c>
      <c r="R117" s="869">
        <f>-SUM(B123:K123)</f>
        <v>0</v>
      </c>
      <c r="S117" s="869">
        <f>SUM(B124:K124)+R117</f>
        <v>0</v>
      </c>
      <c r="Z117" s="1719" t="s">
        <v>6464</v>
      </c>
      <c r="AA117" s="1721">
        <v>117</v>
      </c>
    </row>
    <row r="118" spans="1:27" ht="13.35" customHeight="1">
      <c r="A118" s="341" t="s">
        <v>3837</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76"/>
      <c r="O118" s="3578"/>
      <c r="Z118" s="1719" t="s">
        <v>6464</v>
      </c>
      <c r="AA118" s="1721">
        <v>118</v>
      </c>
    </row>
    <row r="119" spans="1:27" ht="13.35" customHeight="1">
      <c r="A119" s="17" t="s">
        <v>1129</v>
      </c>
      <c r="B119" s="18">
        <f>SUM(B114:B118)</f>
        <v>21118.189530538984</v>
      </c>
      <c r="C119" s="18">
        <f>SUM(C114:C118)</f>
        <v>16888.50094943132</v>
      </c>
      <c r="D119" s="18">
        <f>SUM(D114:D118)</f>
        <v>12434.532825550305</v>
      </c>
      <c r="E119" s="18">
        <f>SUM(E114:E118)</f>
        <v>7747.1313949055111</v>
      </c>
      <c r="F119" s="1215">
        <f>SUM(F114:F118)</f>
        <v>2818.9193730330735</v>
      </c>
      <c r="G119" s="13"/>
      <c r="H119" s="13"/>
      <c r="I119" s="13"/>
      <c r="J119" s="13"/>
      <c r="K119" s="13"/>
      <c r="N119" s="3576"/>
      <c r="O119" s="3578"/>
      <c r="Z119" s="1719" t="s">
        <v>6464</v>
      </c>
      <c r="AA119" s="1721">
        <v>119</v>
      </c>
    </row>
    <row r="120" spans="1:27" ht="13.35" customHeight="1">
      <c r="A120" s="17" t="str">
        <f>$A90</f>
        <v>Mortgage A</v>
      </c>
      <c r="B120" s="342">
        <f>IF('Part II-Sources of Funds'!$P$40="", 0,-'Part II-Sources of Funds'!$P$40)</f>
        <v>-55677.768952730781</v>
      </c>
      <c r="C120" s="342">
        <f>IF('Part II-Sources of Funds'!$P$40="", 0,-'Part II-Sources of Funds'!$P$40)</f>
        <v>-55677.768952730781</v>
      </c>
      <c r="D120" s="342">
        <f>IF('Part II-Sources of Funds'!$P$40="", 0,-'Part II-Sources of Funds'!$P$40)</f>
        <v>-55677.768952730781</v>
      </c>
      <c r="E120" s="342">
        <f>IF('Part II-Sources of Funds'!$P$40="", 0,-'Part II-Sources of Funds'!$P$40)</f>
        <v>-55677.768952730781</v>
      </c>
      <c r="F120" s="342">
        <f>IF('Part II-Sources of Funds'!$P$40="", 0,-'Part II-Sources of Funds'!$P$40)</f>
        <v>-55677.768952730781</v>
      </c>
      <c r="G120" s="13"/>
      <c r="H120" s="13"/>
      <c r="I120" s="13"/>
      <c r="J120" s="13"/>
      <c r="K120" s="13"/>
      <c r="N120" s="3576"/>
      <c r="O120" s="3578"/>
      <c r="Z120" s="1719" t="s">
        <v>6464</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76"/>
      <c r="O121" s="3578"/>
      <c r="Z121" s="1719" t="s">
        <v>6464</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6"/>
      <c r="O122" s="3578"/>
      <c r="Z122" s="1719" t="s">
        <v>6464</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6"/>
      <c r="O123" s="3578"/>
      <c r="Z123" s="1719" t="s">
        <v>6464</v>
      </c>
      <c r="AA123" s="1721">
        <v>123</v>
      </c>
    </row>
    <row r="124" spans="1:27" ht="13.35" customHeight="1">
      <c r="A124" s="17" t="s">
        <v>711</v>
      </c>
      <c r="B124" s="138"/>
      <c r="C124" s="138"/>
      <c r="D124" s="138"/>
      <c r="E124" s="138"/>
      <c r="F124" s="138"/>
      <c r="G124" s="13"/>
      <c r="H124" s="13"/>
      <c r="I124" s="13"/>
      <c r="J124" s="13"/>
      <c r="K124" s="13"/>
      <c r="N124" s="3576"/>
      <c r="O124" s="3578"/>
      <c r="Z124" s="1719" t="s">
        <v>6464</v>
      </c>
      <c r="AA124" s="1721">
        <v>124</v>
      </c>
    </row>
    <row r="125" spans="1:27" ht="13.35" customHeight="1">
      <c r="A125" s="17" t="s">
        <v>1095</v>
      </c>
      <c r="B125" s="179">
        <f>+K95</f>
        <v>-3750</v>
      </c>
      <c r="C125" s="179">
        <f>+B125</f>
        <v>-3750</v>
      </c>
      <c r="D125" s="179">
        <f>+C125</f>
        <v>-3750</v>
      </c>
      <c r="E125" s="179">
        <f>+D125</f>
        <v>-3750</v>
      </c>
      <c r="F125" s="179">
        <f>+E125</f>
        <v>-3750</v>
      </c>
      <c r="G125" s="13"/>
      <c r="H125" s="13"/>
      <c r="I125" s="13"/>
      <c r="J125" s="13"/>
      <c r="K125" s="13"/>
      <c r="N125" s="3576"/>
      <c r="O125" s="3578"/>
      <c r="Z125" s="1719" t="s">
        <v>6464</v>
      </c>
      <c r="AA125" s="1721">
        <v>125</v>
      </c>
    </row>
    <row r="126" spans="1:27" ht="13.35" customHeight="1">
      <c r="A126" s="17" t="s">
        <v>1096</v>
      </c>
      <c r="B126" s="18">
        <f>SUM(B119:B125)</f>
        <v>-38309.579422191797</v>
      </c>
      <c r="C126" s="18">
        <f>SUM(C119:C125)</f>
        <v>-42539.268003299461</v>
      </c>
      <c r="D126" s="18">
        <f>SUM(D119:D125)</f>
        <v>-46993.236127180477</v>
      </c>
      <c r="E126" s="18">
        <f>SUM(E119:E125)</f>
        <v>-51680.63755782527</v>
      </c>
      <c r="F126" s="19">
        <f>SUM(F119:F125)</f>
        <v>-56608.849579697708</v>
      </c>
      <c r="G126" s="13"/>
      <c r="H126" s="13"/>
      <c r="I126" s="13"/>
      <c r="J126" s="13"/>
      <c r="K126" s="13"/>
      <c r="N126" s="3576"/>
      <c r="O126" s="3578"/>
      <c r="Z126" s="1719" t="s">
        <v>6464</v>
      </c>
      <c r="AA126" s="1721">
        <v>126</v>
      </c>
    </row>
    <row r="127" spans="1:27" ht="13.35" customHeight="1">
      <c r="A127" s="17" t="str">
        <f>$A97</f>
        <v>DCR Mortgage A</v>
      </c>
      <c r="B127" s="20">
        <f>IF(B120=0,"",-B119/B120)</f>
        <v>0.37929302714100971</v>
      </c>
      <c r="C127" s="20">
        <f>IF(C120=0,"",-C119/C120)</f>
        <v>0.3033257486263376</v>
      </c>
      <c r="D127" s="20">
        <f>IF(D120=0,"",-D119/D120)</f>
        <v>0.2233302996768235</v>
      </c>
      <c r="E127" s="20">
        <f>IF(E120=0,"",-E119/E120)</f>
        <v>0.13914227420790976</v>
      </c>
      <c r="F127" s="21">
        <f>IF(F120=0,"",-F119/F120)</f>
        <v>5.062917257741191E-2</v>
      </c>
      <c r="G127" s="13"/>
      <c r="H127" s="13"/>
      <c r="I127" s="13"/>
      <c r="J127" s="13"/>
      <c r="K127" s="13"/>
      <c r="N127" s="3576"/>
      <c r="O127" s="3578"/>
      <c r="Z127" s="1719" t="s">
        <v>6464</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76"/>
      <c r="O128" s="3578"/>
      <c r="Z128" s="1719" t="s">
        <v>6464</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6"/>
      <c r="O129" s="3578"/>
      <c r="Z129" s="1719" t="s">
        <v>6464</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6"/>
      <c r="O130" s="3578"/>
      <c r="Z130" s="1719" t="s">
        <v>6464</v>
      </c>
      <c r="AA130" s="1721">
        <v>130</v>
      </c>
    </row>
    <row r="131" spans="1:27" ht="13.35" customHeight="1">
      <c r="A131" s="341" t="s">
        <v>3213</v>
      </c>
      <c r="B131" s="20">
        <f>IF(AND(B120=0,B121=0,B122=0,B123=0),"",-B119/(B120+B121+B122+B123))</f>
        <v>0.37929302714100971</v>
      </c>
      <c r="C131" s="20">
        <f>IF(AND(C120=0,C121=0,C122=0,C123=0),"",-C119/(C120+C121+C122+C123))</f>
        <v>0.3033257486263376</v>
      </c>
      <c r="D131" s="20">
        <f>IF(AND(D120=0,D121=0,D122=0,D123=0),"",-D119/(D120+D121+D122+D123))</f>
        <v>0.2233302996768235</v>
      </c>
      <c r="E131" s="20">
        <f>IF(AND(E120=0,E121=0,E122=0,E123=0),"",-E119/(E120+E121+E122+E123))</f>
        <v>0.13914227420790976</v>
      </c>
      <c r="F131" s="21">
        <f>IF(AND(F120=0,F121=0,F122=0,F123=0),"",-F119/(F120+F121+F122+F123))</f>
        <v>5.062917257741191E-2</v>
      </c>
      <c r="G131" s="13"/>
      <c r="H131" s="13"/>
      <c r="I131" s="13"/>
      <c r="J131" s="13"/>
      <c r="K131" s="13"/>
      <c r="N131" s="3576"/>
      <c r="O131" s="3578"/>
      <c r="Z131" s="1719" t="s">
        <v>6464</v>
      </c>
      <c r="AA131" s="1721">
        <v>131</v>
      </c>
    </row>
    <row r="132" spans="1:27" ht="13.35" customHeight="1">
      <c r="A132" s="17" t="s">
        <v>718</v>
      </c>
      <c r="B132" s="220">
        <f>IF(OR(B116="Choose mgt fee",B116="Choose One!"),"",(B109+B110+B111+B112+B113) / -(B115+B116+B117))</f>
        <v>1.0453933760462852</v>
      </c>
      <c r="C132" s="220">
        <f>IF(OR(C116="Choose mgt fee",C116="Choose One!"),"",(C109+C110+C111+C112+C113) / -(C115+C116+C117))</f>
        <v>1.0352443794850223</v>
      </c>
      <c r="D132" s="220">
        <f>IF(OR(D116="Choose mgt fee",D116="Choose One!"),"",(D109+D110+D111+D112+D113) / -(D115+D116+D117))</f>
        <v>1.0251936501226659</v>
      </c>
      <c r="E132" s="220">
        <f>IF(OR(E116="Choose mgt fee",E116="Choose One!"),"",(E109+E110+E111+E112+E113) / -(E115+E116+E117))</f>
        <v>1.0152392952091172</v>
      </c>
      <c r="F132" s="498">
        <f>IF(OR(F116="Choose mgt fee",F116="Choose One!"),"",(F109+F110+F111+F112+F113) / -(F115+F116+F117))</f>
        <v>1.0053835630608356</v>
      </c>
      <c r="G132" s="13"/>
      <c r="H132" s="13"/>
      <c r="I132" s="13"/>
      <c r="J132" s="13"/>
      <c r="K132" s="13"/>
      <c r="N132" s="3576"/>
      <c r="O132" s="3578"/>
      <c r="Z132" s="1719" t="s">
        <v>6464</v>
      </c>
      <c r="AA132" s="1721">
        <v>132</v>
      </c>
    </row>
    <row r="133" spans="1:27" ht="13.35" customHeight="1">
      <c r="A133" s="341" t="s">
        <v>2405</v>
      </c>
      <c r="B133" s="177">
        <f>IF('Part II-Sources of Funds'!$I$40="","",-FV('Part II-Sources of Funds'!$K$40/12,12,B120/12,K103))</f>
        <v>374782.36428471131</v>
      </c>
      <c r="C133" s="177">
        <f>IF('Part II-Sources of Funds'!$I$40="","",-FV('Part II-Sources of Funds'!$K$40/12,12,C120/12,B133))</f>
        <v>343444.67712001823</v>
      </c>
      <c r="D133" s="177">
        <f>IF('Part II-Sources of Funds'!$I$40="","",-FV('Part II-Sources of Funds'!$K$40/12,12,D120/12,C133))</f>
        <v>309925.01146111469</v>
      </c>
      <c r="E133" s="177">
        <f>IF('Part II-Sources of Funds'!$I$40="","",-FV('Part II-Sources of Funds'!$K$40/12,12,E120/12,D133))</f>
        <v>274071.44064780482</v>
      </c>
      <c r="F133" s="177">
        <f>IF('Part II-Sources of Funds'!$I$40="","",-FV('Part II-Sources of Funds'!$K$40/12,12,F120/12,E133))</f>
        <v>235721.45968003297</v>
      </c>
      <c r="G133" s="13"/>
      <c r="H133" s="13"/>
      <c r="I133" s="13"/>
      <c r="J133" s="13"/>
      <c r="K133" s="13"/>
      <c r="N133" s="3576"/>
      <c r="O133" s="3578"/>
      <c r="Z133" s="1719" t="s">
        <v>6464</v>
      </c>
      <c r="AA133" s="1721">
        <v>133</v>
      </c>
    </row>
    <row r="134" spans="1:27" ht="13.35" customHeight="1">
      <c r="A134" s="341" t="s">
        <v>2406</v>
      </c>
      <c r="B134" s="178">
        <f>IF('Part II-Sources of Funds'!$I$41="","",-FV('Part II-Sources of Funds'!$K$41/12,12,B121/12,K104))</f>
        <v>1402452.0689695799</v>
      </c>
      <c r="C134" s="178">
        <f>IF('Part II-Sources of Funds'!$I$41="","",-FV('Part II-Sources of Funds'!$K$41/12,12,C121/12,B134))</f>
        <v>1416541.0476005937</v>
      </c>
      <c r="D134" s="178">
        <f>IF('Part II-Sources of Funds'!$I$41="","",-FV('Part II-Sources of Funds'!$K$41/12,12,D121/12,C134))</f>
        <v>1430771.5635598749</v>
      </c>
      <c r="E134" s="178">
        <f>IF('Part II-Sources of Funds'!$I$41="","",-FV('Part II-Sources of Funds'!$K$41/12,12,E121/12,D134))</f>
        <v>1445145.0387258877</v>
      </c>
      <c r="F134" s="178">
        <f>IF('Part II-Sources of Funds'!$I$41="","",-FV('Part II-Sources of Funds'!$K$41/12,12,F121/12,E134))</f>
        <v>1459662.9092612311</v>
      </c>
      <c r="G134" s="13"/>
      <c r="H134" s="13"/>
      <c r="I134" s="13"/>
      <c r="J134" s="13"/>
      <c r="K134" s="13"/>
      <c r="N134" s="3576"/>
      <c r="O134" s="3578"/>
      <c r="Z134" s="1719" t="s">
        <v>6464</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76"/>
      <c r="O135" s="3578"/>
      <c r="Z135" s="1719" t="s">
        <v>6464</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82"/>
      <c r="O136" s="3584"/>
      <c r="Z136" s="1719" t="s">
        <v>6464</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67" t="s">
        <v>7078</v>
      </c>
      <c r="B140" s="3692"/>
      <c r="C140" s="3692"/>
      <c r="D140" s="3692"/>
      <c r="E140" s="3692"/>
      <c r="F140" s="3693"/>
      <c r="G140" s="3694"/>
      <c r="H140" s="3695"/>
      <c r="I140" s="3695"/>
      <c r="J140" s="3695"/>
      <c r="K140" s="3696"/>
      <c r="N140" s="3202" t="s">
        <v>2452</v>
      </c>
      <c r="O140" s="32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zoomScaleNormal="100" workbookViewId="0">
      <selection activeCell="T108" sqref="T108"/>
    </sheetView>
  </sheetViews>
  <sheetFormatPr defaultColWidth="9.109375" defaultRowHeight="20.25" customHeight="1"/>
  <cols>
    <col min="1" max="1" width="5.88671875" style="2030" customWidth="1"/>
    <col min="2" max="2" width="3.6640625" style="2030" customWidth="1"/>
    <col min="3" max="3" width="2.109375" style="2030" customWidth="1"/>
    <col min="4" max="10" width="8.88671875" style="2030" customWidth="1"/>
    <col min="11" max="11" width="7.5546875" style="2030" customWidth="1"/>
    <col min="12" max="14" width="9.109375" style="2030"/>
    <col min="15" max="16" width="9.44140625" style="2030" customWidth="1"/>
    <col min="17" max="17" width="9.109375" style="2030"/>
    <col min="18" max="28" width="9.109375" style="2936"/>
    <col min="29" max="16384" width="9.109375" style="2033"/>
  </cols>
  <sheetData>
    <row r="1" spans="1:28" s="2011" customFormat="1" ht="13.2">
      <c r="A1" s="3861" t="str">
        <f>CONCATENATE("PART SEVEN - THRESHOLD CRITERIA","  -  ",'Part I-Project Identification'!$O$7," ",'Part I-Project Identification'!$F$25,", ",'Part I-Project Identification'!F26,", ",'Part I-Project Identification'!J26," County")</f>
        <v>PART SEVEN - THRESHOLD CRITERIA  -  2023-5 Brightwood Lane Apartments, Washington, Wilkes County</v>
      </c>
      <c r="B1" s="3861"/>
      <c r="C1" s="3861"/>
      <c r="D1" s="3861"/>
      <c r="E1" s="3861"/>
      <c r="F1" s="3861"/>
      <c r="G1" s="3861"/>
      <c r="H1" s="3861"/>
      <c r="I1" s="3861"/>
      <c r="J1" s="3861"/>
      <c r="K1" s="3861"/>
      <c r="L1" s="3861"/>
      <c r="M1" s="3861"/>
      <c r="N1" s="3861"/>
      <c r="O1" s="3861"/>
      <c r="P1" s="3861"/>
      <c r="Q1" s="3861"/>
      <c r="R1" s="2933"/>
      <c r="S1" s="2933"/>
      <c r="T1" s="2933"/>
      <c r="U1" s="2933"/>
      <c r="V1" s="2933"/>
      <c r="W1" s="2933"/>
      <c r="X1" s="2933"/>
      <c r="Y1" s="2933"/>
      <c r="Z1" s="2933"/>
      <c r="AA1" s="2933"/>
      <c r="AB1" s="2933"/>
    </row>
    <row r="2" spans="1:28" s="2011" customFormat="1" ht="13.2">
      <c r="R2" s="2933"/>
      <c r="S2" s="2933"/>
      <c r="T2" s="2933"/>
      <c r="U2" s="2933"/>
      <c r="V2" s="2933"/>
      <c r="W2" s="2933"/>
      <c r="X2" s="2933"/>
      <c r="Y2" s="2933"/>
      <c r="Z2" s="2933"/>
      <c r="AA2" s="2933"/>
      <c r="AB2" s="2933"/>
    </row>
    <row r="3" spans="1:28" s="2011" customFormat="1" ht="13.2">
      <c r="A3" s="3862"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62"/>
      <c r="C3" s="3862"/>
      <c r="D3" s="3862"/>
      <c r="E3" s="3862"/>
      <c r="F3" s="3862"/>
      <c r="G3" s="3862"/>
      <c r="H3" s="3862"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62"/>
      <c r="J3" s="3862"/>
      <c r="K3" s="3862"/>
      <c r="L3" s="3862"/>
      <c r="M3" s="3862"/>
      <c r="N3" s="3862"/>
      <c r="O3" s="2012"/>
      <c r="P3" s="3863" t="s">
        <v>6771</v>
      </c>
      <c r="Q3" s="3865" t="s">
        <v>6531</v>
      </c>
      <c r="R3" s="2933"/>
      <c r="S3" s="2933"/>
      <c r="T3" s="2933"/>
      <c r="U3" s="2933"/>
      <c r="V3" s="2933"/>
      <c r="W3" s="2933"/>
      <c r="X3" s="2933"/>
      <c r="Y3" s="2933"/>
      <c r="Z3" s="2933"/>
      <c r="AA3" s="2933"/>
      <c r="AB3" s="2933"/>
    </row>
    <row r="4" spans="1:28" s="2011" customFormat="1" ht="13.2">
      <c r="A4" s="2013"/>
      <c r="B4" s="3867"/>
      <c r="C4" s="3867"/>
      <c r="D4" s="3867"/>
      <c r="E4" s="2013"/>
      <c r="F4" s="2013"/>
      <c r="G4" s="2013"/>
      <c r="H4" s="2013"/>
      <c r="I4" s="2012"/>
      <c r="J4" s="2014"/>
      <c r="K4" s="2013"/>
      <c r="L4" s="2013"/>
      <c r="M4" s="2013"/>
      <c r="N4" s="2013"/>
      <c r="O4" s="2012"/>
      <c r="P4" s="3863"/>
      <c r="Q4" s="3865"/>
      <c r="R4" s="2933"/>
      <c r="S4" s="2933"/>
      <c r="T4" s="2933"/>
      <c r="U4" s="2933"/>
      <c r="V4" s="2933"/>
      <c r="W4" s="2933"/>
      <c r="X4" s="2933"/>
      <c r="Y4" s="2933"/>
      <c r="Z4" s="2933"/>
      <c r="AA4" s="2933"/>
      <c r="AB4" s="2933"/>
    </row>
    <row r="5" spans="1:28" s="2011" customFormat="1" ht="13.2">
      <c r="A5" s="2012"/>
      <c r="B5" s="2012"/>
      <c r="C5" s="2012"/>
      <c r="D5" s="2012"/>
      <c r="E5" s="3868" t="str">
        <f>'Part I-Project Identification'!$A$6</f>
        <v>Sept 2023</v>
      </c>
      <c r="F5" s="3868"/>
      <c r="G5" s="3868"/>
      <c r="H5" s="3868"/>
      <c r="I5" s="3868"/>
      <c r="J5" s="2014"/>
      <c r="K5" s="2013"/>
      <c r="L5" s="2013"/>
      <c r="M5" s="2013"/>
      <c r="N5" s="2013"/>
      <c r="O5" s="2012"/>
      <c r="P5" s="3864"/>
      <c r="Q5" s="3866"/>
      <c r="R5" s="2933"/>
      <c r="S5" s="2933"/>
      <c r="T5" s="2933"/>
      <c r="U5" s="2933"/>
      <c r="V5" s="2933"/>
      <c r="W5" s="2933"/>
      <c r="X5" s="2933"/>
      <c r="Y5" s="2933"/>
      <c r="Z5" s="2933"/>
      <c r="AA5" s="2933"/>
      <c r="AB5" s="2933"/>
    </row>
    <row r="6" spans="1:28" s="2011" customFormat="1" ht="13.2">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c r="A7" s="3855" t="s">
        <v>6772</v>
      </c>
      <c r="B7" s="3855"/>
      <c r="C7" s="3855"/>
      <c r="D7" s="3855"/>
      <c r="E7" s="3855"/>
      <c r="F7" s="3855"/>
      <c r="G7" s="3855"/>
      <c r="H7" s="3855"/>
      <c r="I7" s="3855"/>
      <c r="J7" s="3855"/>
      <c r="K7" s="3855"/>
      <c r="L7" s="3855"/>
      <c r="M7" s="3855"/>
      <c r="N7" s="3855"/>
      <c r="O7" s="3855"/>
      <c r="P7" s="3855"/>
      <c r="Q7" s="3855"/>
      <c r="R7" s="2933"/>
      <c r="S7" s="2933"/>
      <c r="T7" s="2933"/>
      <c r="U7" s="2933"/>
      <c r="V7" s="2933"/>
      <c r="W7" s="2933"/>
      <c r="X7" s="2933"/>
      <c r="Y7" s="2933"/>
      <c r="Z7" s="2933"/>
      <c r="AA7" s="2933"/>
      <c r="AB7" s="2933"/>
    </row>
    <row r="8" spans="1:28" s="2011" customFormat="1" ht="13.2">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c r="A9" s="2018" t="s">
        <v>6773</v>
      </c>
      <c r="B9" s="2019"/>
      <c r="C9" s="2019"/>
      <c r="D9" s="2019"/>
      <c r="E9" s="2019"/>
      <c r="F9" s="2019"/>
      <c r="G9" s="2019"/>
      <c r="H9" s="2019"/>
      <c r="I9" s="2020"/>
      <c r="J9" s="2020"/>
      <c r="K9" s="2021"/>
      <c r="L9" s="2021"/>
      <c r="M9" s="2021"/>
      <c r="N9" s="2021"/>
      <c r="O9" s="2021"/>
      <c r="P9" s="3856"/>
      <c r="Q9" s="3857"/>
      <c r="R9" s="2934"/>
      <c r="S9" s="2934"/>
      <c r="T9" s="2934"/>
      <c r="U9" s="2934"/>
      <c r="V9" s="2934"/>
      <c r="W9" s="2934"/>
      <c r="X9" s="2934"/>
      <c r="Y9" s="2934"/>
      <c r="Z9" s="2934"/>
      <c r="AA9" s="2934"/>
      <c r="AB9" s="2934"/>
    </row>
    <row r="10" spans="1:28" s="2022" customFormat="1" ht="14.4">
      <c r="A10" s="2023" t="s">
        <v>3066</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3.8">
      <c r="A11" s="3858" t="s">
        <v>1329</v>
      </c>
      <c r="B11" s="3859"/>
      <c r="C11" s="3859"/>
      <c r="D11" s="3859"/>
      <c r="E11" s="3859"/>
      <c r="F11" s="3859"/>
      <c r="G11" s="3859"/>
      <c r="H11" s="3859"/>
      <c r="I11" s="3859"/>
      <c r="J11" s="3859"/>
      <c r="K11" s="3859"/>
      <c r="L11" s="3859"/>
      <c r="M11" s="3859"/>
      <c r="N11" s="3859"/>
      <c r="O11" s="3859"/>
      <c r="P11" s="3859"/>
      <c r="Q11" s="3860"/>
      <c r="R11" s="2934"/>
      <c r="S11" s="2934"/>
      <c r="T11" s="2934"/>
      <c r="U11" s="2934"/>
      <c r="V11" s="2934"/>
      <c r="W11" s="2934"/>
      <c r="X11" s="2934"/>
      <c r="Y11" s="2934"/>
      <c r="Z11" s="2934"/>
      <c r="AA11" s="2934"/>
      <c r="AB11" s="2934"/>
    </row>
    <row r="12" spans="1:28" s="2022" customFormat="1" ht="13.8">
      <c r="A12" s="3847" t="s">
        <v>218</v>
      </c>
      <c r="B12" s="3848"/>
      <c r="C12" s="3848"/>
      <c r="D12" s="3848"/>
      <c r="E12" s="3848"/>
      <c r="F12" s="3848"/>
      <c r="G12" s="3848"/>
      <c r="H12" s="3848"/>
      <c r="I12" s="3848"/>
      <c r="J12" s="3848"/>
      <c r="K12" s="3848"/>
      <c r="L12" s="3848"/>
      <c r="M12" s="3848"/>
      <c r="N12" s="3848"/>
      <c r="O12" s="3848"/>
      <c r="P12" s="3848"/>
      <c r="Q12" s="3849"/>
      <c r="R12" s="2934"/>
      <c r="S12" s="2934"/>
      <c r="T12" s="2934"/>
      <c r="U12" s="2934"/>
      <c r="V12" s="2934"/>
      <c r="W12" s="2934"/>
      <c r="X12" s="2934"/>
      <c r="Y12" s="2934"/>
      <c r="Z12" s="2934"/>
      <c r="AA12" s="2934"/>
      <c r="AB12" s="2934"/>
    </row>
    <row r="13" spans="1:28" s="2022" customFormat="1" ht="13.8">
      <c r="A13" s="3847" t="s">
        <v>1325</v>
      </c>
      <c r="B13" s="3848"/>
      <c r="C13" s="3848"/>
      <c r="D13" s="3848"/>
      <c r="E13" s="3848"/>
      <c r="F13" s="3848"/>
      <c r="G13" s="3848"/>
      <c r="H13" s="3848"/>
      <c r="I13" s="3848"/>
      <c r="J13" s="3848"/>
      <c r="K13" s="3848"/>
      <c r="L13" s="3848"/>
      <c r="M13" s="3848"/>
      <c r="N13" s="3848"/>
      <c r="O13" s="3848"/>
      <c r="P13" s="3848"/>
      <c r="Q13" s="3849"/>
      <c r="R13" s="2934"/>
      <c r="S13" s="2934"/>
      <c r="T13" s="2934"/>
      <c r="U13" s="2934"/>
      <c r="V13" s="2934"/>
      <c r="W13" s="2934"/>
      <c r="X13" s="2934"/>
      <c r="Y13" s="2934"/>
      <c r="Z13" s="2934"/>
      <c r="AA13" s="2934"/>
      <c r="AB13" s="2934"/>
    </row>
    <row r="14" spans="1:28" s="2022" customFormat="1" ht="13.8">
      <c r="A14" s="3847" t="s">
        <v>1326</v>
      </c>
      <c r="B14" s="3848"/>
      <c r="C14" s="3848"/>
      <c r="D14" s="3848"/>
      <c r="E14" s="3848"/>
      <c r="F14" s="3848"/>
      <c r="G14" s="3848"/>
      <c r="H14" s="3848"/>
      <c r="I14" s="3848"/>
      <c r="J14" s="3848"/>
      <c r="K14" s="3848"/>
      <c r="L14" s="3848"/>
      <c r="M14" s="3848"/>
      <c r="N14" s="3848"/>
      <c r="O14" s="3848"/>
      <c r="P14" s="3848"/>
      <c r="Q14" s="3849"/>
      <c r="R14" s="2934"/>
      <c r="S14" s="2934"/>
      <c r="T14" s="2934"/>
      <c r="U14" s="2934"/>
      <c r="V14" s="2934"/>
      <c r="W14" s="2934"/>
      <c r="X14" s="2934"/>
      <c r="Y14" s="2934"/>
      <c r="Z14" s="2934"/>
      <c r="AA14" s="2934"/>
      <c r="AB14" s="2934"/>
    </row>
    <row r="15" spans="1:28" s="2022" customFormat="1" ht="13.8">
      <c r="A15" s="3847" t="s">
        <v>1327</v>
      </c>
      <c r="B15" s="3848"/>
      <c r="C15" s="3848"/>
      <c r="D15" s="3848"/>
      <c r="E15" s="3848"/>
      <c r="F15" s="3848"/>
      <c r="G15" s="3848"/>
      <c r="H15" s="3848"/>
      <c r="I15" s="3848"/>
      <c r="J15" s="3848"/>
      <c r="K15" s="3848"/>
      <c r="L15" s="3848"/>
      <c r="M15" s="3848"/>
      <c r="N15" s="3848"/>
      <c r="O15" s="3848"/>
      <c r="P15" s="3848"/>
      <c r="Q15" s="3849"/>
      <c r="R15" s="2934"/>
      <c r="S15" s="2934"/>
      <c r="T15" s="2934"/>
      <c r="U15" s="2934"/>
      <c r="V15" s="2934"/>
      <c r="W15" s="2934"/>
      <c r="X15" s="2934"/>
      <c r="Y15" s="2934"/>
      <c r="Z15" s="2934"/>
      <c r="AA15" s="2934"/>
      <c r="AB15" s="2934"/>
    </row>
    <row r="16" spans="1:28" s="2022" customFormat="1" ht="13.8">
      <c r="A16" s="3847" t="s">
        <v>1328</v>
      </c>
      <c r="B16" s="3848"/>
      <c r="C16" s="3848"/>
      <c r="D16" s="3848"/>
      <c r="E16" s="3848"/>
      <c r="F16" s="3848"/>
      <c r="G16" s="3848"/>
      <c r="H16" s="3848"/>
      <c r="I16" s="3848"/>
      <c r="J16" s="3848"/>
      <c r="K16" s="3848"/>
      <c r="L16" s="3848"/>
      <c r="M16" s="3848"/>
      <c r="N16" s="3848"/>
      <c r="O16" s="3848"/>
      <c r="P16" s="3848"/>
      <c r="Q16" s="3849"/>
      <c r="R16" s="2934"/>
      <c r="S16" s="2934"/>
      <c r="T16" s="2934"/>
      <c r="U16" s="2934"/>
      <c r="V16" s="2934"/>
      <c r="W16" s="2934"/>
      <c r="X16" s="2934"/>
      <c r="Y16" s="2934"/>
      <c r="Z16" s="2934"/>
      <c r="AA16" s="2934"/>
      <c r="AB16" s="2934"/>
    </row>
    <row r="17" spans="1:28" s="2022" customFormat="1" ht="13.8">
      <c r="A17" s="3847" t="s">
        <v>1330</v>
      </c>
      <c r="B17" s="3848"/>
      <c r="C17" s="3848"/>
      <c r="D17" s="3848"/>
      <c r="E17" s="3848"/>
      <c r="F17" s="3848"/>
      <c r="G17" s="3848"/>
      <c r="H17" s="3848"/>
      <c r="I17" s="3848"/>
      <c r="J17" s="3848"/>
      <c r="K17" s="3848"/>
      <c r="L17" s="3848"/>
      <c r="M17" s="3848"/>
      <c r="N17" s="3848"/>
      <c r="O17" s="3848"/>
      <c r="P17" s="3848"/>
      <c r="Q17" s="3849"/>
      <c r="R17" s="2934"/>
      <c r="S17" s="2934"/>
      <c r="T17" s="2934"/>
      <c r="U17" s="2934"/>
      <c r="V17" s="2934"/>
      <c r="W17" s="2934"/>
      <c r="X17" s="2934"/>
      <c r="Y17" s="2934"/>
      <c r="Z17" s="2934"/>
      <c r="AA17" s="2934"/>
      <c r="AB17" s="2934"/>
    </row>
    <row r="18" spans="1:28" s="2022" customFormat="1" ht="13.8">
      <c r="A18" s="3847" t="s">
        <v>1872</v>
      </c>
      <c r="B18" s="3848"/>
      <c r="C18" s="3848"/>
      <c r="D18" s="3848"/>
      <c r="E18" s="3848"/>
      <c r="F18" s="3848"/>
      <c r="G18" s="3848"/>
      <c r="H18" s="3848"/>
      <c r="I18" s="3848"/>
      <c r="J18" s="3848"/>
      <c r="K18" s="3848"/>
      <c r="L18" s="3848"/>
      <c r="M18" s="3848"/>
      <c r="N18" s="3848"/>
      <c r="O18" s="3848"/>
      <c r="P18" s="3848"/>
      <c r="Q18" s="3849"/>
      <c r="R18" s="2934"/>
      <c r="S18" s="2934"/>
      <c r="T18" s="2934"/>
      <c r="U18" s="2934"/>
      <c r="V18" s="2934"/>
      <c r="W18" s="2934"/>
      <c r="X18" s="2934"/>
      <c r="Y18" s="2934"/>
      <c r="Z18" s="2934"/>
      <c r="AA18" s="2934"/>
      <c r="AB18" s="2934"/>
    </row>
    <row r="19" spans="1:28" s="2022" customFormat="1" ht="13.8">
      <c r="A19" s="3847" t="s">
        <v>1873</v>
      </c>
      <c r="B19" s="3848"/>
      <c r="C19" s="3848"/>
      <c r="D19" s="3848"/>
      <c r="E19" s="3848"/>
      <c r="F19" s="3848"/>
      <c r="G19" s="3848"/>
      <c r="H19" s="3848"/>
      <c r="I19" s="3848"/>
      <c r="J19" s="3848"/>
      <c r="K19" s="3848"/>
      <c r="L19" s="3848"/>
      <c r="M19" s="3848"/>
      <c r="N19" s="3848"/>
      <c r="O19" s="3848"/>
      <c r="P19" s="3848"/>
      <c r="Q19" s="3849"/>
      <c r="R19" s="2934"/>
      <c r="S19" s="2934"/>
      <c r="T19" s="2934"/>
      <c r="U19" s="2934"/>
      <c r="V19" s="2934"/>
      <c r="W19" s="2934"/>
      <c r="X19" s="2934"/>
      <c r="Y19" s="2934"/>
      <c r="Z19" s="2934"/>
      <c r="AA19" s="2934"/>
      <c r="AB19" s="2934"/>
    </row>
    <row r="20" spans="1:28" s="2022" customFormat="1" ht="13.8">
      <c r="A20" s="3847" t="s">
        <v>1874</v>
      </c>
      <c r="B20" s="3848"/>
      <c r="C20" s="3848"/>
      <c r="D20" s="3848"/>
      <c r="E20" s="3848"/>
      <c r="F20" s="3848"/>
      <c r="G20" s="3848"/>
      <c r="H20" s="3848"/>
      <c r="I20" s="3848"/>
      <c r="J20" s="3848"/>
      <c r="K20" s="3848"/>
      <c r="L20" s="3848"/>
      <c r="M20" s="3848"/>
      <c r="N20" s="3848"/>
      <c r="O20" s="3848"/>
      <c r="P20" s="3848"/>
      <c r="Q20" s="3849"/>
      <c r="R20" s="2934"/>
      <c r="S20" s="2934"/>
      <c r="T20" s="2934"/>
      <c r="U20" s="2934"/>
      <c r="V20" s="2934"/>
      <c r="W20" s="2934"/>
      <c r="X20" s="2934"/>
      <c r="Y20" s="2934"/>
      <c r="Z20" s="2934"/>
      <c r="AA20" s="2934"/>
      <c r="AB20" s="2934"/>
    </row>
    <row r="21" spans="1:28" s="2022" customFormat="1" ht="13.8">
      <c r="A21" s="3847" t="s">
        <v>1875</v>
      </c>
      <c r="B21" s="3848"/>
      <c r="C21" s="3848"/>
      <c r="D21" s="3848"/>
      <c r="E21" s="3848"/>
      <c r="F21" s="3848"/>
      <c r="G21" s="3848"/>
      <c r="H21" s="3848"/>
      <c r="I21" s="3848"/>
      <c r="J21" s="3848"/>
      <c r="K21" s="3848"/>
      <c r="L21" s="3848"/>
      <c r="M21" s="3848"/>
      <c r="N21" s="3848"/>
      <c r="O21" s="3848"/>
      <c r="P21" s="3848"/>
      <c r="Q21" s="3849"/>
      <c r="R21" s="2934"/>
      <c r="S21" s="2934"/>
      <c r="T21" s="2934"/>
      <c r="U21" s="2934"/>
      <c r="V21" s="2934"/>
      <c r="W21" s="2934"/>
      <c r="X21" s="2934"/>
      <c r="Y21" s="2934"/>
      <c r="Z21" s="2934"/>
      <c r="AA21" s="2934"/>
      <c r="AB21" s="2934"/>
    </row>
    <row r="22" spans="1:28" s="2022" customFormat="1" ht="13.8">
      <c r="A22" s="3847" t="s">
        <v>1876</v>
      </c>
      <c r="B22" s="3848"/>
      <c r="C22" s="3848"/>
      <c r="D22" s="3848"/>
      <c r="E22" s="3848"/>
      <c r="F22" s="3848"/>
      <c r="G22" s="3848"/>
      <c r="H22" s="3848"/>
      <c r="I22" s="3848"/>
      <c r="J22" s="3848"/>
      <c r="K22" s="3848"/>
      <c r="L22" s="3848"/>
      <c r="M22" s="3848"/>
      <c r="N22" s="3848"/>
      <c r="O22" s="3848"/>
      <c r="P22" s="3848"/>
      <c r="Q22" s="3849"/>
      <c r="R22" s="2934"/>
      <c r="S22" s="2934"/>
      <c r="T22" s="2934"/>
      <c r="U22" s="2934"/>
      <c r="V22" s="2934"/>
      <c r="W22" s="2934"/>
      <c r="X22" s="2934"/>
      <c r="Y22" s="2934"/>
      <c r="Z22" s="2934"/>
      <c r="AA22" s="2934"/>
      <c r="AB22" s="2934"/>
    </row>
    <row r="23" spans="1:28" s="2022" customFormat="1" ht="13.8">
      <c r="A23" s="3847" t="s">
        <v>1877</v>
      </c>
      <c r="B23" s="3848"/>
      <c r="C23" s="3848"/>
      <c r="D23" s="3848"/>
      <c r="E23" s="3848"/>
      <c r="F23" s="3848"/>
      <c r="G23" s="3848"/>
      <c r="H23" s="3848"/>
      <c r="I23" s="3848"/>
      <c r="J23" s="3848"/>
      <c r="K23" s="3848"/>
      <c r="L23" s="3848"/>
      <c r="M23" s="3848"/>
      <c r="N23" s="3848"/>
      <c r="O23" s="3848"/>
      <c r="P23" s="3848"/>
      <c r="Q23" s="3849"/>
      <c r="R23" s="2934"/>
      <c r="S23" s="2934"/>
      <c r="T23" s="2934"/>
      <c r="U23" s="2934"/>
      <c r="V23" s="2934"/>
      <c r="W23" s="2934"/>
      <c r="X23" s="2934"/>
      <c r="Y23" s="2934"/>
      <c r="Z23" s="2934"/>
      <c r="AA23" s="2934"/>
      <c r="AB23" s="2934"/>
    </row>
    <row r="24" spans="1:28" s="2022" customFormat="1" ht="13.8">
      <c r="A24" s="3847" t="s">
        <v>1878</v>
      </c>
      <c r="B24" s="3848"/>
      <c r="C24" s="3848"/>
      <c r="D24" s="3848"/>
      <c r="E24" s="3848"/>
      <c r="F24" s="3848"/>
      <c r="G24" s="3848"/>
      <c r="H24" s="3848"/>
      <c r="I24" s="3848"/>
      <c r="J24" s="3848"/>
      <c r="K24" s="3848"/>
      <c r="L24" s="3848"/>
      <c r="M24" s="3848"/>
      <c r="N24" s="3848"/>
      <c r="O24" s="3848"/>
      <c r="P24" s="3848"/>
      <c r="Q24" s="3849"/>
      <c r="R24" s="2934"/>
      <c r="S24" s="2934"/>
      <c r="T24" s="2934"/>
      <c r="U24" s="2934"/>
      <c r="V24" s="2934"/>
      <c r="W24" s="2934"/>
      <c r="X24" s="2934"/>
      <c r="Y24" s="2934"/>
      <c r="Z24" s="2934"/>
      <c r="AA24" s="2934"/>
      <c r="AB24" s="2934"/>
    </row>
    <row r="25" spans="1:28" s="2022" customFormat="1" ht="13.8">
      <c r="A25" s="3847" t="s">
        <v>1879</v>
      </c>
      <c r="B25" s="3848"/>
      <c r="C25" s="3848"/>
      <c r="D25" s="3848"/>
      <c r="E25" s="3848"/>
      <c r="F25" s="3848"/>
      <c r="G25" s="3848"/>
      <c r="H25" s="3848"/>
      <c r="I25" s="3848"/>
      <c r="J25" s="3848"/>
      <c r="K25" s="3848"/>
      <c r="L25" s="3848"/>
      <c r="M25" s="3848"/>
      <c r="N25" s="3848"/>
      <c r="O25" s="3848"/>
      <c r="P25" s="3848"/>
      <c r="Q25" s="3849"/>
      <c r="R25" s="2934"/>
      <c r="S25" s="2934"/>
      <c r="T25" s="2934"/>
      <c r="U25" s="2934"/>
      <c r="V25" s="2934"/>
      <c r="W25" s="2934"/>
      <c r="X25" s="2934"/>
      <c r="Y25" s="2934"/>
      <c r="Z25" s="2934"/>
      <c r="AA25" s="2934"/>
      <c r="AB25" s="2934"/>
    </row>
    <row r="26" spans="1:28" s="2022" customFormat="1" ht="13.8">
      <c r="A26" s="3847" t="s">
        <v>1880</v>
      </c>
      <c r="B26" s="3848"/>
      <c r="C26" s="3848"/>
      <c r="D26" s="3848"/>
      <c r="E26" s="3848"/>
      <c r="F26" s="3848"/>
      <c r="G26" s="3848"/>
      <c r="H26" s="3848"/>
      <c r="I26" s="3848"/>
      <c r="J26" s="3848"/>
      <c r="K26" s="3848"/>
      <c r="L26" s="3848"/>
      <c r="M26" s="3848"/>
      <c r="N26" s="3848"/>
      <c r="O26" s="3848"/>
      <c r="P26" s="3848"/>
      <c r="Q26" s="3849"/>
      <c r="R26" s="2934"/>
      <c r="S26" s="2934"/>
      <c r="T26" s="2934"/>
      <c r="U26" s="2934"/>
      <c r="V26" s="2934"/>
      <c r="W26" s="2934"/>
      <c r="X26" s="2934"/>
      <c r="Y26" s="2934"/>
      <c r="Z26" s="2934"/>
      <c r="AA26" s="2934"/>
      <c r="AB26" s="2934"/>
    </row>
    <row r="27" spans="1:28" s="2022" customFormat="1" ht="13.8">
      <c r="A27" s="3847" t="s">
        <v>1881</v>
      </c>
      <c r="B27" s="3848"/>
      <c r="C27" s="3848"/>
      <c r="D27" s="3848"/>
      <c r="E27" s="3848"/>
      <c r="F27" s="3848"/>
      <c r="G27" s="3848"/>
      <c r="H27" s="3848"/>
      <c r="I27" s="3848"/>
      <c r="J27" s="3848"/>
      <c r="K27" s="3848"/>
      <c r="L27" s="3848"/>
      <c r="M27" s="3848"/>
      <c r="N27" s="3848"/>
      <c r="O27" s="3848"/>
      <c r="P27" s="3848"/>
      <c r="Q27" s="3849"/>
      <c r="R27" s="2934"/>
      <c r="S27" s="2934"/>
      <c r="T27" s="2934"/>
      <c r="U27" s="2934"/>
      <c r="V27" s="2934"/>
      <c r="W27" s="2934"/>
      <c r="X27" s="2934"/>
      <c r="Y27" s="2934"/>
      <c r="Z27" s="2934"/>
      <c r="AA27" s="2934"/>
      <c r="AB27" s="2934"/>
    </row>
    <row r="28" spans="1:28" s="2022" customFormat="1" ht="13.8">
      <c r="A28" s="3850" t="s">
        <v>1882</v>
      </c>
      <c r="B28" s="3851"/>
      <c r="C28" s="3851"/>
      <c r="D28" s="3851"/>
      <c r="E28" s="3851"/>
      <c r="F28" s="3851"/>
      <c r="G28" s="3851"/>
      <c r="H28" s="3851"/>
      <c r="I28" s="3851"/>
      <c r="J28" s="3851"/>
      <c r="K28" s="3851"/>
      <c r="L28" s="3851"/>
      <c r="M28" s="3851"/>
      <c r="N28" s="3851"/>
      <c r="O28" s="3851"/>
      <c r="P28" s="3851"/>
      <c r="Q28" s="3852"/>
      <c r="R28" s="2934"/>
      <c r="S28" s="2934"/>
      <c r="T28" s="2934"/>
      <c r="U28" s="2934"/>
      <c r="V28" s="2934"/>
      <c r="W28" s="2934"/>
      <c r="X28" s="2934"/>
      <c r="Y28" s="2934"/>
      <c r="Z28" s="2934"/>
      <c r="AA28" s="2934"/>
      <c r="AB28" s="2934"/>
    </row>
    <row r="29" spans="1:28" s="2022" customFormat="1" ht="13.8">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c r="A31" s="2042" t="s">
        <v>689</v>
      </c>
      <c r="B31" s="2029" t="s">
        <v>6633</v>
      </c>
      <c r="C31" s="2029"/>
      <c r="D31" s="2029"/>
      <c r="E31" s="2029"/>
      <c r="F31" s="2029"/>
      <c r="G31" s="2029"/>
      <c r="I31" s="2031"/>
      <c r="J31" s="2031"/>
      <c r="K31" s="2031"/>
      <c r="L31" s="2026"/>
      <c r="M31" s="2026"/>
      <c r="O31" s="2032" t="s">
        <v>1731</v>
      </c>
      <c r="P31" s="3853"/>
      <c r="Q31" s="3854"/>
    </row>
    <row r="32" spans="1:28" ht="20.25" customHeight="1">
      <c r="B32" s="2034" t="s">
        <v>6774</v>
      </c>
      <c r="C32" s="2034"/>
      <c r="D32" s="2034"/>
      <c r="E32" s="2034"/>
      <c r="F32" s="2034"/>
      <c r="G32" s="2031"/>
      <c r="H32" s="2031"/>
      <c r="I32" s="2031"/>
      <c r="J32" s="2031"/>
      <c r="K32" s="2026"/>
      <c r="L32" s="2026"/>
      <c r="M32" s="2026"/>
      <c r="N32" s="2026"/>
      <c r="O32" s="2026"/>
      <c r="P32" s="2026"/>
    </row>
    <row r="33" spans="1:28" ht="27.6" customHeight="1">
      <c r="A33" s="3711" t="s">
        <v>7079</v>
      </c>
      <c r="B33" s="3711"/>
      <c r="C33" s="3711"/>
      <c r="D33" s="3711"/>
      <c r="E33" s="3711"/>
      <c r="F33" s="3711"/>
      <c r="G33" s="3711"/>
      <c r="H33" s="3711"/>
      <c r="I33" s="3711"/>
      <c r="J33" s="3711"/>
      <c r="K33" s="3711"/>
      <c r="L33" s="3711"/>
      <c r="M33" s="3711"/>
      <c r="N33" s="3711"/>
      <c r="O33" s="3711"/>
      <c r="P33" s="3711"/>
      <c r="Q33" s="3767"/>
    </row>
    <row r="34" spans="1:28" ht="20.25" customHeight="1">
      <c r="B34" s="2034" t="s">
        <v>1730</v>
      </c>
      <c r="C34" s="2035"/>
      <c r="D34" s="2036"/>
      <c r="E34" s="2036"/>
      <c r="F34" s="2036"/>
      <c r="G34" s="2036"/>
      <c r="H34" s="2036"/>
      <c r="I34" s="2036"/>
      <c r="J34" s="2036"/>
      <c r="K34" s="2036"/>
      <c r="L34" s="2036"/>
      <c r="M34" s="2036"/>
      <c r="N34" s="2036"/>
      <c r="O34" s="2036"/>
      <c r="P34" s="2036"/>
    </row>
    <row r="35" spans="1:28" ht="20.25" customHeight="1">
      <c r="A35" s="3787"/>
      <c r="B35" s="3787"/>
      <c r="C35" s="3787"/>
      <c r="D35" s="3787"/>
      <c r="E35" s="3787"/>
      <c r="F35" s="3787"/>
      <c r="G35" s="3787"/>
      <c r="H35" s="3787"/>
      <c r="I35" s="3787"/>
      <c r="J35" s="3787"/>
      <c r="K35" s="3787"/>
      <c r="L35" s="3787"/>
      <c r="M35" s="3787"/>
      <c r="N35" s="3787"/>
      <c r="O35" s="3787"/>
      <c r="P35" s="3787"/>
      <c r="Q35" s="3787"/>
    </row>
    <row r="36" spans="1:28" s="2041" customFormat="1" ht="20.25" customHeight="1">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c r="B37" s="2031"/>
      <c r="C37" s="2036"/>
      <c r="D37" s="2036"/>
      <c r="E37" s="2036"/>
      <c r="F37" s="2036"/>
      <c r="G37" s="2036"/>
      <c r="H37" s="2036"/>
      <c r="I37" s="2036"/>
      <c r="J37" s="2036"/>
      <c r="K37" s="2036"/>
      <c r="L37" s="2036"/>
      <c r="M37" s="2036"/>
      <c r="N37" s="2036"/>
      <c r="O37" s="2036"/>
      <c r="P37" s="2036"/>
      <c r="Q37" s="2026"/>
    </row>
    <row r="38" spans="1:28" ht="20.25" customHeight="1">
      <c r="A38" s="2042" t="s">
        <v>691</v>
      </c>
      <c r="B38" s="2029" t="s">
        <v>1118</v>
      </c>
      <c r="C38" s="2029"/>
      <c r="D38" s="2029"/>
      <c r="E38" s="2036"/>
      <c r="F38" s="2036"/>
      <c r="G38" s="2043"/>
      <c r="O38" s="2032" t="s">
        <v>1731</v>
      </c>
      <c r="P38" s="3709"/>
      <c r="Q38" s="3754"/>
    </row>
    <row r="39" spans="1:28" ht="20.25" customHeight="1">
      <c r="A39" s="2042"/>
      <c r="B39" s="3846" t="s">
        <v>6775</v>
      </c>
      <c r="C39" s="3846"/>
      <c r="D39" s="3846"/>
      <c r="E39" s="3846"/>
      <c r="F39" s="3846"/>
      <c r="G39" s="3846"/>
      <c r="H39" s="3846"/>
      <c r="I39" s="3846"/>
      <c r="J39" s="3846"/>
      <c r="K39" s="3846"/>
      <c r="L39" s="3846"/>
      <c r="M39" s="3846"/>
      <c r="N39" s="3846"/>
      <c r="O39" s="3846"/>
      <c r="P39" s="3724" t="s">
        <v>2649</v>
      </c>
      <c r="Q39" s="3725"/>
    </row>
    <row r="40" spans="1:28" ht="20.25" customHeight="1">
      <c r="B40" s="2045" t="s">
        <v>3240</v>
      </c>
      <c r="D40" s="2045"/>
      <c r="E40" s="2045"/>
      <c r="F40" s="2045"/>
      <c r="G40" s="2045"/>
      <c r="H40" s="2043"/>
      <c r="I40" s="2031"/>
      <c r="J40" s="2031"/>
    </row>
    <row r="41" spans="1:28" ht="31.2" customHeight="1">
      <c r="A41" s="3743" t="s">
        <v>7080</v>
      </c>
      <c r="B41" s="3744"/>
      <c r="C41" s="3744"/>
      <c r="D41" s="3744"/>
      <c r="E41" s="3744"/>
      <c r="F41" s="3744"/>
      <c r="G41" s="3744"/>
      <c r="H41" s="3744"/>
      <c r="I41" s="3744"/>
      <c r="J41" s="3744"/>
      <c r="K41" s="3744"/>
      <c r="L41" s="3744"/>
      <c r="M41" s="3744"/>
      <c r="N41" s="3744"/>
      <c r="O41" s="3744"/>
      <c r="P41" s="3744"/>
      <c r="Q41" s="3745"/>
    </row>
    <row r="42" spans="1:28" ht="20.25" customHeight="1">
      <c r="A42" s="2026"/>
      <c r="B42" s="2034" t="s">
        <v>1730</v>
      </c>
      <c r="C42" s="2026"/>
      <c r="D42" s="2026"/>
      <c r="E42" s="2026"/>
      <c r="F42" s="2026"/>
      <c r="G42" s="2026"/>
      <c r="H42" s="2026"/>
      <c r="I42" s="2036"/>
      <c r="J42" s="2036"/>
      <c r="K42" s="2036"/>
      <c r="L42" s="2036"/>
      <c r="M42" s="2036"/>
      <c r="N42" s="2036"/>
      <c r="O42" s="2036"/>
      <c r="P42" s="2036"/>
      <c r="Q42" s="2026"/>
    </row>
    <row r="43" spans="1:28" ht="20.25" customHeight="1">
      <c r="A43" s="3787"/>
      <c r="B43" s="3787"/>
      <c r="C43" s="3787"/>
      <c r="D43" s="3787"/>
      <c r="E43" s="3787"/>
      <c r="F43" s="3787"/>
      <c r="G43" s="3787"/>
      <c r="H43" s="3787"/>
      <c r="I43" s="3787"/>
      <c r="J43" s="3787"/>
      <c r="K43" s="3787"/>
      <c r="L43" s="3787"/>
      <c r="M43" s="3787"/>
      <c r="N43" s="3787"/>
      <c r="O43" s="3787"/>
      <c r="P43" s="3787"/>
      <c r="Q43" s="3787"/>
    </row>
    <row r="44" spans="1:28" ht="20.25" customHeight="1">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c r="A46" s="2042" t="s">
        <v>1666</v>
      </c>
      <c r="B46" s="2042" t="s">
        <v>2422</v>
      </c>
      <c r="C46" s="2042"/>
      <c r="D46" s="2036"/>
      <c r="E46" s="2036"/>
      <c r="F46" s="2036"/>
      <c r="G46" s="2036"/>
      <c r="H46" s="2036"/>
      <c r="I46" s="2036"/>
      <c r="J46" s="2036"/>
      <c r="L46" s="2051"/>
      <c r="M46" s="2052"/>
      <c r="O46" s="2032" t="s">
        <v>1731</v>
      </c>
      <c r="P46" s="3709"/>
      <c r="Q46" s="3722"/>
    </row>
    <row r="47" spans="1:28" ht="20.25" customHeight="1">
      <c r="A47" s="2053"/>
      <c r="B47" s="2043" t="s">
        <v>6776</v>
      </c>
      <c r="C47" s="2042"/>
      <c r="D47" s="2036"/>
      <c r="E47" s="2036"/>
      <c r="F47" s="2036"/>
      <c r="G47" s="2036"/>
      <c r="H47" s="2036"/>
      <c r="I47" s="2036"/>
      <c r="J47" s="2036"/>
      <c r="L47" s="2051"/>
      <c r="M47" s="2052"/>
      <c r="O47" s="2032"/>
      <c r="P47" s="3724" t="s">
        <v>2649</v>
      </c>
      <c r="Q47" s="3725"/>
    </row>
    <row r="48" spans="1:28" ht="20.25" customHeight="1">
      <c r="B48" s="2045" t="s">
        <v>3240</v>
      </c>
      <c r="D48" s="2045"/>
      <c r="E48" s="2045"/>
      <c r="F48" s="2045"/>
      <c r="G48" s="2045"/>
      <c r="H48" s="2043"/>
      <c r="I48" s="2031"/>
      <c r="J48" s="2031"/>
      <c r="K48" s="2034" t="s">
        <v>1730</v>
      </c>
      <c r="L48" s="2026"/>
      <c r="M48" s="2026"/>
      <c r="N48" s="2026"/>
      <c r="O48" s="2026"/>
      <c r="P48" s="2026"/>
      <c r="Q48" s="2026"/>
    </row>
    <row r="49" spans="1:28" ht="33.6" customHeight="1">
      <c r="A49" s="3711" t="s">
        <v>7081</v>
      </c>
      <c r="B49" s="3711"/>
      <c r="C49" s="3711"/>
      <c r="D49" s="3711"/>
      <c r="E49" s="3711"/>
      <c r="F49" s="3711"/>
      <c r="G49" s="3711"/>
      <c r="H49" s="3711"/>
      <c r="I49" s="3711"/>
      <c r="J49" s="3711"/>
      <c r="K49" s="3706"/>
      <c r="L49" s="3706"/>
      <c r="M49" s="3706"/>
      <c r="N49" s="3706"/>
      <c r="O49" s="3706"/>
      <c r="P49" s="3706"/>
      <c r="Q49" s="3768"/>
    </row>
    <row r="50" spans="1:28" ht="20.25" customHeight="1">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c r="A52" s="2042" t="s">
        <v>1668</v>
      </c>
      <c r="B52" s="2042" t="s">
        <v>4019</v>
      </c>
      <c r="C52" s="2042"/>
      <c r="D52" s="2036"/>
      <c r="E52" s="2036"/>
      <c r="F52" s="2036"/>
      <c r="G52" s="2036"/>
      <c r="H52" s="2054"/>
      <c r="J52" s="2053"/>
      <c r="K52" s="2020"/>
      <c r="L52" s="2053"/>
      <c r="M52" s="2055"/>
      <c r="O52" s="2032" t="s">
        <v>1731</v>
      </c>
      <c r="P52" s="3709"/>
      <c r="Q52" s="3722"/>
    </row>
    <row r="53" spans="1:28" ht="33" customHeight="1">
      <c r="A53" s="2053"/>
      <c r="B53" s="3723" t="s">
        <v>2264</v>
      </c>
      <c r="C53" s="3723"/>
      <c r="D53" s="3723"/>
      <c r="E53" s="3723"/>
      <c r="F53" s="3723"/>
      <c r="G53" s="3723"/>
      <c r="H53" s="3755"/>
      <c r="I53" s="3781" t="s">
        <v>7082</v>
      </c>
      <c r="J53" s="3782"/>
      <c r="K53" s="3782"/>
      <c r="L53" s="3782"/>
      <c r="M53" s="3782"/>
      <c r="N53" s="3782"/>
      <c r="O53" s="3782"/>
      <c r="P53" s="3782"/>
      <c r="Q53" s="3783"/>
    </row>
    <row r="54" spans="1:28" ht="20.25" customHeight="1">
      <c r="A54" s="2053"/>
      <c r="B54" s="2030" t="s">
        <v>6777</v>
      </c>
      <c r="D54" s="2056"/>
      <c r="E54" s="2056"/>
      <c r="F54" s="2056"/>
      <c r="I54" s="5008">
        <v>0.78800000000000003</v>
      </c>
      <c r="J54" s="3845"/>
      <c r="K54" s="3844"/>
      <c r="L54" s="2044"/>
      <c r="M54" s="2057"/>
      <c r="N54" s="2057"/>
      <c r="O54" s="2057"/>
      <c r="P54" s="2057"/>
      <c r="Q54" s="2026"/>
    </row>
    <row r="55" spans="1:28" ht="20.25" customHeight="1">
      <c r="A55" s="2053"/>
      <c r="B55" s="2030" t="s">
        <v>6778</v>
      </c>
      <c r="D55" s="2056"/>
      <c r="E55" s="2056"/>
      <c r="F55" s="2056"/>
      <c r="H55" s="2044" t="s">
        <v>6779</v>
      </c>
      <c r="I55" s="5008">
        <v>0.76200000000000001</v>
      </c>
      <c r="J55" s="3845"/>
      <c r="K55" s="3844"/>
      <c r="L55" s="2058"/>
      <c r="M55" s="2059" t="s">
        <v>6780</v>
      </c>
      <c r="N55" s="3834" t="s">
        <v>1610</v>
      </c>
      <c r="O55" s="3844"/>
      <c r="P55" s="2033"/>
      <c r="Q55" s="2033"/>
    </row>
    <row r="56" spans="1:28" ht="20.25" customHeight="1">
      <c r="B56" s="2060" t="s">
        <v>3240</v>
      </c>
      <c r="D56" s="2060"/>
      <c r="E56" s="2060"/>
      <c r="F56" s="2060"/>
      <c r="G56" s="2060"/>
      <c r="H56" s="2043"/>
      <c r="I56" s="2031"/>
      <c r="J56" s="2031"/>
      <c r="K56" s="2031"/>
      <c r="L56" s="2026"/>
      <c r="M56" s="2026"/>
      <c r="N56" s="2026"/>
      <c r="O56" s="2026"/>
      <c r="P56" s="2026"/>
      <c r="Q56" s="2026"/>
    </row>
    <row r="57" spans="1:28" ht="29.4" customHeight="1">
      <c r="A57" s="3711" t="s">
        <v>7083</v>
      </c>
      <c r="B57" s="3711"/>
      <c r="C57" s="3711"/>
      <c r="D57" s="3711"/>
      <c r="E57" s="3711"/>
      <c r="F57" s="3711"/>
      <c r="G57" s="3711"/>
      <c r="H57" s="3711"/>
      <c r="I57" s="3711"/>
      <c r="J57" s="3711"/>
      <c r="K57" s="3711"/>
      <c r="L57" s="3711"/>
      <c r="M57" s="3711"/>
      <c r="N57" s="3711"/>
      <c r="O57" s="3711"/>
      <c r="P57" s="3711"/>
      <c r="Q57" s="3767"/>
    </row>
    <row r="58" spans="1:28" ht="20.25" customHeight="1">
      <c r="B58" s="2034" t="s">
        <v>1730</v>
      </c>
      <c r="C58" s="2035"/>
      <c r="D58" s="2036"/>
      <c r="E58" s="2036"/>
      <c r="F58" s="2036"/>
      <c r="G58" s="2036"/>
      <c r="H58" s="2036"/>
      <c r="I58" s="2036"/>
      <c r="J58" s="2036"/>
      <c r="K58" s="2036"/>
      <c r="L58" s="2036"/>
      <c r="M58" s="2036"/>
      <c r="N58" s="2036"/>
      <c r="O58" s="2036"/>
      <c r="P58" s="2036"/>
      <c r="Q58" s="2036"/>
    </row>
    <row r="59" spans="1:28" ht="20.25" customHeight="1">
      <c r="A59" s="3706"/>
      <c r="B59" s="3706"/>
      <c r="C59" s="3706"/>
      <c r="D59" s="3706"/>
      <c r="E59" s="3706"/>
      <c r="F59" s="3706"/>
      <c r="G59" s="3706"/>
      <c r="H59" s="3706"/>
      <c r="I59" s="3706"/>
      <c r="J59" s="3706"/>
      <c r="K59" s="3706"/>
      <c r="L59" s="3706"/>
      <c r="M59" s="3706"/>
      <c r="N59" s="3706"/>
      <c r="O59" s="3706"/>
      <c r="P59" s="3706"/>
      <c r="Q59" s="3768"/>
    </row>
    <row r="60" spans="1:28" ht="20.25" customHeight="1">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c r="A62" s="2042" t="s">
        <v>496</v>
      </c>
      <c r="B62" s="2042" t="s">
        <v>2423</v>
      </c>
      <c r="C62" s="2042"/>
      <c r="D62" s="2036"/>
      <c r="E62" s="2036"/>
      <c r="F62" s="2036"/>
      <c r="G62" s="2036"/>
      <c r="H62" s="2036"/>
      <c r="I62" s="2036"/>
      <c r="J62" s="2036"/>
      <c r="K62" s="2036"/>
      <c r="L62" s="2036"/>
      <c r="M62" s="2036"/>
      <c r="O62" s="2032" t="s">
        <v>1731</v>
      </c>
      <c r="P62" s="3769"/>
      <c r="Q62" s="3801"/>
    </row>
    <row r="63" spans="1:28" ht="20.25" customHeight="1">
      <c r="A63" s="2053"/>
      <c r="B63" s="2030" t="s">
        <v>6781</v>
      </c>
      <c r="I63" s="2062"/>
      <c r="J63" s="3834" t="s">
        <v>2852</v>
      </c>
      <c r="K63" s="3834"/>
      <c r="L63" s="3834"/>
      <c r="M63" s="3834"/>
      <c r="N63" s="3834"/>
      <c r="O63" s="3834"/>
      <c r="P63" s="3834"/>
      <c r="Q63" s="3835"/>
    </row>
    <row r="64" spans="1:28" ht="20.25" customHeight="1">
      <c r="A64" s="2053"/>
      <c r="B64" s="2030" t="s">
        <v>3948</v>
      </c>
      <c r="O64" s="2044"/>
      <c r="P64" s="2065"/>
      <c r="Q64" s="2066"/>
    </row>
    <row r="65" spans="1:28" ht="33" customHeight="1">
      <c r="B65" s="2042"/>
      <c r="C65" s="3723" t="s">
        <v>6782</v>
      </c>
      <c r="D65" s="3723"/>
      <c r="E65" s="3723"/>
      <c r="F65" s="3723"/>
      <c r="G65" s="3723"/>
      <c r="H65" s="3723"/>
      <c r="I65" s="3723"/>
      <c r="J65" s="3723"/>
      <c r="K65" s="3723"/>
      <c r="L65" s="3723"/>
      <c r="M65" s="3723"/>
      <c r="N65" s="3723"/>
      <c r="O65" s="3723"/>
      <c r="P65" s="2065"/>
      <c r="Q65" s="2066"/>
    </row>
    <row r="66" spans="1:28" ht="33" customHeight="1">
      <c r="A66" s="2053"/>
      <c r="B66" s="2042"/>
      <c r="C66" s="3723" t="s">
        <v>6783</v>
      </c>
      <c r="D66" s="3723"/>
      <c r="E66" s="3723"/>
      <c r="F66" s="3723"/>
      <c r="G66" s="3723"/>
      <c r="H66" s="3723"/>
      <c r="I66" s="3723"/>
      <c r="J66" s="3723"/>
      <c r="K66" s="3723"/>
      <c r="L66" s="3723"/>
      <c r="M66" s="3723"/>
      <c r="N66" s="3723"/>
      <c r="O66" s="3723"/>
      <c r="P66" s="2067"/>
      <c r="Q66" s="2068"/>
    </row>
    <row r="67" spans="1:28" ht="20.25" customHeight="1">
      <c r="B67" s="2060" t="s">
        <v>6774</v>
      </c>
      <c r="D67" s="2060"/>
      <c r="E67" s="2060"/>
      <c r="F67" s="2060"/>
      <c r="G67" s="2060"/>
      <c r="H67" s="2043"/>
      <c r="I67" s="2031"/>
      <c r="J67" s="2031"/>
      <c r="K67" s="2031"/>
      <c r="L67" s="2026"/>
      <c r="M67" s="2026"/>
      <c r="N67" s="2026"/>
      <c r="O67" s="2026"/>
      <c r="P67" s="2026"/>
      <c r="Q67" s="2026"/>
    </row>
    <row r="68" spans="1:28" ht="20.25" customHeight="1">
      <c r="A68" s="3743" t="s">
        <v>7084</v>
      </c>
      <c r="B68" s="3763"/>
      <c r="C68" s="3763"/>
      <c r="D68" s="3763"/>
      <c r="E68" s="3763"/>
      <c r="F68" s="3763"/>
      <c r="G68" s="3763"/>
      <c r="H68" s="3763"/>
      <c r="I68" s="3763"/>
      <c r="J68" s="3763"/>
      <c r="K68" s="3763"/>
      <c r="L68" s="3763"/>
      <c r="M68" s="3763"/>
      <c r="N68" s="3763"/>
      <c r="O68" s="3763"/>
      <c r="P68" s="3763"/>
      <c r="Q68" s="3764"/>
    </row>
    <row r="69" spans="1:28" ht="20.25" customHeight="1">
      <c r="B69" s="2034" t="s">
        <v>1730</v>
      </c>
      <c r="C69" s="2035"/>
      <c r="D69" s="2036"/>
      <c r="E69" s="2036"/>
      <c r="F69" s="2036"/>
      <c r="G69" s="2036"/>
      <c r="H69" s="2036"/>
      <c r="I69" s="2036"/>
      <c r="J69" s="2036"/>
      <c r="K69" s="2036"/>
      <c r="L69" s="2036"/>
      <c r="M69" s="2036"/>
      <c r="N69" s="2036"/>
      <c r="O69" s="2036"/>
      <c r="P69" s="2036"/>
      <c r="Q69" s="2036"/>
    </row>
    <row r="70" spans="1:28" ht="20.25" customHeight="1">
      <c r="A70" s="3746"/>
      <c r="B70" s="3752"/>
      <c r="C70" s="3752"/>
      <c r="D70" s="3752"/>
      <c r="E70" s="3752"/>
      <c r="F70" s="3752"/>
      <c r="G70" s="3752"/>
      <c r="H70" s="3752"/>
      <c r="I70" s="3752"/>
      <c r="J70" s="3752"/>
      <c r="K70" s="3752"/>
      <c r="L70" s="3752"/>
      <c r="M70" s="3752"/>
      <c r="N70" s="3752"/>
      <c r="O70" s="3752"/>
      <c r="P70" s="3752"/>
      <c r="Q70" s="3753"/>
    </row>
    <row r="72" spans="1:28" s="2050" customFormat="1" ht="20.25" customHeight="1">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c r="A73" s="2042" t="s">
        <v>720</v>
      </c>
      <c r="B73" s="2042" t="s">
        <v>2424</v>
      </c>
      <c r="C73" s="2043"/>
      <c r="D73" s="2036"/>
      <c r="E73" s="2036"/>
      <c r="F73" s="2036"/>
      <c r="G73" s="2036"/>
      <c r="H73" s="2036"/>
      <c r="I73" s="2036"/>
      <c r="J73" s="2036"/>
      <c r="K73" s="2036"/>
      <c r="L73" s="2036"/>
      <c r="M73" s="2036"/>
      <c r="N73" s="2069"/>
      <c r="O73" s="2032" t="s">
        <v>1731</v>
      </c>
      <c r="P73" s="3709"/>
      <c r="Q73" s="3722"/>
    </row>
    <row r="74" spans="1:28" ht="32.25" customHeight="1">
      <c r="A74" s="2053"/>
      <c r="B74" s="3723" t="s">
        <v>6784</v>
      </c>
      <c r="C74" s="3723"/>
      <c r="D74" s="3723"/>
      <c r="E74" s="3723"/>
      <c r="F74" s="3723"/>
      <c r="G74" s="3723"/>
      <c r="H74" s="3723"/>
      <c r="I74" s="3723"/>
      <c r="J74" s="3723"/>
      <c r="K74" s="3755"/>
      <c r="L74" s="3840" t="s">
        <v>2852</v>
      </c>
      <c r="M74" s="3841"/>
      <c r="N74" s="3841"/>
      <c r="O74" s="3841"/>
      <c r="P74" s="3842"/>
      <c r="Q74" s="3843"/>
    </row>
    <row r="75" spans="1:28" ht="20.25" customHeight="1">
      <c r="B75" s="2030" t="s">
        <v>6785</v>
      </c>
      <c r="C75" s="2033"/>
      <c r="O75" s="2044"/>
      <c r="P75" s="2070"/>
      <c r="Q75" s="2061"/>
    </row>
    <row r="76" spans="1:28" ht="20.25" customHeight="1">
      <c r="A76" s="2053"/>
      <c r="B76" s="2030" t="s">
        <v>6631</v>
      </c>
      <c r="D76" s="2056"/>
      <c r="E76" s="2056"/>
      <c r="F76" s="2056"/>
      <c r="G76" s="2056"/>
      <c r="H76" s="2056"/>
      <c r="K76" s="2056"/>
      <c r="L76" s="2036"/>
      <c r="O76" s="2044"/>
      <c r="P76" s="2067"/>
      <c r="Q76" s="2068"/>
    </row>
    <row r="77" spans="1:28" ht="20.25" customHeight="1">
      <c r="A77" s="2053"/>
      <c r="B77" s="2030" t="s">
        <v>6786</v>
      </c>
      <c r="D77" s="2056"/>
      <c r="E77" s="2056"/>
      <c r="F77" s="2056"/>
      <c r="G77" s="2056"/>
      <c r="H77" s="2056"/>
      <c r="K77" s="2056"/>
      <c r="L77" s="2036"/>
      <c r="M77" s="2036"/>
      <c r="N77" s="2036"/>
      <c r="O77" s="2044"/>
    </row>
    <row r="78" spans="1:28" ht="20.25" customHeight="1">
      <c r="A78" s="2053"/>
      <c r="B78" s="2042"/>
      <c r="C78" s="2030" t="s">
        <v>6787</v>
      </c>
      <c r="E78" s="2056"/>
      <c r="F78" s="2056"/>
      <c r="G78" s="2056"/>
      <c r="H78" s="2056"/>
      <c r="K78" s="2056"/>
      <c r="L78" s="2036"/>
      <c r="M78" s="2036"/>
      <c r="O78" s="2044"/>
      <c r="P78" s="2070"/>
      <c r="Q78" s="2061"/>
    </row>
    <row r="79" spans="1:28" ht="20.25" customHeight="1">
      <c r="A79" s="2053"/>
      <c r="B79" s="2042"/>
      <c r="C79" s="2030" t="s">
        <v>6788</v>
      </c>
      <c r="E79" s="2056"/>
      <c r="F79" s="2056"/>
      <c r="G79" s="2056"/>
      <c r="K79" s="2056"/>
      <c r="L79" s="2036"/>
      <c r="M79" s="2036"/>
      <c r="O79" s="2044"/>
      <c r="P79" s="2063"/>
      <c r="Q79" s="2064"/>
    </row>
    <row r="80" spans="1:28" s="2081" customFormat="1" ht="20.25" customHeight="1">
      <c r="A80" s="2071"/>
      <c r="B80" s="2072"/>
      <c r="C80" s="2072"/>
      <c r="D80" s="2023" t="s">
        <v>6789</v>
      </c>
      <c r="E80" s="2073"/>
      <c r="F80" s="2073"/>
      <c r="G80" s="2023"/>
      <c r="H80" s="2023"/>
      <c r="I80" s="2074"/>
      <c r="J80" s="2075"/>
      <c r="K80" s="2076"/>
      <c r="L80" s="2077"/>
      <c r="M80" s="2077"/>
      <c r="N80" s="2075"/>
      <c r="O80" s="2078"/>
      <c r="P80" s="2079"/>
      <c r="Q80" s="2080"/>
      <c r="R80" s="2939"/>
      <c r="S80" s="2939"/>
      <c r="T80" s="2939"/>
      <c r="U80" s="2939"/>
      <c r="V80" s="2939"/>
      <c r="W80" s="2939"/>
      <c r="X80" s="2939"/>
      <c r="Y80" s="2939"/>
      <c r="Z80" s="2939"/>
      <c r="AA80" s="2939"/>
      <c r="AB80" s="2939"/>
    </row>
    <row r="81" spans="1:28" ht="20.25" customHeight="1">
      <c r="A81" s="2053"/>
      <c r="B81" s="2042"/>
      <c r="C81" s="2030" t="s">
        <v>6790</v>
      </c>
      <c r="E81" s="2056"/>
      <c r="F81" s="2056"/>
      <c r="G81" s="2056"/>
      <c r="K81" s="2056"/>
      <c r="L81" s="2036"/>
      <c r="M81" s="2036"/>
      <c r="O81" s="2044"/>
      <c r="P81" s="2067"/>
      <c r="Q81" s="2068"/>
    </row>
    <row r="82" spans="1:28" ht="32.25" customHeight="1">
      <c r="A82" s="2053"/>
      <c r="B82" s="3836" t="s">
        <v>6791</v>
      </c>
      <c r="C82" s="3836"/>
      <c r="D82" s="3836"/>
      <c r="E82" s="3836"/>
      <c r="F82" s="3836"/>
      <c r="G82" s="3836"/>
      <c r="H82" s="3836"/>
      <c r="I82" s="3836"/>
      <c r="J82" s="3836"/>
      <c r="K82" s="3836"/>
      <c r="L82" s="3836"/>
      <c r="M82" s="3836"/>
      <c r="N82" s="3836"/>
      <c r="O82" s="3836"/>
      <c r="P82" s="3836"/>
      <c r="Q82" s="3836"/>
    </row>
    <row r="83" spans="1:28" ht="20.25" customHeight="1">
      <c r="B83" s="3834"/>
      <c r="C83" s="3834"/>
      <c r="D83" s="3834"/>
      <c r="E83" s="3834"/>
      <c r="F83" s="3834"/>
      <c r="G83" s="3834"/>
      <c r="H83" s="3834"/>
      <c r="I83" s="3834"/>
      <c r="J83" s="3834"/>
      <c r="K83" s="3834"/>
      <c r="L83" s="3834"/>
      <c r="M83" s="3834"/>
      <c r="N83" s="3834"/>
      <c r="O83" s="3834"/>
      <c r="P83" s="3834"/>
      <c r="Q83" s="3835"/>
    </row>
    <row r="84" spans="1:28" ht="20.25" customHeight="1">
      <c r="B84" s="2060" t="s">
        <v>3240</v>
      </c>
      <c r="D84" s="2060"/>
      <c r="E84" s="2060"/>
      <c r="F84" s="2060"/>
      <c r="G84" s="2060"/>
      <c r="H84" s="2043"/>
      <c r="I84" s="2031"/>
      <c r="J84" s="2031"/>
      <c r="K84" s="2031"/>
      <c r="L84" s="2026"/>
      <c r="M84" s="2026"/>
      <c r="N84" s="2026"/>
      <c r="O84" s="2026"/>
      <c r="P84" s="2026"/>
      <c r="Q84" s="2026"/>
    </row>
    <row r="85" spans="1:28" ht="20.25" customHeight="1">
      <c r="A85" s="3711" t="s">
        <v>7085</v>
      </c>
      <c r="B85" s="3711"/>
      <c r="C85" s="3711"/>
      <c r="D85" s="3711"/>
      <c r="E85" s="3711"/>
      <c r="F85" s="3711"/>
      <c r="G85" s="3711"/>
      <c r="H85" s="3711"/>
      <c r="I85" s="3711"/>
      <c r="J85" s="3711"/>
      <c r="K85" s="3711"/>
      <c r="L85" s="3711"/>
      <c r="M85" s="3711"/>
      <c r="N85" s="3711"/>
      <c r="O85" s="3711"/>
      <c r="P85" s="3711"/>
      <c r="Q85" s="3767"/>
    </row>
    <row r="86" spans="1:28" ht="20.25" customHeight="1">
      <c r="B86" s="2034" t="s">
        <v>1730</v>
      </c>
      <c r="C86" s="2035"/>
      <c r="D86" s="2036"/>
      <c r="E86" s="2036"/>
      <c r="F86" s="2036"/>
      <c r="G86" s="2036"/>
      <c r="H86" s="2036"/>
      <c r="I86" s="2036"/>
      <c r="J86" s="2036"/>
      <c r="K86" s="2036"/>
      <c r="L86" s="2036"/>
      <c r="M86" s="2036"/>
      <c r="N86" s="2036"/>
      <c r="O86" s="2036"/>
      <c r="P86" s="2036"/>
      <c r="Q86" s="2036"/>
    </row>
    <row r="87" spans="1:28" ht="20.25" customHeight="1">
      <c r="A87" s="3706"/>
      <c r="B87" s="3706"/>
      <c r="C87" s="3706"/>
      <c r="D87" s="3706"/>
      <c r="E87" s="3706"/>
      <c r="F87" s="3706"/>
      <c r="G87" s="3706"/>
      <c r="H87" s="3706"/>
      <c r="I87" s="3706"/>
      <c r="J87" s="3706"/>
      <c r="K87" s="3706"/>
      <c r="L87" s="3706"/>
      <c r="M87" s="3706"/>
      <c r="N87" s="3706"/>
      <c r="O87" s="3706"/>
      <c r="P87" s="3706"/>
      <c r="Q87" s="3768"/>
    </row>
    <row r="88" spans="1:28" ht="11.25" customHeight="1">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c r="A90" s="2042" t="s">
        <v>280</v>
      </c>
      <c r="B90" s="2042" t="s">
        <v>2425</v>
      </c>
      <c r="C90" s="2042"/>
      <c r="D90" s="2036"/>
      <c r="E90" s="2036"/>
      <c r="F90" s="2036"/>
      <c r="G90" s="2036"/>
      <c r="H90" s="2036"/>
      <c r="I90" s="2036"/>
      <c r="J90" s="2036"/>
      <c r="K90" s="2036"/>
      <c r="N90" s="2069"/>
      <c r="O90" s="2032" t="s">
        <v>1731</v>
      </c>
      <c r="P90" s="3709"/>
      <c r="Q90" s="3722"/>
    </row>
    <row r="91" spans="1:28" ht="20.25" customHeight="1">
      <c r="A91" s="2053"/>
      <c r="B91" s="2030" t="s">
        <v>143</v>
      </c>
      <c r="F91" s="2112" t="str">
        <f>IF(L91="Ground lease/Option","Ground lease/Option:","")</f>
        <v/>
      </c>
      <c r="H91" s="2114" t="str">
        <f>IF(L91="Ground lease/Option","Annual Pymt:","")</f>
        <v/>
      </c>
      <c r="I91" s="2115" t="str">
        <f>IF(M131="Ground lease/Option",'Part V-Revenues &amp; Expenses'!$K$251,"")</f>
        <v/>
      </c>
      <c r="J91" s="2113" t="str">
        <f>IF(L91="Ground lease/Option","Term (yrs):","")</f>
        <v/>
      </c>
      <c r="K91" s="2931" t="str">
        <f>IF(M131="Ground lease/Option",'Part V-Revenues &amp; Expenses'!$N$251,"")</f>
        <v/>
      </c>
      <c r="L91" s="3837" t="s">
        <v>7086</v>
      </c>
      <c r="M91" s="3838"/>
      <c r="N91" s="3839"/>
      <c r="O91" s="3709" t="s">
        <v>1646</v>
      </c>
      <c r="P91" s="3776"/>
      <c r="Q91" s="3710"/>
    </row>
    <row r="92" spans="1:28" ht="20.25" customHeight="1">
      <c r="A92" s="2053"/>
      <c r="B92" s="2030" t="s">
        <v>636</v>
      </c>
      <c r="G92" s="3834" t="s">
        <v>7087</v>
      </c>
      <c r="H92" s="3834"/>
      <c r="I92" s="3834"/>
      <c r="J92" s="3834"/>
      <c r="K92" s="3834"/>
      <c r="L92" s="3834"/>
      <c r="M92" s="3834"/>
      <c r="N92" s="3834"/>
      <c r="O92" s="3834"/>
      <c r="P92" s="3834"/>
      <c r="Q92" s="3835"/>
    </row>
    <row r="93" spans="1:28" ht="20.25" customHeight="1">
      <c r="B93" s="2060" t="s">
        <v>3240</v>
      </c>
      <c r="D93" s="2060"/>
      <c r="E93" s="2060"/>
      <c r="F93" s="2060"/>
      <c r="G93" s="2060"/>
      <c r="H93" s="2043"/>
      <c r="I93" s="2031"/>
      <c r="J93" s="2031"/>
      <c r="K93" s="2031"/>
      <c r="L93" s="2026"/>
      <c r="M93" s="2026"/>
      <c r="N93" s="2026"/>
      <c r="O93" s="2026"/>
      <c r="P93" s="2026"/>
      <c r="Q93" s="2026"/>
    </row>
    <row r="94" spans="1:28" ht="29.4" customHeight="1">
      <c r="A94" s="3711" t="s">
        <v>7088</v>
      </c>
      <c r="B94" s="3711"/>
      <c r="C94" s="3711"/>
      <c r="D94" s="3711"/>
      <c r="E94" s="3711"/>
      <c r="F94" s="3711"/>
      <c r="G94" s="3711"/>
      <c r="H94" s="3711"/>
      <c r="I94" s="3711"/>
      <c r="J94" s="3711"/>
      <c r="K94" s="3711"/>
      <c r="L94" s="3711"/>
      <c r="M94" s="3711"/>
      <c r="N94" s="3711"/>
      <c r="O94" s="3711"/>
      <c r="P94" s="3711"/>
      <c r="Q94" s="3786"/>
    </row>
    <row r="95" spans="1:28" ht="20.25" customHeight="1">
      <c r="B95" s="2034" t="s">
        <v>1730</v>
      </c>
      <c r="C95" s="2035"/>
      <c r="D95" s="2036"/>
      <c r="E95" s="2036"/>
      <c r="F95" s="2036"/>
      <c r="G95" s="2036"/>
      <c r="H95" s="2036"/>
      <c r="I95" s="2036"/>
      <c r="J95" s="2036"/>
      <c r="K95" s="2036"/>
      <c r="L95" s="2036"/>
      <c r="M95" s="2036"/>
      <c r="N95" s="2036"/>
      <c r="O95" s="2036"/>
      <c r="P95" s="2036"/>
      <c r="Q95" s="2036"/>
    </row>
    <row r="96" spans="1:28" ht="20.25" customHeight="1">
      <c r="A96" s="3706"/>
      <c r="B96" s="3706"/>
      <c r="C96" s="3706"/>
      <c r="D96" s="3706"/>
      <c r="E96" s="3706"/>
      <c r="F96" s="3706"/>
      <c r="G96" s="3706"/>
      <c r="H96" s="3706"/>
      <c r="I96" s="3706"/>
      <c r="J96" s="3706"/>
      <c r="K96" s="3706"/>
      <c r="L96" s="3706"/>
      <c r="M96" s="3706"/>
      <c r="N96" s="3706"/>
      <c r="O96" s="3706"/>
      <c r="P96" s="3706"/>
      <c r="Q96" s="3787"/>
    </row>
    <row r="97" spans="1:28" ht="11.25" customHeight="1">
      <c r="A97" s="2026"/>
      <c r="B97" s="2031"/>
      <c r="C97" s="2036"/>
      <c r="D97" s="2036"/>
      <c r="E97" s="2036"/>
      <c r="F97" s="2036"/>
      <c r="G97" s="2036"/>
      <c r="H97" s="2036"/>
      <c r="I97" s="2036"/>
      <c r="J97" s="2036"/>
      <c r="K97" s="2036"/>
      <c r="L97" s="2036"/>
      <c r="M97" s="2036"/>
      <c r="Q97" s="2026"/>
    </row>
    <row r="98" spans="1:28" s="2050" customFormat="1" ht="11.25" customHeight="1">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c r="A99" s="2042" t="s">
        <v>401</v>
      </c>
      <c r="B99" s="2042" t="s">
        <v>2426</v>
      </c>
      <c r="C99" s="2042"/>
      <c r="D99" s="2036"/>
      <c r="E99" s="2036"/>
      <c r="F99" s="2036"/>
      <c r="G99" s="2036"/>
      <c r="H99" s="2036"/>
      <c r="I99" s="2036"/>
      <c r="J99" s="2036"/>
      <c r="K99" s="2036"/>
      <c r="L99" s="2036"/>
      <c r="M99" s="2036"/>
      <c r="O99" s="2032" t="s">
        <v>1731</v>
      </c>
      <c r="P99" s="3709"/>
      <c r="Q99" s="3722"/>
    </row>
    <row r="100" spans="1:28" ht="20.25" customHeight="1">
      <c r="B100" s="2060" t="s">
        <v>3240</v>
      </c>
      <c r="D100" s="2060"/>
      <c r="E100" s="2060"/>
      <c r="F100" s="2060"/>
      <c r="G100" s="2060"/>
      <c r="H100" s="2043"/>
      <c r="I100" s="2031"/>
      <c r="J100" s="2031"/>
      <c r="K100" s="2031"/>
      <c r="L100" s="2026"/>
      <c r="M100" s="2026"/>
      <c r="N100" s="2026"/>
      <c r="O100" s="2026"/>
      <c r="P100" s="2026"/>
      <c r="Q100" s="2026"/>
    </row>
    <row r="101" spans="1:28" ht="28.95" customHeight="1">
      <c r="A101" s="3711" t="s">
        <v>7089</v>
      </c>
      <c r="B101" s="3711"/>
      <c r="C101" s="3711"/>
      <c r="D101" s="3711"/>
      <c r="E101" s="3711"/>
      <c r="F101" s="3711"/>
      <c r="G101" s="3711"/>
      <c r="H101" s="3711"/>
      <c r="I101" s="3711"/>
      <c r="J101" s="3711"/>
      <c r="K101" s="3711"/>
      <c r="L101" s="3711"/>
      <c r="M101" s="3711"/>
      <c r="N101" s="3711"/>
      <c r="O101" s="3711"/>
      <c r="P101" s="3711"/>
      <c r="Q101" s="3786"/>
    </row>
    <row r="102" spans="1:28" ht="20.25" customHeight="1">
      <c r="B102" s="2034" t="s">
        <v>1730</v>
      </c>
      <c r="C102" s="2035"/>
      <c r="D102" s="2036"/>
      <c r="E102" s="2036"/>
      <c r="F102" s="2036"/>
      <c r="G102" s="2036"/>
      <c r="H102" s="2036"/>
      <c r="I102" s="2036"/>
      <c r="J102" s="2036"/>
      <c r="K102" s="2036"/>
      <c r="L102" s="2036"/>
      <c r="M102" s="2036"/>
      <c r="N102" s="2036"/>
      <c r="O102" s="2036"/>
      <c r="P102" s="2036"/>
      <c r="Q102" s="2036"/>
    </row>
    <row r="103" spans="1:28" ht="20.25" customHeight="1">
      <c r="A103" s="3706"/>
      <c r="B103" s="3706"/>
      <c r="C103" s="3706"/>
      <c r="D103" s="3706"/>
      <c r="E103" s="3706"/>
      <c r="F103" s="3706"/>
      <c r="G103" s="3706"/>
      <c r="H103" s="3706"/>
      <c r="I103" s="3706"/>
      <c r="J103" s="3706"/>
      <c r="K103" s="3706"/>
      <c r="L103" s="3706"/>
      <c r="M103" s="3706"/>
      <c r="N103" s="3706"/>
      <c r="O103" s="3706"/>
      <c r="P103" s="3706"/>
      <c r="Q103" s="3787"/>
    </row>
    <row r="104" spans="1:28" ht="11.25" customHeight="1">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c r="A106" s="2042" t="s">
        <v>342</v>
      </c>
      <c r="B106" s="3833" t="s">
        <v>2427</v>
      </c>
      <c r="C106" s="3833"/>
      <c r="D106" s="3833"/>
      <c r="N106" s="2069"/>
      <c r="O106" s="2032" t="s">
        <v>1731</v>
      </c>
      <c r="P106" s="3709"/>
      <c r="Q106" s="3722"/>
    </row>
    <row r="107" spans="1:28" ht="20.25" customHeight="1">
      <c r="B107" s="2060" t="s">
        <v>3240</v>
      </c>
      <c r="D107" s="2060"/>
      <c r="E107" s="2060"/>
      <c r="F107" s="2060"/>
      <c r="G107" s="2060"/>
      <c r="H107" s="2043"/>
      <c r="I107" s="2031"/>
      <c r="J107" s="2031"/>
      <c r="K107" s="2031"/>
      <c r="L107" s="2026"/>
      <c r="M107" s="2026"/>
      <c r="N107" s="2026"/>
      <c r="O107" s="2026"/>
      <c r="P107" s="2026"/>
      <c r="Q107" s="2026"/>
    </row>
    <row r="108" spans="1:28" ht="20.25" customHeight="1">
      <c r="A108" s="3711" t="s">
        <v>7090</v>
      </c>
      <c r="B108" s="3711"/>
      <c r="C108" s="3711"/>
      <c r="D108" s="3711"/>
      <c r="E108" s="3711"/>
      <c r="F108" s="3711"/>
      <c r="G108" s="3711"/>
      <c r="H108" s="3711"/>
      <c r="I108" s="3711"/>
      <c r="J108" s="3711"/>
      <c r="K108" s="3711"/>
      <c r="L108" s="3711"/>
      <c r="M108" s="3711"/>
      <c r="N108" s="3711"/>
      <c r="O108" s="3711"/>
      <c r="P108" s="3711"/>
      <c r="Q108" s="3786"/>
    </row>
    <row r="109" spans="1:28" ht="20.25" customHeight="1">
      <c r="B109" s="2034" t="s">
        <v>1730</v>
      </c>
      <c r="C109" s="2035"/>
      <c r="D109" s="2036"/>
      <c r="E109" s="2036"/>
      <c r="F109" s="2036"/>
      <c r="G109" s="2036"/>
      <c r="H109" s="2036"/>
      <c r="I109" s="2036"/>
      <c r="J109" s="2036"/>
      <c r="K109" s="2036"/>
      <c r="L109" s="2036"/>
      <c r="M109" s="2036"/>
      <c r="N109" s="2036"/>
      <c r="O109" s="2036"/>
      <c r="P109" s="2036"/>
      <c r="Q109" s="2036"/>
    </row>
    <row r="110" spans="1:28" ht="20.25" customHeight="1">
      <c r="A110" s="3706"/>
      <c r="B110" s="3706"/>
      <c r="C110" s="3706"/>
      <c r="D110" s="3706"/>
      <c r="E110" s="3706"/>
      <c r="F110" s="3706"/>
      <c r="G110" s="3706"/>
      <c r="H110" s="3706"/>
      <c r="I110" s="3706"/>
      <c r="J110" s="3706"/>
      <c r="K110" s="3706"/>
      <c r="L110" s="3706"/>
      <c r="M110" s="3706"/>
      <c r="N110" s="3706"/>
      <c r="O110" s="3706"/>
      <c r="P110" s="3706"/>
      <c r="Q110" s="3787"/>
    </row>
    <row r="111" spans="1:28" ht="11.25" customHeight="1">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c r="A113" s="2042" t="s">
        <v>343</v>
      </c>
      <c r="B113" s="2042" t="s">
        <v>2428</v>
      </c>
      <c r="C113" s="2042"/>
      <c r="D113" s="2036"/>
      <c r="E113" s="2036"/>
      <c r="G113" s="2036"/>
      <c r="J113" s="2056"/>
      <c r="K113" s="2056"/>
      <c r="L113" s="2056"/>
      <c r="M113" s="2056"/>
      <c r="N113" s="2069"/>
      <c r="O113" s="2032" t="s">
        <v>1731</v>
      </c>
      <c r="P113" s="3769"/>
      <c r="Q113" s="3801"/>
    </row>
    <row r="114" spans="1:28" ht="20.25" customHeight="1">
      <c r="A114" s="2053"/>
      <c r="B114" s="2030" t="s">
        <v>6792</v>
      </c>
      <c r="H114" s="2030" t="s">
        <v>6793</v>
      </c>
      <c r="J114" s="3817" t="s">
        <v>906</v>
      </c>
      <c r="K114" s="3818"/>
      <c r="L114" s="3818"/>
      <c r="M114" s="3818"/>
      <c r="N114" s="3818"/>
      <c r="O114" s="3818"/>
      <c r="P114" s="3818"/>
      <c r="Q114" s="3819"/>
    </row>
    <row r="115" spans="1:28" ht="20.25" customHeight="1">
      <c r="A115" s="2053"/>
      <c r="B115" s="2053"/>
      <c r="H115" s="2030" t="s">
        <v>6794</v>
      </c>
      <c r="J115" s="3820" t="s">
        <v>7091</v>
      </c>
      <c r="K115" s="3821"/>
      <c r="L115" s="3821"/>
      <c r="M115" s="3821"/>
      <c r="N115" s="3821"/>
      <c r="O115" s="3821"/>
      <c r="P115" s="3821"/>
      <c r="Q115" s="3822"/>
    </row>
    <row r="116" spans="1:28" ht="20.25" customHeight="1">
      <c r="A116" s="2053"/>
      <c r="B116" s="2060" t="s">
        <v>3240</v>
      </c>
      <c r="C116" s="2082"/>
      <c r="D116" s="2082"/>
      <c r="E116" s="2082"/>
      <c r="F116" s="2082"/>
      <c r="H116" s="2033"/>
      <c r="I116" s="2033"/>
      <c r="J116" s="2033"/>
      <c r="K116" s="2033"/>
      <c r="L116" s="2033"/>
      <c r="M116" s="2033"/>
      <c r="N116" s="2033"/>
      <c r="O116" s="2033"/>
      <c r="P116" s="2033"/>
      <c r="Q116" s="2033"/>
    </row>
    <row r="117" spans="1:28" ht="20.25" customHeight="1">
      <c r="A117" s="3711" t="s">
        <v>7092</v>
      </c>
      <c r="B117" s="3711"/>
      <c r="C117" s="3711"/>
      <c r="D117" s="3711"/>
      <c r="E117" s="3711"/>
      <c r="F117" s="3711"/>
      <c r="G117" s="3711"/>
      <c r="H117" s="3711"/>
      <c r="I117" s="3711"/>
      <c r="J117" s="3711"/>
      <c r="K117" s="3711"/>
      <c r="L117" s="3711"/>
      <c r="M117" s="3711"/>
      <c r="N117" s="3711"/>
      <c r="O117" s="3711"/>
      <c r="P117" s="3711"/>
      <c r="Q117" s="3786"/>
    </row>
    <row r="118" spans="1:28" ht="20.25" customHeight="1">
      <c r="B118" s="2034" t="s">
        <v>1730</v>
      </c>
      <c r="C118" s="2035"/>
      <c r="D118" s="2036"/>
      <c r="E118" s="2036"/>
      <c r="F118" s="2036"/>
      <c r="G118" s="2036"/>
      <c r="H118" s="2036"/>
      <c r="I118" s="2036"/>
      <c r="J118" s="2036"/>
      <c r="K118" s="2036"/>
      <c r="L118" s="2036"/>
      <c r="M118" s="2036"/>
      <c r="N118" s="2036"/>
      <c r="O118" s="2036"/>
      <c r="P118" s="2036"/>
      <c r="Q118" s="2036"/>
    </row>
    <row r="119" spans="1:28" ht="20.25" customHeight="1">
      <c r="A119" s="3706"/>
      <c r="B119" s="3706"/>
      <c r="C119" s="3706"/>
      <c r="D119" s="3706"/>
      <c r="E119" s="3706"/>
      <c r="F119" s="3706"/>
      <c r="G119" s="3706"/>
      <c r="H119" s="3706"/>
      <c r="I119" s="3706"/>
      <c r="J119" s="3706"/>
      <c r="K119" s="3706"/>
      <c r="L119" s="3706"/>
      <c r="M119" s="3706"/>
      <c r="N119" s="3706"/>
      <c r="O119" s="3706"/>
      <c r="P119" s="3706"/>
      <c r="Q119" s="3768"/>
    </row>
    <row r="120" spans="1:28" ht="12.75" customHeight="1">
      <c r="B120" s="2031"/>
      <c r="C120" s="2036"/>
      <c r="D120" s="2036"/>
      <c r="E120" s="2036"/>
      <c r="F120" s="2036"/>
      <c r="G120" s="2036"/>
      <c r="H120" s="2036"/>
      <c r="I120" s="2036"/>
      <c r="J120" s="2036"/>
      <c r="K120" s="2036"/>
      <c r="L120" s="2036"/>
      <c r="M120" s="2036"/>
      <c r="Q120" s="2026"/>
    </row>
    <row r="121" spans="1:28"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c r="A122" s="2042" t="s">
        <v>344</v>
      </c>
      <c r="B122" s="2029" t="s">
        <v>6795</v>
      </c>
      <c r="C122" s="2029"/>
      <c r="D122" s="2029"/>
      <c r="E122" s="2029"/>
      <c r="F122" s="2029"/>
      <c r="G122" s="2036"/>
      <c r="H122" s="2036"/>
      <c r="J122" s="2036"/>
      <c r="K122" s="2036"/>
      <c r="L122" s="2036"/>
      <c r="M122" s="2036"/>
      <c r="N122" s="2069"/>
      <c r="O122" s="2032" t="s">
        <v>1731</v>
      </c>
      <c r="P122" s="3709"/>
      <c r="Q122" s="3722"/>
    </row>
    <row r="123" spans="1:28" ht="20.25" customHeight="1">
      <c r="A123" s="2053"/>
      <c r="B123" s="2030" t="s">
        <v>6796</v>
      </c>
      <c r="H123" s="2030" t="s">
        <v>6797</v>
      </c>
      <c r="J123" s="3817" t="s">
        <v>7091</v>
      </c>
      <c r="K123" s="3818"/>
      <c r="L123" s="3818"/>
      <c r="M123" s="3818"/>
      <c r="N123" s="3818"/>
      <c r="O123" s="3818"/>
      <c r="P123" s="3818"/>
      <c r="Q123" s="3819"/>
      <c r="R123" s="2083"/>
    </row>
    <row r="124" spans="1:28" ht="20.25" customHeight="1">
      <c r="A124" s="2082"/>
      <c r="B124" s="2053"/>
      <c r="H124" s="2030" t="s">
        <v>6798</v>
      </c>
      <c r="J124" s="3820" t="s">
        <v>7091</v>
      </c>
      <c r="K124" s="3821"/>
      <c r="L124" s="3821"/>
      <c r="M124" s="3821"/>
      <c r="N124" s="3821"/>
      <c r="O124" s="3821"/>
      <c r="P124" s="3821"/>
      <c r="Q124" s="3822"/>
      <c r="R124" s="2083"/>
    </row>
    <row r="125" spans="1:28" ht="20.25" customHeight="1">
      <c r="B125" s="2060" t="s">
        <v>3240</v>
      </c>
      <c r="D125" s="2060"/>
      <c r="E125" s="2060"/>
      <c r="F125" s="2060"/>
      <c r="G125" s="2060"/>
      <c r="H125" s="2043"/>
      <c r="I125" s="2031"/>
      <c r="J125" s="2031"/>
      <c r="K125" s="2031"/>
      <c r="L125" s="2026"/>
      <c r="M125" s="2026"/>
      <c r="N125" s="2026"/>
      <c r="O125" s="2026"/>
      <c r="P125" s="2026"/>
      <c r="Q125" s="2026"/>
    </row>
    <row r="126" spans="1:28" ht="20.25" customHeight="1">
      <c r="A126" s="3711" t="s">
        <v>7093</v>
      </c>
      <c r="B126" s="3711"/>
      <c r="C126" s="3711"/>
      <c r="D126" s="3711"/>
      <c r="E126" s="3711"/>
      <c r="F126" s="3711"/>
      <c r="G126" s="3711"/>
      <c r="H126" s="3711"/>
      <c r="I126" s="3711"/>
      <c r="J126" s="3711"/>
      <c r="K126" s="3711"/>
      <c r="L126" s="3711"/>
      <c r="M126" s="3711"/>
      <c r="N126" s="3711"/>
      <c r="O126" s="3711"/>
      <c r="P126" s="3711"/>
      <c r="Q126" s="3786"/>
    </row>
    <row r="127" spans="1:28" ht="20.25" customHeight="1">
      <c r="B127" s="2034" t="s">
        <v>1730</v>
      </c>
      <c r="C127" s="2035"/>
      <c r="D127" s="2036"/>
      <c r="E127" s="2036"/>
      <c r="F127" s="2036"/>
      <c r="G127" s="2036"/>
      <c r="H127" s="2036"/>
      <c r="I127" s="2036"/>
      <c r="J127" s="2036"/>
      <c r="K127" s="2036"/>
      <c r="L127" s="2036"/>
      <c r="M127" s="2036"/>
      <c r="N127" s="2036"/>
      <c r="O127" s="2036"/>
      <c r="P127" s="2036"/>
      <c r="Q127" s="2036"/>
    </row>
    <row r="128" spans="1:28" ht="20.25" customHeight="1">
      <c r="A128" s="3706"/>
      <c r="B128" s="3706"/>
      <c r="C128" s="3706"/>
      <c r="D128" s="3706"/>
      <c r="E128" s="3706"/>
      <c r="F128" s="3706"/>
      <c r="G128" s="3706"/>
      <c r="H128" s="3706"/>
      <c r="I128" s="3706"/>
      <c r="J128" s="3706"/>
      <c r="K128" s="3706"/>
      <c r="L128" s="3706"/>
      <c r="M128" s="3706"/>
      <c r="N128" s="3706"/>
      <c r="O128" s="3706"/>
      <c r="P128" s="3706"/>
      <c r="Q128" s="3768"/>
    </row>
    <row r="129" spans="1:28" ht="11.25" customHeight="1">
      <c r="A129" s="2026"/>
      <c r="B129" s="2031"/>
      <c r="C129" s="2036"/>
      <c r="D129" s="2036"/>
      <c r="E129" s="2036"/>
      <c r="F129" s="2036"/>
      <c r="G129" s="2036"/>
      <c r="H129" s="2036"/>
      <c r="I129" s="2036"/>
      <c r="J129" s="2036"/>
      <c r="K129" s="2036"/>
      <c r="L129" s="2036"/>
      <c r="M129" s="2036"/>
      <c r="Q129" s="2026"/>
    </row>
    <row r="130" spans="1:28"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c r="A131" s="2042" t="s">
        <v>1604</v>
      </c>
      <c r="B131" s="2042" t="s">
        <v>2430</v>
      </c>
      <c r="C131" s="2042"/>
      <c r="D131" s="2036"/>
      <c r="E131" s="2036"/>
      <c r="F131" s="2036"/>
      <c r="G131" s="2036"/>
      <c r="H131" s="2036"/>
      <c r="I131" s="2036"/>
      <c r="J131" s="2036"/>
      <c r="K131" s="2036"/>
      <c r="L131" s="2036"/>
      <c r="M131" s="2036"/>
      <c r="O131" s="2032" t="s">
        <v>1731</v>
      </c>
      <c r="P131" s="3709"/>
      <c r="Q131" s="3722"/>
    </row>
    <row r="132" spans="1:28" ht="31.5" customHeight="1">
      <c r="A132" s="2033"/>
      <c r="B132" s="3723" t="s">
        <v>6799</v>
      </c>
      <c r="C132" s="3723"/>
      <c r="D132" s="3723"/>
      <c r="E132" s="3723"/>
      <c r="F132" s="3723"/>
      <c r="G132" s="3723"/>
      <c r="H132" s="3723"/>
      <c r="I132" s="3723"/>
      <c r="J132" s="3723"/>
      <c r="K132" s="3723"/>
      <c r="L132" s="3723"/>
      <c r="M132" s="3723"/>
      <c r="N132" s="3723"/>
      <c r="O132" s="3755"/>
      <c r="P132" s="3724" t="s">
        <v>2649</v>
      </c>
      <c r="Q132" s="3725"/>
    </row>
    <row r="133" spans="1:28" ht="20.25" customHeight="1">
      <c r="A133" s="2053" t="s">
        <v>1841</v>
      </c>
      <c r="B133" s="2030" t="s">
        <v>6800</v>
      </c>
      <c r="O133" s="2044"/>
      <c r="P133" s="2033"/>
      <c r="Q133" s="2033"/>
    </row>
    <row r="134" spans="1:28" ht="20.25" customHeight="1">
      <c r="A134" s="2053"/>
      <c r="B134" s="2043"/>
      <c r="C134" s="2030" t="s">
        <v>1792</v>
      </c>
      <c r="J134" s="2044"/>
      <c r="K134" s="2033"/>
      <c r="L134" s="2033"/>
      <c r="M134" s="3823" t="s">
        <v>7094</v>
      </c>
      <c r="N134" s="3824"/>
      <c r="O134" s="3824"/>
      <c r="P134" s="3824"/>
      <c r="Q134" s="3825"/>
    </row>
    <row r="135" spans="1:28" ht="20.25" customHeight="1">
      <c r="A135" s="2053"/>
      <c r="B135" s="2043"/>
      <c r="C135" s="2043" t="s">
        <v>6718</v>
      </c>
      <c r="E135" s="2043"/>
      <c r="F135" s="2043"/>
      <c r="G135" s="2043"/>
      <c r="H135" s="2043"/>
      <c r="J135" s="2044"/>
      <c r="K135" s="2033"/>
      <c r="L135" s="2033"/>
      <c r="M135" s="3826" t="s">
        <v>7095</v>
      </c>
      <c r="N135" s="3827"/>
      <c r="O135" s="3827"/>
      <c r="P135" s="3827"/>
      <c r="Q135" s="3828"/>
    </row>
    <row r="136" spans="1:28" ht="20.25" customHeight="1">
      <c r="A136" s="2053"/>
      <c r="B136" s="2043"/>
      <c r="C136" s="3829" t="s">
        <v>6193</v>
      </c>
      <c r="D136" s="3830"/>
      <c r="E136" s="3830"/>
      <c r="F136" s="3830"/>
      <c r="G136" s="3830"/>
      <c r="H136" s="3830"/>
      <c r="I136" s="3830"/>
      <c r="J136" s="3830"/>
      <c r="K136" s="3830"/>
      <c r="L136" s="3830"/>
      <c r="M136" s="3831"/>
      <c r="N136" s="3831"/>
      <c r="O136" s="3831"/>
      <c r="P136" s="3831"/>
      <c r="Q136" s="3832"/>
    </row>
    <row r="137" spans="1:28" ht="20.25" customHeight="1">
      <c r="A137" s="2053"/>
      <c r="B137" s="2043"/>
      <c r="C137" s="2043" t="s">
        <v>3786</v>
      </c>
      <c r="E137" s="2043"/>
      <c r="F137" s="2043"/>
      <c r="G137" s="2043"/>
      <c r="H137" s="2043"/>
      <c r="J137" s="2044"/>
      <c r="K137" s="2033"/>
      <c r="L137" s="2033"/>
      <c r="M137" s="3820" t="s">
        <v>7096</v>
      </c>
      <c r="N137" s="3821"/>
      <c r="O137" s="3821"/>
      <c r="P137" s="3821"/>
      <c r="Q137" s="3822"/>
    </row>
    <row r="138" spans="1:28" ht="20.25" customHeight="1">
      <c r="A138" s="2053" t="s">
        <v>1843</v>
      </c>
      <c r="B138" s="3723" t="s">
        <v>6801</v>
      </c>
      <c r="C138" s="3723"/>
      <c r="D138" s="3723"/>
      <c r="E138" s="3723"/>
      <c r="F138" s="3723"/>
      <c r="G138" s="3723"/>
      <c r="H138" s="3723"/>
      <c r="I138" s="3723"/>
      <c r="J138" s="3723"/>
      <c r="K138" s="3723"/>
      <c r="L138" s="3723"/>
      <c r="M138" s="3723"/>
      <c r="N138" s="3723"/>
      <c r="O138" s="2044"/>
      <c r="P138" s="2084"/>
      <c r="Q138" s="2026"/>
    </row>
    <row r="139" spans="1:28" ht="48" customHeight="1">
      <c r="A139" s="2071"/>
      <c r="B139" s="2036"/>
      <c r="C139" s="3723" t="s">
        <v>6802</v>
      </c>
      <c r="D139" s="3723"/>
      <c r="E139" s="3723"/>
      <c r="F139" s="3723"/>
      <c r="G139" s="3723"/>
      <c r="H139" s="3723"/>
      <c r="I139" s="3723"/>
      <c r="J139" s="3723"/>
      <c r="K139" s="3723"/>
      <c r="L139" s="3723"/>
      <c r="M139" s="3723"/>
      <c r="N139" s="3723"/>
      <c r="O139" s="3723"/>
      <c r="P139" s="2084"/>
      <c r="Q139" s="2026"/>
    </row>
    <row r="140" spans="1:28" ht="15.75" customHeight="1">
      <c r="A140" s="2026"/>
      <c r="B140" s="2078" t="s">
        <v>1614</v>
      </c>
      <c r="C140" s="3802" t="s">
        <v>3900</v>
      </c>
      <c r="D140" s="3803"/>
      <c r="E140" s="3803"/>
      <c r="F140" s="3803"/>
      <c r="G140" s="3803"/>
      <c r="H140" s="3804"/>
      <c r="I140" s="2033"/>
      <c r="J140" s="3814" t="s">
        <v>6803</v>
      </c>
      <c r="K140" s="3815"/>
      <c r="L140" s="3815"/>
      <c r="M140" s="3815"/>
      <c r="N140" s="3815"/>
      <c r="O140" s="3815"/>
      <c r="P140" s="3815"/>
      <c r="Q140" s="3816"/>
    </row>
    <row r="141" spans="1:28" ht="15.75" customHeight="1">
      <c r="A141" s="2026"/>
      <c r="B141" s="2078" t="s">
        <v>1615</v>
      </c>
      <c r="C141" s="3805" t="s">
        <v>1540</v>
      </c>
      <c r="D141" s="3806"/>
      <c r="E141" s="3806"/>
      <c r="F141" s="3806"/>
      <c r="G141" s="3806"/>
      <c r="H141" s="3807"/>
      <c r="I141" s="2033"/>
      <c r="J141" s="3811" t="s">
        <v>6803</v>
      </c>
      <c r="K141" s="3812"/>
      <c r="L141" s="3812"/>
      <c r="M141" s="3812"/>
      <c r="N141" s="3812"/>
      <c r="O141" s="3812"/>
      <c r="P141" s="3812"/>
      <c r="Q141" s="3813"/>
    </row>
    <row r="142" spans="1:28" ht="15.75" customHeight="1">
      <c r="A142" s="2026"/>
      <c r="B142" s="2078" t="s">
        <v>1616</v>
      </c>
      <c r="C142" s="3805" t="s">
        <v>950</v>
      </c>
      <c r="D142" s="3806"/>
      <c r="E142" s="3806"/>
      <c r="F142" s="3806"/>
      <c r="G142" s="3806"/>
      <c r="H142" s="3807"/>
      <c r="I142" s="2033"/>
      <c r="J142" s="3811" t="s">
        <v>6803</v>
      </c>
      <c r="K142" s="3812"/>
      <c r="L142" s="3812"/>
      <c r="M142" s="3812"/>
      <c r="N142" s="3812"/>
      <c r="O142" s="3812"/>
      <c r="P142" s="3812"/>
      <c r="Q142" s="3813"/>
    </row>
    <row r="143" spans="1:28" ht="15.75" customHeight="1">
      <c r="A143" s="2026"/>
      <c r="B143" s="2078" t="s">
        <v>2182</v>
      </c>
      <c r="C143" s="3798" t="s">
        <v>950</v>
      </c>
      <c r="D143" s="3799"/>
      <c r="E143" s="3799"/>
      <c r="F143" s="3799"/>
      <c r="G143" s="3799"/>
      <c r="H143" s="3800"/>
      <c r="I143" s="2033"/>
      <c r="J143" s="3808" t="s">
        <v>6803</v>
      </c>
      <c r="K143" s="3809"/>
      <c r="L143" s="3809"/>
      <c r="M143" s="3809"/>
      <c r="N143" s="3809"/>
      <c r="O143" s="3809"/>
      <c r="P143" s="3809"/>
      <c r="Q143" s="3810"/>
    </row>
    <row r="144" spans="1:28" ht="20.25" customHeight="1">
      <c r="B144" s="2045" t="s">
        <v>3240</v>
      </c>
      <c r="D144" s="2045"/>
      <c r="E144" s="2045"/>
      <c r="F144" s="2045"/>
      <c r="G144" s="2045"/>
      <c r="H144" s="2043"/>
      <c r="I144" s="2031"/>
      <c r="J144" s="2031"/>
      <c r="K144" s="2031"/>
      <c r="L144" s="2026"/>
      <c r="M144" s="2026"/>
      <c r="N144" s="2026"/>
      <c r="O144" s="2026"/>
      <c r="P144" s="2033"/>
      <c r="Q144" s="2033"/>
    </row>
    <row r="145" spans="1:28" ht="20.25" customHeight="1">
      <c r="A145" s="3711" t="s">
        <v>7097</v>
      </c>
      <c r="B145" s="3711"/>
      <c r="C145" s="3711"/>
      <c r="D145" s="3711"/>
      <c r="E145" s="3711"/>
      <c r="F145" s="3711"/>
      <c r="G145" s="3711"/>
      <c r="H145" s="3711"/>
      <c r="I145" s="3711"/>
      <c r="J145" s="3711"/>
      <c r="K145" s="3711"/>
      <c r="L145" s="3711"/>
      <c r="M145" s="3711"/>
      <c r="N145" s="3711"/>
      <c r="O145" s="3711"/>
      <c r="P145" s="3711"/>
      <c r="Q145" s="3786"/>
    </row>
    <row r="146" spans="1:28" ht="20.25" customHeight="1">
      <c r="B146" s="2034" t="s">
        <v>1730</v>
      </c>
      <c r="C146" s="2035"/>
      <c r="D146" s="2036"/>
      <c r="E146" s="2036"/>
      <c r="F146" s="2036"/>
      <c r="G146" s="2036"/>
      <c r="H146" s="2036"/>
      <c r="I146" s="2036"/>
      <c r="J146" s="2036"/>
      <c r="K146" s="2036"/>
      <c r="L146" s="2036"/>
      <c r="M146" s="2036"/>
      <c r="N146" s="2036"/>
      <c r="O146" s="2036"/>
      <c r="P146" s="2036"/>
      <c r="Q146" s="2036"/>
    </row>
    <row r="147" spans="1:28" ht="20.25" customHeight="1">
      <c r="A147" s="3706"/>
      <c r="B147" s="3706"/>
      <c r="C147" s="3706"/>
      <c r="D147" s="3706"/>
      <c r="E147" s="3706"/>
      <c r="F147" s="3706"/>
      <c r="G147" s="3706"/>
      <c r="H147" s="3706"/>
      <c r="I147" s="3706"/>
      <c r="J147" s="3706"/>
      <c r="K147" s="3706"/>
      <c r="L147" s="3706"/>
      <c r="M147" s="3706"/>
      <c r="N147" s="3706"/>
      <c r="O147" s="3706"/>
      <c r="P147" s="3706"/>
      <c r="Q147" s="3787"/>
    </row>
    <row r="148" spans="1:28" ht="6.75" customHeight="1">
      <c r="A148" s="2026"/>
      <c r="B148" s="2031"/>
      <c r="C148" s="2036"/>
      <c r="D148" s="2036"/>
      <c r="E148" s="2036"/>
      <c r="F148" s="2036"/>
      <c r="G148" s="2036"/>
      <c r="H148" s="2036"/>
      <c r="I148" s="2036"/>
      <c r="J148" s="2036"/>
      <c r="K148" s="2036"/>
      <c r="L148" s="2036"/>
      <c r="M148" s="2036"/>
      <c r="Q148" s="2026"/>
    </row>
    <row r="149" spans="1:28" s="2050" customFormat="1" ht="12" customHeight="1">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c r="A150" s="2042" t="s">
        <v>2495</v>
      </c>
      <c r="B150" s="2029" t="s">
        <v>3951</v>
      </c>
      <c r="C150" s="2029"/>
      <c r="D150" s="2029"/>
      <c r="E150" s="2029"/>
      <c r="F150" s="2029"/>
      <c r="G150" s="2029"/>
      <c r="H150" s="2036"/>
      <c r="I150" s="2036"/>
      <c r="J150" s="2036"/>
      <c r="K150" s="2036"/>
      <c r="L150" s="2085"/>
      <c r="M150" s="2086"/>
      <c r="O150" s="2032" t="s">
        <v>1731</v>
      </c>
      <c r="P150" s="3769"/>
      <c r="Q150" s="3801"/>
    </row>
    <row r="151" spans="1:28" ht="20.25" customHeight="1">
      <c r="A151" s="2033"/>
      <c r="B151" s="2030" t="s">
        <v>6804</v>
      </c>
      <c r="C151" s="2033"/>
      <c r="D151" s="2033"/>
      <c r="E151" s="2033"/>
      <c r="F151" s="2033"/>
      <c r="G151" s="2033"/>
      <c r="H151" s="2033"/>
      <c r="I151" s="2033"/>
      <c r="J151" s="2033"/>
      <c r="K151" s="2033"/>
      <c r="L151" s="2033"/>
      <c r="M151" s="2033"/>
      <c r="N151" s="2031"/>
      <c r="O151" s="2033"/>
      <c r="P151" s="3727" t="s">
        <v>2652</v>
      </c>
      <c r="Q151" s="3728"/>
    </row>
    <row r="152" spans="1:28" ht="20.25" customHeight="1">
      <c r="A152" s="2053"/>
      <c r="B152" s="2030" t="s">
        <v>1192</v>
      </c>
      <c r="G152" s="2033"/>
      <c r="H152" s="3777" t="s">
        <v>7098</v>
      </c>
      <c r="I152" s="3793"/>
      <c r="J152" s="3793"/>
      <c r="K152" s="3793"/>
      <c r="L152" s="3793"/>
      <c r="M152" s="3793"/>
      <c r="N152" s="3793"/>
      <c r="O152" s="3793"/>
      <c r="P152" s="3794"/>
      <c r="Q152" s="3795"/>
      <c r="R152" s="2062"/>
    </row>
    <row r="153" spans="1:28" ht="20.25" customHeight="1">
      <c r="A153" s="2053"/>
      <c r="B153" s="2030" t="s">
        <v>1806</v>
      </c>
      <c r="G153" s="2033"/>
      <c r="H153" s="3765" t="s">
        <v>7099</v>
      </c>
      <c r="I153" s="3796"/>
      <c r="J153" s="3796"/>
      <c r="K153" s="3796"/>
      <c r="L153" s="3796"/>
      <c r="M153" s="3796"/>
      <c r="N153" s="3796"/>
      <c r="O153" s="3796"/>
      <c r="P153" s="3796"/>
      <c r="Q153" s="3797"/>
      <c r="R153" s="2062"/>
    </row>
    <row r="154" spans="1:28" ht="20.25" customHeight="1">
      <c r="B154" s="2060" t="s">
        <v>3240</v>
      </c>
      <c r="D154" s="2060"/>
      <c r="E154" s="2060"/>
      <c r="F154" s="2060"/>
      <c r="G154" s="2060"/>
      <c r="H154" s="2043"/>
      <c r="I154" s="2031"/>
      <c r="J154" s="2031"/>
      <c r="K154" s="2031"/>
      <c r="L154" s="2026"/>
      <c r="M154" s="2026"/>
      <c r="N154" s="2026"/>
      <c r="O154" s="2026"/>
      <c r="P154" s="2026"/>
      <c r="Q154" s="2026"/>
    </row>
    <row r="155" spans="1:28" ht="29.4" customHeight="1">
      <c r="A155" s="3711" t="s">
        <v>7100</v>
      </c>
      <c r="B155" s="3711"/>
      <c r="C155" s="3711"/>
      <c r="D155" s="3711"/>
      <c r="E155" s="3711"/>
      <c r="F155" s="3711"/>
      <c r="G155" s="3711"/>
      <c r="H155" s="3711"/>
      <c r="I155" s="3711"/>
      <c r="J155" s="3711"/>
      <c r="K155" s="3711"/>
      <c r="L155" s="3711"/>
      <c r="M155" s="3711"/>
      <c r="N155" s="3711"/>
      <c r="O155" s="3711"/>
      <c r="P155" s="3711"/>
      <c r="Q155" s="3786"/>
    </row>
    <row r="156" spans="1:28" ht="20.25" customHeight="1">
      <c r="B156" s="2034" t="s">
        <v>1730</v>
      </c>
      <c r="C156" s="2035"/>
      <c r="D156" s="2036"/>
      <c r="E156" s="2036"/>
      <c r="F156" s="2036"/>
      <c r="G156" s="2036"/>
      <c r="H156" s="2036"/>
      <c r="I156" s="2036"/>
      <c r="J156" s="2036"/>
      <c r="K156" s="2036"/>
      <c r="L156" s="2036"/>
      <c r="M156" s="2036"/>
      <c r="N156" s="2036"/>
      <c r="O156" s="2036"/>
      <c r="P156" s="2036"/>
      <c r="Q156" s="2036"/>
    </row>
    <row r="157" spans="1:28" ht="20.25" customHeight="1">
      <c r="A157" s="3706"/>
      <c r="B157" s="3706"/>
      <c r="C157" s="3706"/>
      <c r="D157" s="3706"/>
      <c r="E157" s="3706"/>
      <c r="F157" s="3706"/>
      <c r="G157" s="3706"/>
      <c r="H157" s="3706"/>
      <c r="I157" s="3706"/>
      <c r="J157" s="3706"/>
      <c r="K157" s="3706"/>
      <c r="L157" s="3706"/>
      <c r="M157" s="3706"/>
      <c r="N157" s="3706"/>
      <c r="O157" s="3706"/>
      <c r="P157" s="3706"/>
      <c r="Q157" s="3787"/>
    </row>
    <row r="158" spans="1:28" ht="15" customHeight="1">
      <c r="A158" s="2026"/>
      <c r="B158" s="2031"/>
      <c r="C158" s="2036"/>
      <c r="D158" s="2036"/>
      <c r="E158" s="2036"/>
      <c r="F158" s="2036"/>
      <c r="G158" s="2036"/>
      <c r="H158" s="2036"/>
      <c r="I158" s="2036"/>
      <c r="J158" s="2036"/>
      <c r="K158" s="2036"/>
      <c r="L158" s="2036"/>
      <c r="M158" s="2036"/>
      <c r="Q158" s="2026"/>
    </row>
    <row r="159" spans="1:28" s="2050" customFormat="1" ht="15" customHeight="1">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c r="A160" s="2042" t="s">
        <v>2080</v>
      </c>
      <c r="B160" s="2029" t="s">
        <v>2431</v>
      </c>
      <c r="C160" s="2029"/>
      <c r="D160" s="2029"/>
      <c r="E160" s="2029"/>
      <c r="F160" s="2029"/>
      <c r="G160" s="2029"/>
      <c r="H160" s="2036"/>
      <c r="I160" s="2036"/>
      <c r="J160" s="2036"/>
      <c r="K160" s="2036"/>
      <c r="L160" s="2036"/>
      <c r="M160" s="2036"/>
      <c r="O160" s="2032" t="s">
        <v>1731</v>
      </c>
      <c r="P160" s="3709"/>
      <c r="Q160" s="3722"/>
    </row>
    <row r="161" spans="1:28" ht="20.25" customHeight="1">
      <c r="B161" s="2060" t="s">
        <v>3240</v>
      </c>
      <c r="D161" s="2060"/>
      <c r="E161" s="2060"/>
      <c r="F161" s="2060"/>
      <c r="G161" s="2060"/>
      <c r="H161" s="2043"/>
      <c r="I161" s="2031"/>
      <c r="J161" s="2031"/>
      <c r="K161" s="2031"/>
      <c r="L161" s="2026"/>
      <c r="M161" s="2026"/>
      <c r="N161" s="2026"/>
      <c r="O161" s="2026"/>
      <c r="P161" s="2026"/>
      <c r="Q161" s="2026"/>
    </row>
    <row r="162" spans="1:28" ht="33" customHeight="1">
      <c r="A162" s="3711" t="s">
        <v>7101</v>
      </c>
      <c r="B162" s="3711"/>
      <c r="C162" s="3711"/>
      <c r="D162" s="3711"/>
      <c r="E162" s="3711"/>
      <c r="F162" s="3711"/>
      <c r="G162" s="3711"/>
      <c r="H162" s="3711"/>
      <c r="I162" s="3711"/>
      <c r="J162" s="3711"/>
      <c r="K162" s="3711"/>
      <c r="L162" s="3711"/>
      <c r="M162" s="3711"/>
      <c r="N162" s="3711"/>
      <c r="O162" s="3711"/>
      <c r="P162" s="3711"/>
      <c r="Q162" s="3786"/>
    </row>
    <row r="163" spans="1:28" ht="20.25" customHeight="1">
      <c r="B163" s="2034" t="s">
        <v>1730</v>
      </c>
      <c r="C163" s="2035"/>
      <c r="D163" s="2036"/>
      <c r="E163" s="2036"/>
      <c r="F163" s="2036"/>
      <c r="G163" s="2036"/>
      <c r="H163" s="2036"/>
      <c r="I163" s="2036"/>
      <c r="J163" s="2036"/>
      <c r="K163" s="2036"/>
      <c r="L163" s="2036"/>
      <c r="M163" s="2036"/>
      <c r="N163" s="2036"/>
      <c r="O163" s="2036"/>
      <c r="P163" s="2036"/>
      <c r="Q163" s="2036"/>
    </row>
    <row r="164" spans="1:28" ht="20.25" customHeight="1">
      <c r="A164" s="3706"/>
      <c r="B164" s="3706"/>
      <c r="C164" s="3706"/>
      <c r="D164" s="3706"/>
      <c r="E164" s="3706"/>
      <c r="F164" s="3706"/>
      <c r="G164" s="3706"/>
      <c r="H164" s="3706"/>
      <c r="I164" s="3706"/>
      <c r="J164" s="3706"/>
      <c r="K164" s="3706"/>
      <c r="L164" s="3706"/>
      <c r="M164" s="3706"/>
      <c r="N164" s="3706"/>
      <c r="O164" s="3706"/>
      <c r="P164" s="3706"/>
      <c r="Q164" s="3787"/>
    </row>
    <row r="165" spans="1:28" ht="14.25" customHeight="1"/>
    <row r="166" spans="1:28"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c r="A167" s="2042" t="s">
        <v>3370</v>
      </c>
      <c r="B167" s="2042" t="s">
        <v>2432</v>
      </c>
      <c r="C167" s="2042"/>
      <c r="D167" s="2036"/>
      <c r="E167" s="2036"/>
      <c r="F167" s="2036"/>
      <c r="G167" s="2036"/>
      <c r="H167" s="2036"/>
      <c r="I167" s="2036"/>
      <c r="J167" s="2036"/>
      <c r="K167" s="2036"/>
      <c r="L167" s="2036"/>
      <c r="M167" s="2036"/>
      <c r="O167" s="2032" t="s">
        <v>1731</v>
      </c>
      <c r="P167" s="3709"/>
      <c r="Q167" s="3722"/>
    </row>
    <row r="168" spans="1:28" ht="20.25" customHeight="1">
      <c r="A168" s="2053" t="s">
        <v>1841</v>
      </c>
      <c r="B168" s="2029" t="s">
        <v>6198</v>
      </c>
      <c r="G168" s="2033"/>
      <c r="J168" s="2033"/>
      <c r="K168" s="2033"/>
      <c r="L168" s="2033"/>
      <c r="M168" s="2033"/>
      <c r="N168" s="2033"/>
      <c r="O168" s="2044"/>
      <c r="P168" s="2033"/>
      <c r="Q168" s="2033"/>
    </row>
    <row r="169" spans="1:28" ht="33" customHeight="1">
      <c r="B169" s="3714" t="s">
        <v>6805</v>
      </c>
      <c r="C169" s="3714"/>
      <c r="D169" s="3714"/>
      <c r="E169" s="3714"/>
      <c r="F169" s="3714"/>
      <c r="G169" s="3714"/>
      <c r="H169" s="3714"/>
      <c r="I169" s="3714"/>
      <c r="J169" s="3714"/>
      <c r="K169" s="3714"/>
      <c r="L169" s="3714"/>
      <c r="M169" s="3714"/>
      <c r="N169" s="3714"/>
      <c r="O169" s="3715"/>
      <c r="P169" s="3788" t="s">
        <v>7102</v>
      </c>
      <c r="Q169" s="3789"/>
    </row>
    <row r="170" spans="1:28" ht="20.25" customHeight="1">
      <c r="A170" s="2053" t="s">
        <v>1843</v>
      </c>
      <c r="B170" s="2029" t="s">
        <v>297</v>
      </c>
      <c r="G170" s="2033"/>
      <c r="H170" s="3716" t="s">
        <v>3334</v>
      </c>
      <c r="I170" s="3716"/>
      <c r="J170" s="3716"/>
      <c r="K170" s="3716"/>
      <c r="L170" s="3716"/>
      <c r="M170" s="3716"/>
      <c r="N170" s="3716"/>
      <c r="O170" s="3716"/>
      <c r="P170" s="3790"/>
      <c r="Q170" s="3790"/>
    </row>
    <row r="171" spans="1:28" ht="20.25" customHeight="1">
      <c r="A171" s="2053" t="s">
        <v>698</v>
      </c>
      <c r="B171" s="2029" t="s">
        <v>6197</v>
      </c>
      <c r="G171" s="2033"/>
      <c r="J171" s="2033"/>
      <c r="K171" s="2033"/>
      <c r="L171" s="2033"/>
      <c r="M171" s="2033"/>
      <c r="N171" s="2033"/>
      <c r="O171" s="2033"/>
      <c r="P171" s="2033"/>
      <c r="Q171" s="2033"/>
    </row>
    <row r="172" spans="1:28" ht="33" customHeight="1">
      <c r="A172" s="2053"/>
      <c r="B172" s="3714" t="s">
        <v>6199</v>
      </c>
      <c r="C172" s="3714"/>
      <c r="D172" s="3714"/>
      <c r="E172" s="3714"/>
      <c r="F172" s="3714"/>
      <c r="G172" s="3714"/>
      <c r="H172" s="3714"/>
      <c r="I172" s="3714"/>
      <c r="J172" s="3714"/>
      <c r="K172" s="3714"/>
      <c r="L172" s="3714"/>
      <c r="M172" s="3714"/>
      <c r="N172" s="2432" t="s">
        <v>6200</v>
      </c>
      <c r="O172" s="2078" t="s">
        <v>698</v>
      </c>
      <c r="P172" s="3791" t="s">
        <v>7102</v>
      </c>
      <c r="Q172" s="3792"/>
    </row>
    <row r="173" spans="1:28" ht="20.25" customHeight="1">
      <c r="B173" s="2060" t="s">
        <v>3240</v>
      </c>
      <c r="M173" s="2031"/>
      <c r="N173" s="2031"/>
      <c r="O173" s="2087"/>
      <c r="P173" s="2026"/>
    </row>
    <row r="174" spans="1:28" ht="40.950000000000003" customHeight="1">
      <c r="A174" s="3711" t="s">
        <v>7103</v>
      </c>
      <c r="B174" s="3711"/>
      <c r="C174" s="3711"/>
      <c r="D174" s="3711"/>
      <c r="E174" s="3711"/>
      <c r="F174" s="3711"/>
      <c r="G174" s="3711"/>
      <c r="H174" s="3711"/>
      <c r="I174" s="3711"/>
      <c r="J174" s="3711"/>
      <c r="K174" s="3711"/>
      <c r="L174" s="3711"/>
      <c r="M174" s="3711"/>
      <c r="N174" s="3711"/>
      <c r="O174" s="3711"/>
      <c r="P174" s="3711"/>
      <c r="Q174" s="3786"/>
    </row>
    <row r="175" spans="1:28" ht="20.25" customHeight="1">
      <c r="B175" s="2034" t="s">
        <v>1730</v>
      </c>
      <c r="C175" s="2035"/>
      <c r="D175" s="2036"/>
      <c r="E175" s="2036"/>
      <c r="F175" s="2036"/>
      <c r="G175" s="2036"/>
      <c r="H175" s="2036"/>
      <c r="I175" s="2036"/>
      <c r="J175" s="2036"/>
      <c r="K175" s="2036"/>
      <c r="L175" s="2036"/>
      <c r="M175" s="2036"/>
      <c r="N175" s="2036"/>
      <c r="O175" s="2036"/>
      <c r="P175" s="2036"/>
      <c r="Q175" s="2036"/>
    </row>
    <row r="176" spans="1:28" ht="20.25" customHeight="1">
      <c r="A176" s="3706"/>
      <c r="B176" s="3706"/>
      <c r="C176" s="3706"/>
      <c r="D176" s="3706"/>
      <c r="E176" s="3706"/>
      <c r="F176" s="3706"/>
      <c r="G176" s="3706"/>
      <c r="H176" s="3706"/>
      <c r="I176" s="3706"/>
      <c r="J176" s="3706"/>
      <c r="K176" s="3706"/>
      <c r="L176" s="3706"/>
      <c r="M176" s="3706"/>
      <c r="N176" s="3706"/>
      <c r="O176" s="3706"/>
      <c r="P176" s="3706"/>
      <c r="Q176" s="3768"/>
    </row>
    <row r="177" spans="1:28" ht="10.5" customHeight="1">
      <c r="F177" s="2026"/>
      <c r="G177" s="2026"/>
      <c r="H177" s="2026"/>
      <c r="I177" s="2026"/>
      <c r="J177" s="2043"/>
      <c r="K177" s="2043"/>
      <c r="L177" s="2043"/>
      <c r="M177" s="2031"/>
      <c r="N177" s="2026"/>
      <c r="O177" s="2026"/>
      <c r="P177" s="2087"/>
    </row>
    <row r="178" spans="1:28" s="2050" customFormat="1" ht="10.5" customHeight="1">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c r="A179" s="2042" t="s">
        <v>3371</v>
      </c>
      <c r="B179" s="2042" t="s">
        <v>2433</v>
      </c>
      <c r="C179" s="2090"/>
      <c r="D179" s="2090"/>
      <c r="E179" s="2036"/>
      <c r="F179" s="2036"/>
      <c r="G179" s="2036"/>
      <c r="H179" s="2036"/>
      <c r="I179" s="2036"/>
      <c r="J179" s="2036"/>
      <c r="K179" s="2036"/>
      <c r="L179" s="2036"/>
      <c r="M179" s="2036"/>
      <c r="O179" s="2032" t="s">
        <v>1731</v>
      </c>
      <c r="P179" s="3769"/>
      <c r="Q179" s="3770"/>
    </row>
    <row r="180" spans="1:28" ht="20.25" customHeight="1">
      <c r="A180" s="2033"/>
      <c r="B180" s="2030" t="s">
        <v>6804</v>
      </c>
      <c r="C180" s="2033"/>
      <c r="D180" s="2033"/>
      <c r="E180" s="2033"/>
      <c r="F180" s="2033"/>
      <c r="G180" s="2033"/>
      <c r="H180" s="2033"/>
      <c r="I180" s="2033"/>
      <c r="J180" s="2033"/>
      <c r="K180" s="2033"/>
      <c r="L180" s="2033"/>
      <c r="M180" s="2033"/>
      <c r="N180" s="2031"/>
      <c r="O180" s="2033"/>
      <c r="P180" s="3727" t="s">
        <v>2652</v>
      </c>
      <c r="Q180" s="3779"/>
    </row>
    <row r="181" spans="1:28" ht="33.75" customHeight="1">
      <c r="A181" s="2033"/>
      <c r="B181" s="3723" t="s">
        <v>6806</v>
      </c>
      <c r="C181" s="3723"/>
      <c r="D181" s="3723"/>
      <c r="E181" s="3723"/>
      <c r="F181" s="3723"/>
      <c r="G181" s="3723"/>
      <c r="H181" s="3723"/>
      <c r="I181" s="3723"/>
      <c r="J181" s="3723"/>
      <c r="K181" s="3723"/>
      <c r="L181" s="3723"/>
      <c r="M181" s="3723"/>
      <c r="N181" s="3723"/>
      <c r="O181" s="3723"/>
      <c r="P181" s="3720" t="s">
        <v>7102</v>
      </c>
      <c r="Q181" s="3721"/>
    </row>
    <row r="182" spans="1:28" ht="12" customHeight="1">
      <c r="A182" s="2033"/>
      <c r="C182" s="2033"/>
      <c r="D182" s="2033"/>
      <c r="E182" s="2033"/>
      <c r="F182" s="2033"/>
      <c r="G182" s="2033"/>
      <c r="H182" s="2033"/>
      <c r="I182" s="2033"/>
      <c r="J182" s="2033"/>
      <c r="K182" s="2033"/>
      <c r="L182" s="3784" t="s">
        <v>6807</v>
      </c>
      <c r="M182" s="3784"/>
      <c r="N182" s="2031"/>
      <c r="O182" s="2033"/>
      <c r="P182" s="2084"/>
      <c r="Q182" s="2026"/>
    </row>
    <row r="183" spans="1:28" ht="20.25" customHeight="1">
      <c r="A183" s="2053" t="s">
        <v>1843</v>
      </c>
      <c r="B183" s="2042" t="s">
        <v>3293</v>
      </c>
      <c r="D183" s="2091"/>
      <c r="E183" s="2091"/>
      <c r="F183" s="2091"/>
      <c r="G183" s="2091"/>
      <c r="H183" s="2091"/>
      <c r="I183" s="2091"/>
      <c r="J183" s="2091"/>
      <c r="K183" s="2091"/>
      <c r="L183" s="2030" t="s">
        <v>6808</v>
      </c>
      <c r="M183" s="2031" t="s">
        <v>6809</v>
      </c>
      <c r="N183" s="2091"/>
      <c r="O183" s="2044"/>
      <c r="P183" s="2044"/>
      <c r="Q183" s="2044"/>
    </row>
    <row r="184" spans="1:28" ht="20.25" customHeight="1">
      <c r="A184" s="2053"/>
      <c r="B184" s="2030" t="s">
        <v>6810</v>
      </c>
      <c r="C184" s="2033"/>
      <c r="D184" s="2056"/>
      <c r="E184" s="2056"/>
      <c r="F184" s="2056"/>
      <c r="G184" s="2056"/>
      <c r="H184" s="2033"/>
      <c r="K184" s="2092"/>
      <c r="L184" s="2093">
        <f>ROUNDUP('Part V-Revenues &amp; Expenses'!$P$67*M184,0)</f>
        <v>2</v>
      </c>
      <c r="M184" s="2094">
        <f>'DCA Underwriting Assumptions'!$Q$122</f>
        <v>0.05</v>
      </c>
      <c r="N184" s="2033"/>
      <c r="O184" s="2044"/>
      <c r="P184" s="3727">
        <v>2</v>
      </c>
      <c r="Q184" s="3779"/>
    </row>
    <row r="185" spans="1:28" ht="20.25" customHeight="1">
      <c r="A185" s="2053"/>
      <c r="B185" s="2043"/>
      <c r="D185" s="3723" t="s">
        <v>6811</v>
      </c>
      <c r="E185" s="3723"/>
      <c r="F185" s="3723"/>
      <c r="G185" s="3723"/>
      <c r="H185" s="3723"/>
      <c r="I185" s="3723"/>
      <c r="J185" s="3723"/>
      <c r="K185" s="2092"/>
      <c r="L185" s="2095">
        <f>ROUNDUP(L184*M185,0)</f>
        <v>1</v>
      </c>
      <c r="M185" s="2094">
        <f>'DCA Underwriting Assumptions'!$Q$123</f>
        <v>0.4</v>
      </c>
      <c r="N185" s="2033"/>
      <c r="O185" s="2044"/>
      <c r="P185" s="3729">
        <v>1</v>
      </c>
      <c r="Q185" s="3785"/>
    </row>
    <row r="186" spans="1:28" ht="20.25" customHeight="1">
      <c r="A186" s="2053"/>
      <c r="B186" s="3723" t="s">
        <v>6812</v>
      </c>
      <c r="C186" s="3723"/>
      <c r="D186" s="3723"/>
      <c r="E186" s="3723"/>
      <c r="F186" s="3723"/>
      <c r="G186" s="3723"/>
      <c r="H186" s="3723"/>
      <c r="I186" s="3723"/>
      <c r="J186" s="3723"/>
      <c r="K186" s="2033"/>
      <c r="L186" s="2096">
        <f>ROUNDUP('Part V-Revenues &amp; Expenses'!$P$67*M186,0)</f>
        <v>1</v>
      </c>
      <c r="M186" s="2094">
        <f>'DCA Underwriting Assumptions'!$Q$124</f>
        <v>0.02</v>
      </c>
      <c r="N186" s="2033"/>
      <c r="O186" s="2044"/>
      <c r="P186" s="3720">
        <v>1</v>
      </c>
      <c r="Q186" s="3780"/>
    </row>
    <row r="187" spans="1:28" ht="20.25" customHeight="1">
      <c r="B187" s="2060" t="s">
        <v>3240</v>
      </c>
      <c r="D187" s="2060"/>
      <c r="E187" s="2060"/>
      <c r="F187" s="2060"/>
      <c r="G187" s="2060"/>
      <c r="H187" s="2043"/>
      <c r="I187" s="2031"/>
      <c r="J187" s="2031"/>
      <c r="K187" s="2031"/>
      <c r="L187" s="2026"/>
      <c r="M187" s="2026"/>
      <c r="N187" s="2026"/>
      <c r="O187" s="2026"/>
      <c r="P187" s="2026"/>
      <c r="Q187" s="2026"/>
    </row>
    <row r="188" spans="1:28" ht="30.6" customHeight="1">
      <c r="A188" s="3711" t="s">
        <v>7104</v>
      </c>
      <c r="B188" s="3711"/>
      <c r="C188" s="3711"/>
      <c r="D188" s="3711"/>
      <c r="E188" s="3711"/>
      <c r="F188" s="3711"/>
      <c r="G188" s="3711"/>
      <c r="H188" s="3711"/>
      <c r="I188" s="3711"/>
      <c r="J188" s="3711"/>
      <c r="K188" s="3711"/>
      <c r="L188" s="3711"/>
      <c r="M188" s="3711"/>
      <c r="N188" s="3711"/>
      <c r="O188" s="3711"/>
      <c r="P188" s="3711"/>
      <c r="Q188" s="3767"/>
    </row>
    <row r="189" spans="1:28" ht="20.25" customHeight="1">
      <c r="B189" s="2034" t="s">
        <v>1730</v>
      </c>
      <c r="C189" s="2035"/>
      <c r="D189" s="2036"/>
      <c r="E189" s="2036"/>
      <c r="F189" s="2036"/>
      <c r="G189" s="2036"/>
      <c r="H189" s="2036"/>
      <c r="I189" s="2036"/>
      <c r="J189" s="2036"/>
      <c r="K189" s="2036"/>
      <c r="L189" s="2036"/>
      <c r="M189" s="2036"/>
      <c r="N189" s="2036"/>
      <c r="O189" s="2036"/>
      <c r="P189" s="2036"/>
      <c r="Q189" s="2036"/>
    </row>
    <row r="190" spans="1:28" ht="20.25" customHeight="1">
      <c r="A190" s="3706"/>
      <c r="B190" s="3706"/>
      <c r="C190" s="3706"/>
      <c r="D190" s="3706"/>
      <c r="E190" s="3706"/>
      <c r="F190" s="3706"/>
      <c r="G190" s="3706"/>
      <c r="H190" s="3706"/>
      <c r="I190" s="3706"/>
      <c r="J190" s="3706"/>
      <c r="K190" s="3706"/>
      <c r="L190" s="3706"/>
      <c r="M190" s="3706"/>
      <c r="N190" s="3706"/>
      <c r="O190" s="3706"/>
      <c r="P190" s="3706"/>
      <c r="Q190" s="3768"/>
    </row>
    <row r="191" spans="1:28" ht="12.75" customHeight="1">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c r="A193" s="2042" t="s">
        <v>3369</v>
      </c>
      <c r="B193" s="2029" t="s">
        <v>2434</v>
      </c>
      <c r="C193" s="2029"/>
      <c r="D193" s="2029"/>
      <c r="E193" s="2029"/>
      <c r="F193" s="2029"/>
      <c r="G193" s="2029"/>
      <c r="H193" s="2036"/>
      <c r="I193" s="2036"/>
      <c r="J193" s="2036"/>
      <c r="K193" s="2036"/>
      <c r="L193" s="2036"/>
      <c r="M193" s="2036"/>
      <c r="O193" s="2032" t="s">
        <v>1731</v>
      </c>
      <c r="P193" s="3709"/>
      <c r="Q193" s="3754"/>
    </row>
    <row r="194" spans="1:28" ht="20.25" customHeight="1">
      <c r="B194" s="2030" t="s">
        <v>6804</v>
      </c>
      <c r="P194" s="3727" t="s">
        <v>2652</v>
      </c>
      <c r="Q194" s="3779"/>
    </row>
    <row r="195" spans="1:28" ht="36" customHeight="1">
      <c r="B195" s="3723" t="s">
        <v>6813</v>
      </c>
      <c r="C195" s="3723"/>
      <c r="D195" s="3723"/>
      <c r="E195" s="3723"/>
      <c r="F195" s="3723"/>
      <c r="G195" s="3723"/>
      <c r="H195" s="3723"/>
      <c r="I195" s="3723"/>
      <c r="J195" s="3723"/>
      <c r="K195" s="3723"/>
      <c r="L195" s="3723"/>
      <c r="M195" s="3723"/>
      <c r="N195" s="3723"/>
      <c r="P195" s="3720" t="s">
        <v>2649</v>
      </c>
      <c r="Q195" s="3780"/>
    </row>
    <row r="196" spans="1:28" ht="20.25" customHeight="1">
      <c r="A196" s="2053" t="s">
        <v>1843</v>
      </c>
      <c r="B196" s="2029" t="s">
        <v>433</v>
      </c>
      <c r="D196" s="2029"/>
      <c r="E196" s="2029"/>
      <c r="F196" s="2029"/>
      <c r="G196" s="2029"/>
      <c r="H196" s="2029"/>
      <c r="I196" s="2029"/>
      <c r="J196" s="2029"/>
      <c r="K196" s="2029"/>
      <c r="L196" s="2029"/>
      <c r="M196" s="2029"/>
      <c r="O196" s="2044"/>
      <c r="P196" s="2026"/>
      <c r="Q196" s="2026"/>
    </row>
    <row r="197" spans="1:28" ht="46.5" customHeight="1">
      <c r="B197" s="2078" t="s">
        <v>1614</v>
      </c>
      <c r="C197" s="3714" t="s">
        <v>6912</v>
      </c>
      <c r="D197" s="3714"/>
      <c r="E197" s="3714"/>
      <c r="F197" s="3781" t="s">
        <v>6203</v>
      </c>
      <c r="G197" s="3782"/>
      <c r="H197" s="3782"/>
      <c r="I197" s="3782"/>
      <c r="J197" s="3782"/>
      <c r="K197" s="3782"/>
      <c r="L197" s="3782"/>
      <c r="M197" s="3782"/>
      <c r="N197" s="3782"/>
      <c r="O197" s="3782"/>
      <c r="P197" s="3782"/>
      <c r="Q197" s="3783"/>
    </row>
    <row r="198" spans="1:28" ht="30" customHeight="1">
      <c r="B198" s="2078" t="s">
        <v>1615</v>
      </c>
      <c r="C198" s="3714" t="s">
        <v>6913</v>
      </c>
      <c r="D198" s="3714"/>
      <c r="E198" s="3714"/>
      <c r="F198" s="3714"/>
      <c r="G198" s="3715"/>
      <c r="H198" s="3781" t="s">
        <v>3249</v>
      </c>
      <c r="I198" s="3782"/>
      <c r="J198" s="3782"/>
      <c r="K198" s="3782"/>
      <c r="L198" s="3782"/>
      <c r="M198" s="3782"/>
      <c r="N198" s="3782"/>
      <c r="O198" s="3782"/>
      <c r="P198" s="3782"/>
      <c r="Q198" s="3783"/>
    </row>
    <row r="199" spans="1:28" ht="20.25" customHeight="1">
      <c r="A199" s="2053"/>
      <c r="B199" s="2078" t="s">
        <v>1616</v>
      </c>
      <c r="C199" s="3723" t="s">
        <v>6814</v>
      </c>
      <c r="D199" s="3723"/>
      <c r="E199" s="3723"/>
      <c r="F199" s="3723"/>
      <c r="G199" s="3723"/>
      <c r="H199" s="3723"/>
      <c r="I199" s="3723"/>
      <c r="J199" s="3723"/>
      <c r="K199" s="3723"/>
      <c r="L199" s="3723"/>
      <c r="M199" s="3723"/>
      <c r="N199" s="3723"/>
      <c r="O199" s="3723"/>
      <c r="P199" s="3723"/>
      <c r="Q199" s="3723"/>
    </row>
    <row r="200" spans="1:28" ht="20.25" customHeight="1">
      <c r="A200" s="2053"/>
      <c r="B200" s="2044"/>
      <c r="C200" s="3777" t="s">
        <v>7105</v>
      </c>
      <c r="D200" s="3777"/>
      <c r="E200" s="3777"/>
      <c r="F200" s="3777"/>
      <c r="G200" s="3777"/>
      <c r="H200" s="3777"/>
      <c r="I200" s="3777"/>
      <c r="J200" s="3777"/>
      <c r="K200" s="3777"/>
      <c r="L200" s="3777"/>
      <c r="M200" s="3777"/>
      <c r="N200" s="3777"/>
      <c r="O200" s="3777"/>
      <c r="P200" s="3777"/>
      <c r="Q200" s="3778"/>
    </row>
    <row r="201" spans="1:28" ht="20.25" customHeight="1">
      <c r="A201" s="2053"/>
      <c r="B201" s="2044"/>
      <c r="C201" s="3765"/>
      <c r="D201" s="3765"/>
      <c r="E201" s="3765"/>
      <c r="F201" s="3765"/>
      <c r="G201" s="3765"/>
      <c r="H201" s="3765"/>
      <c r="I201" s="3765"/>
      <c r="J201" s="3765"/>
      <c r="K201" s="3765"/>
      <c r="L201" s="3765"/>
      <c r="M201" s="3765"/>
      <c r="N201" s="3765"/>
      <c r="O201" s="3765"/>
      <c r="P201" s="3765"/>
      <c r="Q201" s="3766"/>
    </row>
    <row r="202" spans="1:28" ht="20.25" customHeight="1">
      <c r="B202" s="2060" t="s">
        <v>3240</v>
      </c>
      <c r="D202" s="2060"/>
      <c r="E202" s="2060"/>
      <c r="F202" s="2060"/>
      <c r="G202" s="2060"/>
      <c r="H202" s="2043"/>
      <c r="I202" s="2031"/>
      <c r="J202" s="2031"/>
      <c r="K202" s="2031"/>
      <c r="L202" s="2026"/>
      <c r="M202" s="2026"/>
      <c r="N202" s="2026"/>
      <c r="O202" s="2026"/>
      <c r="P202" s="2026"/>
      <c r="Q202" s="2026"/>
    </row>
    <row r="203" spans="1:28" ht="30.6" customHeight="1">
      <c r="A203" s="3711" t="s">
        <v>7106</v>
      </c>
      <c r="B203" s="3711"/>
      <c r="C203" s="3711"/>
      <c r="D203" s="3711"/>
      <c r="E203" s="3711"/>
      <c r="F203" s="3711"/>
      <c r="G203" s="3711"/>
      <c r="H203" s="3711"/>
      <c r="I203" s="3711"/>
      <c r="J203" s="3711"/>
      <c r="K203" s="3711"/>
      <c r="L203" s="3711"/>
      <c r="M203" s="3711"/>
      <c r="N203" s="3711"/>
      <c r="O203" s="3711"/>
      <c r="P203" s="3711"/>
      <c r="Q203" s="3767"/>
    </row>
    <row r="204" spans="1:28" ht="20.25" customHeight="1">
      <c r="B204" s="2034" t="s">
        <v>1730</v>
      </c>
      <c r="C204" s="2035"/>
      <c r="D204" s="2036"/>
      <c r="E204" s="2036"/>
      <c r="F204" s="2036"/>
      <c r="G204" s="2036"/>
      <c r="H204" s="2036"/>
      <c r="I204" s="2036"/>
      <c r="J204" s="2036"/>
      <c r="K204" s="2036"/>
      <c r="L204" s="2036"/>
      <c r="M204" s="2036"/>
      <c r="N204" s="2036"/>
      <c r="O204" s="2036"/>
      <c r="P204" s="2036"/>
      <c r="Q204" s="2036"/>
    </row>
    <row r="205" spans="1:28" ht="20.25" customHeight="1">
      <c r="A205" s="3706"/>
      <c r="B205" s="3706"/>
      <c r="C205" s="3706"/>
      <c r="D205" s="3706"/>
      <c r="E205" s="3706"/>
      <c r="F205" s="3706"/>
      <c r="G205" s="3706"/>
      <c r="H205" s="3706"/>
      <c r="I205" s="3706"/>
      <c r="J205" s="3706"/>
      <c r="K205" s="3706"/>
      <c r="L205" s="3706"/>
      <c r="M205" s="3706"/>
      <c r="N205" s="3706"/>
      <c r="O205" s="3706"/>
      <c r="P205" s="3706"/>
      <c r="Q205" s="3768"/>
    </row>
    <row r="206" spans="1:28" ht="12.75" customHeight="1">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c r="A208" s="2042" t="s">
        <v>3372</v>
      </c>
      <c r="B208" s="2042" t="s">
        <v>6533</v>
      </c>
      <c r="C208" s="2042"/>
      <c r="D208" s="2036"/>
      <c r="E208" s="2036"/>
      <c r="F208" s="2036"/>
      <c r="G208" s="2036"/>
      <c r="H208" s="2036"/>
      <c r="N208" s="2069"/>
      <c r="O208" s="2032" t="s">
        <v>1731</v>
      </c>
      <c r="P208" s="3769"/>
      <c r="Q208" s="3770"/>
    </row>
    <row r="209" spans="1:28" ht="20.25" customHeight="1">
      <c r="A209" s="2053"/>
      <c r="B209" s="2030" t="s">
        <v>6815</v>
      </c>
      <c r="O209" s="2044"/>
      <c r="P209" s="3771" t="s">
        <v>7107</v>
      </c>
      <c r="Q209" s="3772"/>
    </row>
    <row r="210" spans="1:28" ht="20.25" customHeight="1">
      <c r="A210" s="2053"/>
      <c r="B210" s="2030" t="s">
        <v>6816</v>
      </c>
      <c r="O210" s="2044"/>
      <c r="P210" s="3759" t="s">
        <v>7107</v>
      </c>
      <c r="Q210" s="3760"/>
    </row>
    <row r="211" spans="1:28" ht="22.5" customHeight="1">
      <c r="A211" s="2053"/>
      <c r="B211" s="2030" t="s">
        <v>6817</v>
      </c>
      <c r="C211" s="2033"/>
      <c r="K211" s="2031"/>
      <c r="M211" s="2044"/>
      <c r="O211" s="2099"/>
      <c r="P211" s="3759" t="s">
        <v>2652</v>
      </c>
      <c r="Q211" s="3760"/>
    </row>
    <row r="212" spans="1:28" ht="31.5" customHeight="1">
      <c r="A212" s="2053"/>
      <c r="B212" s="3723" t="s">
        <v>6818</v>
      </c>
      <c r="C212" s="3723"/>
      <c r="D212" s="3723"/>
      <c r="E212" s="3723"/>
      <c r="F212" s="3723"/>
      <c r="G212" s="3723"/>
      <c r="H212" s="3723"/>
      <c r="I212" s="3723"/>
      <c r="J212" s="3723"/>
      <c r="K212" s="3723"/>
      <c r="L212" s="3723"/>
      <c r="M212" s="3723"/>
      <c r="N212" s="3723"/>
      <c r="O212" s="3723"/>
      <c r="P212" s="3761" t="s">
        <v>2652</v>
      </c>
      <c r="Q212" s="3762"/>
    </row>
    <row r="213" spans="1:28" ht="20.25" customHeight="1">
      <c r="A213" s="2053"/>
      <c r="B213" s="2030" t="s">
        <v>6819</v>
      </c>
      <c r="M213" s="2033"/>
      <c r="N213" s="2033"/>
      <c r="O213" s="3773" t="s">
        <v>3278</v>
      </c>
      <c r="P213" s="3774"/>
      <c r="Q213" s="3775"/>
    </row>
    <row r="214" spans="1:28" ht="20.25" customHeight="1">
      <c r="A214" s="2053"/>
      <c r="B214" s="2029" t="s">
        <v>6820</v>
      </c>
      <c r="G214" s="3709"/>
      <c r="H214" s="3776"/>
      <c r="I214" s="3776"/>
      <c r="J214" s="3776"/>
      <c r="K214" s="3776"/>
      <c r="L214" s="3710"/>
      <c r="M214" s="2033"/>
      <c r="N214" s="2033"/>
      <c r="O214" s="2033"/>
      <c r="P214" s="2033"/>
      <c r="Q214" s="2033"/>
    </row>
    <row r="215" spans="1:28" ht="20.25" customHeight="1">
      <c r="B215" s="2060" t="s">
        <v>3240</v>
      </c>
      <c r="D215" s="2060"/>
      <c r="E215" s="2060"/>
      <c r="F215" s="2060"/>
      <c r="G215" s="2060"/>
      <c r="H215" s="2043"/>
      <c r="I215" s="2031"/>
      <c r="J215" s="2031"/>
      <c r="K215" s="2031"/>
      <c r="L215" s="2026"/>
      <c r="M215" s="2026"/>
      <c r="N215" s="2026"/>
      <c r="O215" s="2026"/>
      <c r="P215" s="2026"/>
      <c r="Q215" s="2026"/>
    </row>
    <row r="216" spans="1:28" ht="38.4" customHeight="1">
      <c r="A216" s="3743" t="s">
        <v>7108</v>
      </c>
      <c r="B216" s="3763"/>
      <c r="C216" s="3763"/>
      <c r="D216" s="3763"/>
      <c r="E216" s="3763"/>
      <c r="F216" s="3763"/>
      <c r="G216" s="3763"/>
      <c r="H216" s="3763"/>
      <c r="I216" s="3763"/>
      <c r="J216" s="3763"/>
      <c r="K216" s="3763"/>
      <c r="L216" s="3763"/>
      <c r="M216" s="3763"/>
      <c r="N216" s="3763"/>
      <c r="O216" s="3763"/>
      <c r="P216" s="3763"/>
      <c r="Q216" s="3764"/>
    </row>
    <row r="217" spans="1:28" ht="20.25" customHeight="1">
      <c r="B217" s="2034" t="s">
        <v>1730</v>
      </c>
      <c r="C217" s="2035"/>
      <c r="D217" s="2036"/>
      <c r="E217" s="2036"/>
      <c r="F217" s="2036"/>
      <c r="G217" s="2036"/>
      <c r="H217" s="2036"/>
      <c r="I217" s="2036"/>
      <c r="J217" s="2036"/>
      <c r="K217" s="2036"/>
      <c r="L217" s="2036"/>
      <c r="M217" s="2036"/>
      <c r="N217" s="2036"/>
      <c r="O217" s="2033"/>
      <c r="P217" s="2036"/>
      <c r="Q217" s="2036"/>
    </row>
    <row r="218" spans="1:28" ht="20.25" customHeight="1">
      <c r="A218" s="3746"/>
      <c r="B218" s="3752"/>
      <c r="C218" s="3752"/>
      <c r="D218" s="3752"/>
      <c r="E218" s="3752"/>
      <c r="F218" s="3752"/>
      <c r="G218" s="3752"/>
      <c r="H218" s="3752"/>
      <c r="I218" s="3752"/>
      <c r="J218" s="3752"/>
      <c r="K218" s="3752"/>
      <c r="L218" s="3752"/>
      <c r="M218" s="3752"/>
      <c r="N218" s="3752"/>
      <c r="O218" s="3752"/>
      <c r="P218" s="3752"/>
      <c r="Q218" s="3753"/>
    </row>
    <row r="219" spans="1:28" ht="20.25" customHeight="1">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c r="A221" s="2042" t="s">
        <v>3373</v>
      </c>
      <c r="B221" s="2029" t="s">
        <v>6539</v>
      </c>
      <c r="C221" s="2029"/>
      <c r="D221" s="2029"/>
      <c r="E221" s="2029"/>
      <c r="F221" s="2029"/>
      <c r="G221" s="2029"/>
      <c r="H221" s="2036"/>
      <c r="I221" s="2036"/>
      <c r="J221" s="2036"/>
      <c r="K221" s="2036"/>
      <c r="L221" s="2036"/>
      <c r="M221" s="2036"/>
      <c r="N221" s="2100"/>
      <c r="O221" s="2032" t="s">
        <v>1731</v>
      </c>
      <c r="P221" s="3709"/>
      <c r="Q221" s="3754"/>
    </row>
    <row r="222" spans="1:28" ht="33.75" customHeight="1">
      <c r="A222" s="2042"/>
      <c r="B222" s="3723" t="s">
        <v>6821</v>
      </c>
      <c r="C222" s="3723"/>
      <c r="D222" s="3723"/>
      <c r="E222" s="3723"/>
      <c r="F222" s="3723"/>
      <c r="G222" s="3723"/>
      <c r="H222" s="3723"/>
      <c r="I222" s="3723"/>
      <c r="J222" s="3723"/>
      <c r="K222" s="3723"/>
      <c r="L222" s="3723"/>
      <c r="M222" s="3723"/>
      <c r="N222" s="3723"/>
      <c r="O222" s="3755"/>
      <c r="P222" s="3756" t="s">
        <v>7102</v>
      </c>
      <c r="Q222" s="3757"/>
    </row>
    <row r="223" spans="1:28" s="2101" customFormat="1" ht="33.75" customHeight="1">
      <c r="A223" s="2071" t="s">
        <v>1841</v>
      </c>
      <c r="B223" s="3758" t="s">
        <v>6822</v>
      </c>
      <c r="C223" s="3758"/>
      <c r="D223" s="3758"/>
      <c r="E223" s="3758"/>
      <c r="F223" s="3758"/>
      <c r="G223" s="3758"/>
      <c r="H223" s="3758"/>
      <c r="I223" s="3758"/>
      <c r="J223" s="3758"/>
      <c r="K223" s="3758"/>
      <c r="L223" s="3758"/>
      <c r="M223" s="3758"/>
      <c r="N223" s="3758"/>
      <c r="O223" s="3758"/>
      <c r="P223" s="2063" t="s">
        <v>7102</v>
      </c>
      <c r="Q223" s="2433"/>
      <c r="R223" s="2940"/>
      <c r="S223" s="2940"/>
      <c r="T223" s="2940"/>
      <c r="U223" s="2940"/>
      <c r="V223" s="2940"/>
      <c r="W223" s="2940"/>
      <c r="X223" s="2940"/>
      <c r="Y223" s="2940"/>
      <c r="Z223" s="2940"/>
      <c r="AA223" s="2940"/>
      <c r="AB223" s="2940"/>
    </row>
    <row r="224" spans="1:28" ht="47.25" customHeight="1">
      <c r="A224" s="2071" t="s">
        <v>1843</v>
      </c>
      <c r="B224" s="3714" t="s">
        <v>6823</v>
      </c>
      <c r="C224" s="3714"/>
      <c r="D224" s="3714"/>
      <c r="E224" s="3714"/>
      <c r="F224" s="3714"/>
      <c r="G224" s="3714"/>
      <c r="H224" s="3714"/>
      <c r="I224" s="3714"/>
      <c r="J224" s="3714"/>
      <c r="K224" s="3714"/>
      <c r="L224" s="3714"/>
      <c r="M224" s="3714"/>
      <c r="N224" s="3714"/>
      <c r="O224" s="3714"/>
      <c r="P224" s="2063"/>
      <c r="Q224" s="2064"/>
    </row>
    <row r="225" spans="1:28" ht="20.25" customHeight="1">
      <c r="A225" s="2053" t="s">
        <v>698</v>
      </c>
      <c r="B225" s="3735" t="s">
        <v>6824</v>
      </c>
      <c r="C225" s="3735"/>
      <c r="D225" s="3735"/>
      <c r="E225" s="3735"/>
      <c r="F225" s="3735"/>
      <c r="G225" s="3735"/>
      <c r="H225" s="3735"/>
      <c r="I225" s="3735"/>
      <c r="J225" s="3735"/>
      <c r="K225" s="3735"/>
      <c r="L225" s="3735"/>
      <c r="M225" s="3735"/>
      <c r="N225" s="3735"/>
      <c r="O225" s="3735"/>
      <c r="P225" s="2063"/>
      <c r="Q225" s="2064"/>
    </row>
    <row r="226" spans="1:28" ht="33.75" customHeight="1">
      <c r="A226" s="2071" t="s">
        <v>1962</v>
      </c>
      <c r="B226" s="3714" t="s">
        <v>6825</v>
      </c>
      <c r="C226" s="3714"/>
      <c r="D226" s="3714"/>
      <c r="E226" s="3714"/>
      <c r="F226" s="3714"/>
      <c r="G226" s="3714"/>
      <c r="H226" s="3714"/>
      <c r="I226" s="3714"/>
      <c r="J226" s="3714"/>
      <c r="K226" s="3714"/>
      <c r="L226" s="3714"/>
      <c r="M226" s="3714"/>
      <c r="N226" s="3714"/>
      <c r="O226" s="3714"/>
      <c r="P226" s="2067"/>
      <c r="Q226" s="2068"/>
    </row>
    <row r="227" spans="1:28" ht="20.25" customHeight="1">
      <c r="B227" s="2060" t="s">
        <v>3240</v>
      </c>
      <c r="D227" s="2060"/>
      <c r="E227" s="2060"/>
      <c r="F227" s="2060"/>
      <c r="G227" s="2060"/>
      <c r="H227" s="2043"/>
      <c r="I227" s="2031"/>
      <c r="J227" s="2031"/>
      <c r="K227" s="2031"/>
      <c r="L227" s="2026"/>
      <c r="M227" s="2026"/>
      <c r="N227" s="2026"/>
      <c r="O227" s="2026"/>
      <c r="P227" s="2026"/>
      <c r="Q227" s="2026"/>
    </row>
    <row r="228" spans="1:28" ht="20.25" customHeight="1">
      <c r="A228" s="3743" t="s">
        <v>7109</v>
      </c>
      <c r="B228" s="3744"/>
      <c r="C228" s="3744"/>
      <c r="D228" s="3744"/>
      <c r="E228" s="3744"/>
      <c r="F228" s="3744"/>
      <c r="G228" s="3744"/>
      <c r="H228" s="3744"/>
      <c r="I228" s="3744"/>
      <c r="J228" s="3744"/>
      <c r="K228" s="3744"/>
      <c r="L228" s="3744"/>
      <c r="M228" s="3744"/>
      <c r="N228" s="3744"/>
      <c r="O228" s="3744"/>
      <c r="P228" s="3744"/>
      <c r="Q228" s="3745"/>
    </row>
    <row r="229" spans="1:28" ht="20.25" customHeight="1">
      <c r="B229" s="2034" t="s">
        <v>1730</v>
      </c>
      <c r="C229" s="2035"/>
      <c r="D229" s="2036"/>
      <c r="E229" s="2036"/>
      <c r="F229" s="2036"/>
      <c r="G229" s="2036"/>
      <c r="H229" s="2036"/>
      <c r="I229" s="2036"/>
      <c r="J229" s="2036"/>
      <c r="K229" s="2036"/>
      <c r="L229" s="2036"/>
      <c r="M229" s="2036"/>
      <c r="N229" s="2036"/>
      <c r="O229" s="2036"/>
      <c r="P229" s="2036"/>
      <c r="Q229" s="2036"/>
    </row>
    <row r="230" spans="1:28" ht="20.25" customHeight="1">
      <c r="A230" s="3746"/>
      <c r="B230" s="3747"/>
      <c r="C230" s="3747"/>
      <c r="D230" s="3747"/>
      <c r="E230" s="3747"/>
      <c r="F230" s="3747"/>
      <c r="G230" s="3747"/>
      <c r="H230" s="3747"/>
      <c r="I230" s="3747"/>
      <c r="J230" s="3747"/>
      <c r="K230" s="3747"/>
      <c r="L230" s="3747"/>
      <c r="M230" s="3747"/>
      <c r="N230" s="3747"/>
      <c r="O230" s="3747"/>
      <c r="P230" s="3747"/>
      <c r="Q230" s="3748"/>
    </row>
    <row r="231" spans="1:28" ht="13.5" customHeight="1">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c r="A233" s="2042" t="s">
        <v>3376</v>
      </c>
      <c r="B233" s="2029" t="s">
        <v>3358</v>
      </c>
      <c r="C233" s="2029"/>
      <c r="D233" s="2029"/>
      <c r="E233" s="2029"/>
      <c r="F233" s="2029"/>
      <c r="G233" s="2029"/>
      <c r="H233" s="2036"/>
      <c r="I233" s="2036"/>
      <c r="J233" s="2036"/>
      <c r="K233" s="2036"/>
      <c r="L233" s="2036"/>
      <c r="M233" s="2036"/>
      <c r="N233" s="2102"/>
      <c r="O233" s="2032" t="s">
        <v>1731</v>
      </c>
      <c r="P233" s="3709"/>
      <c r="Q233" s="3710"/>
    </row>
    <row r="234" spans="1:28" ht="20.25" customHeight="1">
      <c r="A234" s="2053"/>
      <c r="B234" s="3735" t="s">
        <v>3359</v>
      </c>
      <c r="C234" s="3735"/>
      <c r="D234" s="3735"/>
      <c r="E234" s="3735"/>
      <c r="F234" s="3736"/>
      <c r="G234" s="3749" t="s">
        <v>7038</v>
      </c>
      <c r="H234" s="3750"/>
      <c r="I234" s="3750"/>
      <c r="J234" s="3750"/>
      <c r="K234" s="3750"/>
      <c r="L234" s="3750"/>
      <c r="M234" s="3750"/>
      <c r="N234" s="3750"/>
      <c r="O234" s="3750"/>
      <c r="P234" s="3750"/>
      <c r="Q234" s="3751"/>
    </row>
    <row r="235" spans="1:28" ht="20.25" customHeight="1" thickBot="1">
      <c r="A235" s="2053"/>
      <c r="B235" s="3735" t="s">
        <v>3360</v>
      </c>
      <c r="C235" s="3735"/>
      <c r="D235" s="3735"/>
      <c r="E235" s="3735"/>
      <c r="F235" s="3736"/>
      <c r="G235" s="3737" t="s">
        <v>7110</v>
      </c>
      <c r="H235" s="3738"/>
      <c r="I235" s="3738"/>
      <c r="J235" s="3738"/>
      <c r="K235" s="3738"/>
      <c r="L235" s="3738"/>
      <c r="M235" s="3738"/>
      <c r="N235" s="3738"/>
      <c r="O235" s="3738"/>
      <c r="P235" s="3739"/>
      <c r="Q235" s="3740"/>
    </row>
    <row r="236" spans="1:28" ht="20.25" customHeight="1" thickBot="1">
      <c r="A236" s="2053"/>
      <c r="B236" s="2030" t="s">
        <v>6826</v>
      </c>
      <c r="D236" s="2082"/>
      <c r="E236" s="2082"/>
      <c r="F236" s="2082"/>
      <c r="G236" s="2083"/>
      <c r="H236" s="2083"/>
      <c r="I236" s="2083"/>
      <c r="J236" s="2083"/>
      <c r="K236" s="2083"/>
      <c r="L236" s="2083"/>
      <c r="M236" s="2083"/>
      <c r="N236" s="2083"/>
      <c r="O236" s="2083"/>
      <c r="P236" s="3741" t="s">
        <v>7102</v>
      </c>
      <c r="Q236" s="3742"/>
    </row>
    <row r="237" spans="1:28" ht="29.25" customHeight="1">
      <c r="A237" s="2053"/>
      <c r="B237" s="2103" t="s">
        <v>1963</v>
      </c>
      <c r="C237" s="3714" t="s">
        <v>6827</v>
      </c>
      <c r="D237" s="3714"/>
      <c r="E237" s="3714"/>
      <c r="F237" s="3714"/>
      <c r="G237" s="3714"/>
      <c r="H237" s="3714"/>
      <c r="I237" s="3714"/>
      <c r="J237" s="3714"/>
      <c r="K237" s="3714"/>
      <c r="L237" s="3714"/>
      <c r="M237" s="3714"/>
      <c r="N237" s="3714"/>
      <c r="O237" s="3714"/>
      <c r="P237" s="3714"/>
      <c r="Q237" s="3714"/>
    </row>
    <row r="238" spans="1:28" ht="29.25" customHeight="1">
      <c r="A238" s="2053"/>
      <c r="B238" s="2103" t="s">
        <v>1964</v>
      </c>
      <c r="C238" s="3714" t="s">
        <v>6828</v>
      </c>
      <c r="D238" s="3714"/>
      <c r="E238" s="3714"/>
      <c r="F238" s="3714"/>
      <c r="G238" s="3714"/>
      <c r="H238" s="3714"/>
      <c r="I238" s="3714"/>
      <c r="J238" s="3714"/>
      <c r="K238" s="3714"/>
      <c r="L238" s="3714"/>
      <c r="M238" s="3714"/>
      <c r="N238" s="3714"/>
      <c r="O238" s="3714"/>
      <c r="P238" s="3714"/>
      <c r="Q238" s="3714"/>
    </row>
    <row r="239" spans="1:28" ht="15.75" customHeight="1">
      <c r="A239" s="2053"/>
      <c r="B239" s="2103" t="s">
        <v>1611</v>
      </c>
      <c r="C239" s="3714" t="s">
        <v>6829</v>
      </c>
      <c r="D239" s="3714"/>
      <c r="E239" s="3714"/>
      <c r="F239" s="3714"/>
      <c r="G239" s="3714"/>
      <c r="H239" s="3714"/>
      <c r="I239" s="3714"/>
      <c r="J239" s="3714"/>
      <c r="K239" s="3714"/>
      <c r="L239" s="3714"/>
      <c r="M239" s="3714"/>
      <c r="N239" s="3714"/>
      <c r="O239" s="3714"/>
      <c r="P239" s="3714"/>
      <c r="Q239" s="3714"/>
    </row>
    <row r="240" spans="1:28" ht="29.25" customHeight="1">
      <c r="A240" s="2053"/>
      <c r="B240" s="2103" t="s">
        <v>3865</v>
      </c>
      <c r="C240" s="3714" t="s">
        <v>6830</v>
      </c>
      <c r="D240" s="3714"/>
      <c r="E240" s="3714"/>
      <c r="F240" s="3714"/>
      <c r="G240" s="3714"/>
      <c r="H240" s="3714"/>
      <c r="I240" s="3714"/>
      <c r="J240" s="3714"/>
      <c r="K240" s="3714"/>
      <c r="L240" s="3714"/>
      <c r="M240" s="3714"/>
      <c r="N240" s="3714"/>
      <c r="O240" s="3714"/>
      <c r="P240" s="3714"/>
      <c r="Q240" s="3714"/>
    </row>
    <row r="241" spans="1:28" ht="15.75" customHeight="1">
      <c r="A241" s="2053"/>
      <c r="B241" s="2103" t="s">
        <v>6831</v>
      </c>
      <c r="C241" s="3714" t="s">
        <v>6832</v>
      </c>
      <c r="D241" s="3714"/>
      <c r="E241" s="3714"/>
      <c r="F241" s="3714"/>
      <c r="G241" s="3714"/>
      <c r="H241" s="3714"/>
      <c r="I241" s="3714"/>
      <c r="J241" s="3714"/>
      <c r="K241" s="3714"/>
      <c r="L241" s="3714"/>
      <c r="M241" s="3714"/>
      <c r="N241" s="3714"/>
      <c r="O241" s="3714"/>
      <c r="P241" s="3714"/>
      <c r="Q241" s="3714"/>
    </row>
    <row r="242" spans="1:28" ht="20.25" customHeight="1">
      <c r="B242" s="2044" t="s">
        <v>6833</v>
      </c>
      <c r="C242" s="2043" t="s">
        <v>6834</v>
      </c>
      <c r="E242" s="2036"/>
      <c r="F242" s="2036"/>
      <c r="G242" s="2036"/>
      <c r="H242" s="2036"/>
      <c r="I242" s="2036"/>
      <c r="J242" s="2036"/>
      <c r="K242" s="2036"/>
      <c r="L242" s="2036"/>
      <c r="M242" s="2036"/>
      <c r="N242" s="2036"/>
      <c r="P242" s="2033"/>
      <c r="Q242" s="2033"/>
    </row>
    <row r="243" spans="1:28" ht="20.25" customHeight="1">
      <c r="B243" s="2060" t="s">
        <v>3240</v>
      </c>
      <c r="D243" s="2060"/>
      <c r="E243" s="2060"/>
      <c r="F243" s="2060"/>
      <c r="G243" s="2060"/>
      <c r="H243" s="2043"/>
      <c r="I243" s="2031"/>
      <c r="J243" s="2031"/>
      <c r="K243" s="2031"/>
      <c r="L243" s="2026"/>
      <c r="M243" s="2026"/>
      <c r="N243" s="2026"/>
      <c r="O243" s="2026"/>
      <c r="P243" s="2026"/>
      <c r="Q243" s="2026"/>
    </row>
    <row r="244" spans="1:28" ht="60" customHeight="1">
      <c r="A244" s="3711" t="s">
        <v>7111</v>
      </c>
      <c r="B244" s="3712"/>
      <c r="C244" s="3712"/>
      <c r="D244" s="3712"/>
      <c r="E244" s="3712"/>
      <c r="F244" s="3712"/>
      <c r="G244" s="3712"/>
      <c r="H244" s="3712"/>
      <c r="I244" s="3712"/>
      <c r="J244" s="3712"/>
      <c r="K244" s="3712"/>
      <c r="L244" s="3712"/>
      <c r="M244" s="3712"/>
      <c r="N244" s="3712"/>
      <c r="O244" s="3712"/>
      <c r="P244" s="3712"/>
      <c r="Q244" s="3713"/>
    </row>
    <row r="245" spans="1:28" ht="20.25" customHeight="1">
      <c r="B245" s="2034" t="s">
        <v>1730</v>
      </c>
      <c r="C245" s="2035"/>
      <c r="D245" s="2036"/>
      <c r="E245" s="2036"/>
      <c r="F245" s="2036"/>
      <c r="G245" s="2036"/>
      <c r="H245" s="2036"/>
      <c r="I245" s="2036"/>
      <c r="J245" s="2036"/>
      <c r="K245" s="2036"/>
      <c r="L245" s="2036"/>
      <c r="M245" s="2036"/>
      <c r="N245" s="2036"/>
      <c r="O245" s="2036"/>
      <c r="P245" s="2036"/>
      <c r="Q245" s="2036"/>
    </row>
    <row r="246" spans="1:28" ht="20.25" customHeight="1">
      <c r="A246" s="3706"/>
      <c r="B246" s="3707"/>
      <c r="C246" s="3707"/>
      <c r="D246" s="3707"/>
      <c r="E246" s="3707"/>
      <c r="F246" s="3707"/>
      <c r="G246" s="3707"/>
      <c r="H246" s="3707"/>
      <c r="I246" s="3707"/>
      <c r="J246" s="3707"/>
      <c r="K246" s="3707"/>
      <c r="L246" s="3707"/>
      <c r="M246" s="3707"/>
      <c r="N246" s="3707"/>
      <c r="O246" s="3707"/>
      <c r="P246" s="3707"/>
      <c r="Q246" s="3708"/>
    </row>
    <row r="247" spans="1:28" ht="14.25" customHeight="1">
      <c r="A247" s="2026"/>
      <c r="B247" s="2031"/>
      <c r="C247" s="2036"/>
      <c r="D247" s="2036"/>
      <c r="E247" s="2036"/>
      <c r="F247" s="2036"/>
      <c r="G247" s="2036"/>
      <c r="H247" s="2036"/>
      <c r="I247" s="2036"/>
      <c r="J247" s="2036"/>
      <c r="K247" s="2036"/>
      <c r="L247" s="2036"/>
      <c r="M247" s="2036"/>
      <c r="Q247" s="2026"/>
    </row>
    <row r="248" spans="1:28"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c r="A249" s="2042" t="s">
        <v>3377</v>
      </c>
      <c r="B249" s="2029" t="s">
        <v>2435</v>
      </c>
      <c r="C249" s="2029"/>
      <c r="D249" s="2029"/>
      <c r="E249" s="2036"/>
      <c r="G249" s="2030" t="s">
        <v>655</v>
      </c>
      <c r="H249" s="2036"/>
      <c r="I249" s="2036"/>
      <c r="J249" s="2036"/>
      <c r="K249" s="2036"/>
      <c r="L249" s="2036"/>
      <c r="M249" s="2036"/>
      <c r="O249" s="2032" t="s">
        <v>1731</v>
      </c>
      <c r="P249" s="3709"/>
      <c r="Q249" s="3710"/>
    </row>
    <row r="250" spans="1:28" ht="20.25" customHeight="1">
      <c r="A250" s="2053"/>
      <c r="B250" s="2030" t="s">
        <v>2438</v>
      </c>
      <c r="D250" s="2056"/>
      <c r="E250" s="2056"/>
      <c r="O250" s="2044"/>
      <c r="P250" s="3727"/>
      <c r="Q250" s="3728"/>
    </row>
    <row r="251" spans="1:28" ht="20.25" customHeight="1">
      <c r="A251" s="2053"/>
      <c r="B251" s="2030" t="s">
        <v>3142</v>
      </c>
      <c r="D251" s="2056"/>
      <c r="E251" s="2056"/>
      <c r="O251" s="2044"/>
      <c r="P251" s="3729"/>
      <c r="Q251" s="3730"/>
    </row>
    <row r="252" spans="1:28" ht="20.25" customHeight="1">
      <c r="A252" s="2053"/>
      <c r="B252" s="2030" t="s">
        <v>4031</v>
      </c>
      <c r="D252" s="2056"/>
      <c r="E252" s="2056"/>
      <c r="O252" s="2044"/>
      <c r="P252" s="3731"/>
      <c r="Q252" s="3732"/>
    </row>
    <row r="253" spans="1:28" ht="20.25" customHeight="1">
      <c r="A253" s="2053"/>
      <c r="B253" s="2030" t="s">
        <v>3143</v>
      </c>
      <c r="O253" s="2044"/>
      <c r="P253" s="3729"/>
      <c r="Q253" s="3730"/>
    </row>
    <row r="254" spans="1:28" ht="20.25" customHeight="1">
      <c r="A254" s="2053"/>
      <c r="B254" s="2030" t="s">
        <v>690</v>
      </c>
      <c r="D254" s="3711"/>
      <c r="E254" s="3712"/>
      <c r="F254" s="3712"/>
      <c r="G254" s="3712"/>
      <c r="H254" s="3712"/>
      <c r="I254" s="3712"/>
      <c r="J254" s="3712"/>
      <c r="K254" s="3712"/>
      <c r="L254" s="3712"/>
      <c r="M254" s="3712"/>
      <c r="N254" s="3712"/>
      <c r="O254" s="3712"/>
      <c r="P254" s="3733"/>
      <c r="Q254" s="3734"/>
    </row>
    <row r="255" spans="1:28" ht="20.25" customHeight="1">
      <c r="B255" s="2060" t="s">
        <v>3240</v>
      </c>
      <c r="D255" s="2060"/>
      <c r="E255" s="2060"/>
      <c r="F255" s="2060"/>
      <c r="G255" s="2060"/>
      <c r="H255" s="2043"/>
      <c r="I255" s="2031"/>
      <c r="J255" s="2031"/>
      <c r="K255" s="2031"/>
      <c r="L255" s="2026"/>
      <c r="M255" s="2026"/>
      <c r="N255" s="2026"/>
      <c r="O255" s="2026"/>
      <c r="P255" s="2026"/>
      <c r="Q255" s="2026"/>
    </row>
    <row r="256" spans="1:28" ht="20.25" customHeight="1">
      <c r="A256" s="3711" t="s">
        <v>7112</v>
      </c>
      <c r="B256" s="3712"/>
      <c r="C256" s="3712"/>
      <c r="D256" s="3712"/>
      <c r="E256" s="3712"/>
      <c r="F256" s="3712"/>
      <c r="G256" s="3712"/>
      <c r="H256" s="3712"/>
      <c r="I256" s="3712"/>
      <c r="J256" s="3712"/>
      <c r="K256" s="3712"/>
      <c r="L256" s="3712"/>
      <c r="M256" s="3712"/>
      <c r="N256" s="3712"/>
      <c r="O256" s="3712"/>
      <c r="P256" s="3712"/>
      <c r="Q256" s="3713"/>
    </row>
    <row r="257" spans="1:28" ht="20.25" customHeight="1">
      <c r="B257" s="2034" t="s">
        <v>1730</v>
      </c>
      <c r="C257" s="2035"/>
      <c r="D257" s="2036"/>
      <c r="E257" s="2036"/>
      <c r="F257" s="2036"/>
      <c r="G257" s="2036"/>
      <c r="H257" s="2036"/>
      <c r="I257" s="2036"/>
      <c r="J257" s="2036"/>
      <c r="K257" s="2036"/>
      <c r="L257" s="2036"/>
      <c r="M257" s="2036"/>
      <c r="N257" s="2036"/>
      <c r="O257" s="2036"/>
      <c r="P257" s="2036"/>
      <c r="Q257" s="2036"/>
    </row>
    <row r="258" spans="1:28" ht="20.25" customHeight="1">
      <c r="A258" s="3706"/>
      <c r="B258" s="3707"/>
      <c r="C258" s="3707"/>
      <c r="D258" s="3707"/>
      <c r="E258" s="3707"/>
      <c r="F258" s="3707"/>
      <c r="G258" s="3707"/>
      <c r="H258" s="3707"/>
      <c r="I258" s="3707"/>
      <c r="J258" s="3707"/>
      <c r="K258" s="3707"/>
      <c r="L258" s="3707"/>
      <c r="M258" s="3707"/>
      <c r="N258" s="3707"/>
      <c r="O258" s="3707"/>
      <c r="P258" s="3707"/>
      <c r="Q258" s="3708"/>
    </row>
    <row r="259" spans="1:28" ht="20.25" customHeight="1">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c r="A261" s="2042" t="s">
        <v>3378</v>
      </c>
      <c r="B261" s="2029" t="s">
        <v>3939</v>
      </c>
      <c r="C261" s="2029"/>
      <c r="D261" s="2029"/>
      <c r="E261" s="2029"/>
      <c r="F261" s="2029"/>
      <c r="G261" s="2029"/>
      <c r="H261" s="2036"/>
      <c r="I261" s="2036"/>
      <c r="J261" s="2036"/>
      <c r="K261" s="2036"/>
      <c r="L261" s="2036"/>
      <c r="M261" s="2036"/>
      <c r="O261" s="2032" t="s">
        <v>1731</v>
      </c>
      <c r="P261" s="3709"/>
      <c r="Q261" s="3710"/>
    </row>
    <row r="262" spans="1:28" ht="20.25" customHeight="1">
      <c r="B262" s="2030" t="s">
        <v>6251</v>
      </c>
      <c r="O262" s="2044"/>
      <c r="P262" s="3724" t="s">
        <v>2649</v>
      </c>
      <c r="Q262" s="3725"/>
    </row>
    <row r="263" spans="1:28" ht="20.25" customHeight="1">
      <c r="A263" s="2053" t="s">
        <v>1841</v>
      </c>
      <c r="B263" s="2029" t="s">
        <v>3938</v>
      </c>
    </row>
    <row r="264" spans="1:28" ht="20.25" customHeight="1">
      <c r="A264" s="2053"/>
      <c r="B264" s="3726" t="s">
        <v>701</v>
      </c>
      <c r="C264" s="3726"/>
      <c r="D264" s="3726"/>
      <c r="E264" s="3726"/>
      <c r="F264" s="3726"/>
      <c r="G264" s="3726"/>
      <c r="H264" s="3726"/>
      <c r="I264" s="3726"/>
      <c r="J264" s="3726"/>
      <c r="K264" s="3726"/>
      <c r="L264" s="3726"/>
      <c r="M264" s="3726"/>
      <c r="N264" s="3726"/>
      <c r="O264" s="3726"/>
      <c r="P264" s="3727" t="s">
        <v>2649</v>
      </c>
      <c r="Q264" s="3728"/>
    </row>
    <row r="265" spans="1:28" ht="20.25" customHeight="1">
      <c r="B265" s="3726" t="s">
        <v>4033</v>
      </c>
      <c r="C265" s="3726"/>
      <c r="D265" s="3726"/>
      <c r="E265" s="3726"/>
      <c r="F265" s="3726"/>
      <c r="G265" s="3726"/>
      <c r="H265" s="3726"/>
      <c r="I265" s="3726"/>
      <c r="J265" s="3726"/>
      <c r="K265" s="3726"/>
      <c r="L265" s="3726"/>
      <c r="M265" s="3726"/>
      <c r="N265" s="3726"/>
      <c r="O265" s="3726"/>
      <c r="P265" s="3729" t="s">
        <v>2652</v>
      </c>
      <c r="Q265" s="3730"/>
    </row>
    <row r="266" spans="1:28" ht="32.25" customHeight="1">
      <c r="A266" s="2053"/>
      <c r="B266" s="3719" t="s">
        <v>6835</v>
      </c>
      <c r="C266" s="3719"/>
      <c r="D266" s="3719"/>
      <c r="E266" s="3719"/>
      <c r="F266" s="3719"/>
      <c r="G266" s="3719"/>
      <c r="H266" s="3719"/>
      <c r="I266" s="3719"/>
      <c r="J266" s="3719"/>
      <c r="K266" s="3719"/>
      <c r="L266" s="3719"/>
      <c r="M266" s="3719"/>
      <c r="N266" s="3719"/>
      <c r="O266" s="3719"/>
      <c r="P266" s="3720" t="s">
        <v>2652</v>
      </c>
      <c r="Q266" s="3721"/>
    </row>
    <row r="267" spans="1:28" ht="20.25" customHeight="1">
      <c r="B267" s="2060" t="s">
        <v>3240</v>
      </c>
      <c r="D267" s="2060"/>
      <c r="E267" s="2060"/>
      <c r="F267" s="2060"/>
      <c r="G267" s="2060"/>
      <c r="H267" s="2043"/>
      <c r="I267" s="2031"/>
      <c r="J267" s="2031"/>
      <c r="K267" s="2031"/>
    </row>
    <row r="268" spans="1:28" ht="20.25" customHeight="1">
      <c r="A268" s="3711" t="s">
        <v>7113</v>
      </c>
      <c r="B268" s="3712"/>
      <c r="C268" s="3712"/>
      <c r="D268" s="3712"/>
      <c r="E268" s="3712"/>
      <c r="F268" s="3712"/>
      <c r="G268" s="3712"/>
      <c r="H268" s="3712"/>
      <c r="I268" s="3712"/>
      <c r="J268" s="3712"/>
      <c r="K268" s="3712"/>
      <c r="L268" s="3712"/>
      <c r="M268" s="3712"/>
      <c r="N268" s="3712"/>
      <c r="O268" s="3712"/>
      <c r="P268" s="3712"/>
      <c r="Q268" s="3713"/>
    </row>
    <row r="269" spans="1:28" ht="20.25" customHeight="1">
      <c r="B269" s="2034" t="s">
        <v>1730</v>
      </c>
      <c r="C269" s="2035"/>
      <c r="D269" s="2036"/>
      <c r="E269" s="2036"/>
      <c r="F269" s="2036"/>
      <c r="G269" s="2036"/>
      <c r="H269" s="2036"/>
      <c r="I269" s="2036"/>
      <c r="J269" s="2036"/>
      <c r="K269" s="2036"/>
      <c r="L269" s="2036"/>
      <c r="M269" s="2036"/>
      <c r="N269" s="2036"/>
      <c r="O269" s="2036"/>
      <c r="P269" s="2036"/>
      <c r="Q269" s="2036"/>
    </row>
    <row r="270" spans="1:28" ht="20.25" customHeight="1">
      <c r="A270" s="3706"/>
      <c r="B270" s="3707"/>
      <c r="C270" s="3707"/>
      <c r="D270" s="3707"/>
      <c r="E270" s="3707"/>
      <c r="F270" s="3707"/>
      <c r="G270" s="3707"/>
      <c r="H270" s="3707"/>
      <c r="I270" s="3707"/>
      <c r="J270" s="3707"/>
      <c r="K270" s="3707"/>
      <c r="L270" s="3707"/>
      <c r="M270" s="3707"/>
      <c r="N270" s="3707"/>
      <c r="O270" s="3707"/>
      <c r="P270" s="3707"/>
      <c r="Q270" s="3708"/>
    </row>
    <row r="271" spans="1:28" ht="20.25" customHeight="1">
      <c r="A271" s="2026"/>
      <c r="B271" s="2031"/>
      <c r="C271" s="2036"/>
      <c r="D271" s="2036"/>
      <c r="E271" s="2036"/>
      <c r="F271" s="2036"/>
      <c r="G271" s="2036"/>
      <c r="H271" s="2036"/>
      <c r="I271" s="2036"/>
      <c r="J271" s="2036"/>
      <c r="K271" s="2036"/>
      <c r="L271" s="2036"/>
      <c r="M271" s="2036"/>
      <c r="Q271" s="2026"/>
    </row>
    <row r="272" spans="1:28"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c r="A273" s="2042" t="s">
        <v>3379</v>
      </c>
      <c r="B273" s="2029" t="s">
        <v>2508</v>
      </c>
      <c r="C273" s="2029"/>
      <c r="D273" s="2029"/>
      <c r="E273" s="2036"/>
      <c r="F273" s="2036"/>
      <c r="G273" s="2036"/>
      <c r="H273" s="2036"/>
      <c r="O273" s="2032" t="s">
        <v>1731</v>
      </c>
      <c r="P273" s="3722"/>
      <c r="Q273" s="3722"/>
    </row>
    <row r="274" spans="1:17" ht="33" customHeight="1">
      <c r="A274" s="2033"/>
      <c r="B274" s="3723" t="s">
        <v>6836</v>
      </c>
      <c r="C274" s="3723"/>
      <c r="D274" s="3723"/>
      <c r="E274" s="3723"/>
      <c r="F274" s="3723"/>
      <c r="G274" s="3723"/>
      <c r="H274" s="3723"/>
      <c r="I274" s="3723"/>
      <c r="J274" s="3723"/>
      <c r="K274" s="3723"/>
      <c r="L274" s="3723"/>
      <c r="M274" s="3723"/>
      <c r="N274" s="3723"/>
      <c r="O274" s="2104"/>
      <c r="P274" s="3724" t="s">
        <v>7102</v>
      </c>
      <c r="Q274" s="3725"/>
    </row>
    <row r="275" spans="1:17" ht="34.5" customHeight="1">
      <c r="A275" s="2033"/>
      <c r="B275" s="2078" t="s">
        <v>1841</v>
      </c>
      <c r="C275" s="3714" t="s">
        <v>3312</v>
      </c>
      <c r="D275" s="3714"/>
      <c r="E275" s="3714"/>
      <c r="F275" s="3714"/>
      <c r="G275" s="3714"/>
      <c r="H275" s="3714"/>
      <c r="I275" s="3714"/>
      <c r="J275" s="3714"/>
      <c r="K275" s="3714"/>
      <c r="L275" s="3714"/>
      <c r="M275" s="3714"/>
      <c r="N275" s="3714"/>
      <c r="O275" s="3714"/>
      <c r="P275" s="2056"/>
      <c r="Q275" s="2033"/>
    </row>
    <row r="276" spans="1:17" ht="34.5" customHeight="1">
      <c r="A276" s="2033"/>
      <c r="B276" s="2078" t="s">
        <v>1843</v>
      </c>
      <c r="C276" s="3714" t="s">
        <v>6837</v>
      </c>
      <c r="D276" s="3714"/>
      <c r="E276" s="3714"/>
      <c r="F276" s="3714"/>
      <c r="G276" s="3714"/>
      <c r="H276" s="3714"/>
      <c r="I276" s="3714"/>
      <c r="J276" s="3714"/>
      <c r="K276" s="3714"/>
      <c r="L276" s="3714"/>
      <c r="M276" s="3714"/>
      <c r="N276" s="3714"/>
      <c r="O276" s="3714"/>
      <c r="P276" s="2056"/>
      <c r="Q276" s="2026"/>
    </row>
    <row r="277" spans="1:17" ht="34.5" customHeight="1">
      <c r="A277" s="2033"/>
      <c r="C277" s="2430" t="s">
        <v>1844</v>
      </c>
      <c r="D277" s="3714" t="s">
        <v>3867</v>
      </c>
      <c r="E277" s="3714"/>
      <c r="F277" s="3714"/>
      <c r="G277" s="3714"/>
      <c r="H277" s="3714"/>
      <c r="I277" s="3714"/>
      <c r="J277" s="3714"/>
      <c r="K277" s="3714"/>
      <c r="L277" s="3714"/>
      <c r="M277" s="3714"/>
      <c r="N277" s="3714"/>
      <c r="O277" s="3714"/>
      <c r="P277" s="2044"/>
      <c r="Q277" s="2026"/>
    </row>
    <row r="278" spans="1:17" ht="15" customHeight="1">
      <c r="A278" s="2033"/>
      <c r="C278" s="2430" t="s">
        <v>1846</v>
      </c>
      <c r="D278" s="3717" t="s">
        <v>3868</v>
      </c>
      <c r="E278" s="3717"/>
      <c r="F278" s="3717"/>
      <c r="G278" s="3717"/>
      <c r="H278" s="3717"/>
      <c r="I278" s="3717"/>
      <c r="J278" s="3717"/>
      <c r="K278" s="3717"/>
      <c r="L278" s="3717"/>
      <c r="M278" s="3717"/>
      <c r="N278" s="3717"/>
      <c r="O278" s="3717"/>
      <c r="P278" s="2044"/>
      <c r="Q278" s="2026"/>
    </row>
    <row r="279" spans="1:17" ht="48" customHeight="1">
      <c r="A279" s="2033"/>
      <c r="C279" s="2430" t="s">
        <v>2332</v>
      </c>
      <c r="D279" s="3718" t="s">
        <v>3869</v>
      </c>
      <c r="E279" s="3718"/>
      <c r="F279" s="3718"/>
      <c r="G279" s="3718"/>
      <c r="H279" s="3718"/>
      <c r="I279" s="3718"/>
      <c r="J279" s="3718"/>
      <c r="K279" s="3718"/>
      <c r="L279" s="3718"/>
      <c r="M279" s="3718"/>
      <c r="N279" s="3718"/>
      <c r="O279" s="3718"/>
      <c r="P279" s="2044"/>
      <c r="Q279" s="2026"/>
    </row>
    <row r="280" spans="1:17" ht="48" customHeight="1">
      <c r="A280" s="2033"/>
      <c r="C280" s="2430" t="s">
        <v>1150</v>
      </c>
      <c r="D280" s="3718" t="s">
        <v>3870</v>
      </c>
      <c r="E280" s="3718"/>
      <c r="F280" s="3718"/>
      <c r="G280" s="3718"/>
      <c r="H280" s="3718"/>
      <c r="I280" s="3718"/>
      <c r="J280" s="3718"/>
      <c r="K280" s="3718"/>
      <c r="L280" s="3718"/>
      <c r="M280" s="3718"/>
      <c r="N280" s="3718"/>
      <c r="O280" s="3718"/>
      <c r="P280" s="2044"/>
      <c r="Q280" s="2026"/>
    </row>
    <row r="281" spans="1:17" ht="34.5" customHeight="1">
      <c r="A281" s="2033"/>
      <c r="B281" s="2078" t="s">
        <v>698</v>
      </c>
      <c r="C281" s="3714" t="s">
        <v>3313</v>
      </c>
      <c r="D281" s="3714"/>
      <c r="E281" s="3714"/>
      <c r="F281" s="3714"/>
      <c r="G281" s="3714"/>
      <c r="H281" s="3714"/>
      <c r="I281" s="3714"/>
      <c r="J281" s="3714"/>
      <c r="K281" s="3714"/>
      <c r="L281" s="3714"/>
      <c r="M281" s="3714"/>
      <c r="N281" s="3714"/>
      <c r="O281" s="3714"/>
      <c r="P281" s="2076"/>
      <c r="Q281" s="2026"/>
    </row>
    <row r="282" spans="1:17" ht="49.5" customHeight="1">
      <c r="A282" s="2033"/>
      <c r="B282" s="2078" t="s">
        <v>1962</v>
      </c>
      <c r="C282" s="3714" t="s">
        <v>3918</v>
      </c>
      <c r="D282" s="3714"/>
      <c r="E282" s="3714"/>
      <c r="F282" s="3714"/>
      <c r="G282" s="3714"/>
      <c r="H282" s="3714"/>
      <c r="I282" s="3714"/>
      <c r="J282" s="3714"/>
      <c r="K282" s="3714"/>
      <c r="L282" s="3714"/>
      <c r="M282" s="3714"/>
      <c r="N282" s="3714"/>
      <c r="O282" s="3714"/>
      <c r="P282" s="2076"/>
      <c r="Q282" s="2026"/>
    </row>
    <row r="283" spans="1:17" ht="34.5" customHeight="1">
      <c r="A283" s="2033"/>
      <c r="B283" s="2078" t="s">
        <v>1612</v>
      </c>
      <c r="C283" s="3714" t="s">
        <v>3919</v>
      </c>
      <c r="D283" s="3714"/>
      <c r="E283" s="3714"/>
      <c r="F283" s="3714"/>
      <c r="G283" s="3714"/>
      <c r="H283" s="3714"/>
      <c r="I283" s="3714"/>
      <c r="J283" s="3714"/>
      <c r="K283" s="3714"/>
      <c r="L283" s="3714"/>
      <c r="M283" s="3714"/>
      <c r="N283" s="3714"/>
      <c r="O283" s="3714"/>
      <c r="P283" s="2076"/>
      <c r="Q283" s="2026"/>
    </row>
    <row r="284" spans="1:17" ht="47.25" customHeight="1">
      <c r="A284" s="2071"/>
      <c r="B284" s="3714" t="s">
        <v>6838</v>
      </c>
      <c r="C284" s="3714"/>
      <c r="D284" s="3714"/>
      <c r="E284" s="3714"/>
      <c r="F284" s="3714"/>
      <c r="G284" s="3714"/>
      <c r="H284" s="3714"/>
      <c r="I284" s="3714"/>
      <c r="J284" s="3714"/>
      <c r="K284" s="3714"/>
      <c r="L284" s="3714"/>
      <c r="M284" s="3714"/>
      <c r="N284" s="3714"/>
      <c r="O284" s="3715"/>
      <c r="P284" s="3716" t="s">
        <v>7102</v>
      </c>
      <c r="Q284" s="3716"/>
    </row>
    <row r="285" spans="1:17" ht="20.25" customHeight="1">
      <c r="B285" s="2060" t="s">
        <v>3240</v>
      </c>
      <c r="D285" s="2060"/>
      <c r="E285" s="2060"/>
      <c r="F285" s="2060"/>
      <c r="G285" s="2060"/>
      <c r="H285" s="2043"/>
      <c r="I285" s="2031"/>
      <c r="J285" s="2031"/>
      <c r="K285" s="2031"/>
      <c r="L285" s="2026"/>
      <c r="M285" s="2026"/>
      <c r="N285" s="2026"/>
      <c r="O285" s="2026"/>
      <c r="P285" s="2026"/>
      <c r="Q285" s="2026"/>
    </row>
    <row r="286" spans="1:17" ht="30.6" customHeight="1">
      <c r="A286" s="3711" t="s">
        <v>7114</v>
      </c>
      <c r="B286" s="3712"/>
      <c r="C286" s="3712"/>
      <c r="D286" s="3712"/>
      <c r="E286" s="3712"/>
      <c r="F286" s="3712"/>
      <c r="G286" s="3712"/>
      <c r="H286" s="3712"/>
      <c r="I286" s="3712"/>
      <c r="J286" s="3712"/>
      <c r="K286" s="3712"/>
      <c r="L286" s="3712"/>
      <c r="M286" s="3712"/>
      <c r="N286" s="3712"/>
      <c r="O286" s="3712"/>
      <c r="P286" s="3712"/>
      <c r="Q286" s="3713"/>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06"/>
      <c r="B288" s="3707"/>
      <c r="C288" s="3707"/>
      <c r="D288" s="3707"/>
      <c r="E288" s="3707"/>
      <c r="F288" s="3707"/>
      <c r="G288" s="3707"/>
      <c r="H288" s="3707"/>
      <c r="I288" s="3707"/>
      <c r="J288" s="3707"/>
      <c r="K288" s="3707"/>
      <c r="L288" s="3707"/>
      <c r="M288" s="3707"/>
      <c r="N288" s="3707"/>
      <c r="O288" s="3707"/>
      <c r="P288" s="3707"/>
      <c r="Q288" s="3708"/>
    </row>
    <row r="289" spans="1:28" ht="20.25" customHeight="1">
      <c r="A289" s="2026"/>
      <c r="B289" s="2031"/>
      <c r="C289" s="2036"/>
      <c r="D289" s="2036"/>
      <c r="E289" s="2036"/>
      <c r="F289" s="2036"/>
      <c r="G289" s="2036"/>
      <c r="H289" s="2036"/>
      <c r="I289" s="2036"/>
      <c r="J289" s="2036"/>
      <c r="K289" s="2036"/>
      <c r="L289" s="2036"/>
      <c r="M289" s="2036"/>
      <c r="Q289" s="2026"/>
    </row>
    <row r="290" spans="1:28"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c r="A291" s="2042" t="s">
        <v>3380</v>
      </c>
      <c r="B291" s="2029" t="s">
        <v>2436</v>
      </c>
      <c r="C291" s="2033"/>
      <c r="D291" s="2029"/>
      <c r="E291" s="2036"/>
      <c r="F291" s="2036"/>
      <c r="G291" s="2036"/>
      <c r="H291" s="2036"/>
      <c r="J291" s="2036"/>
      <c r="K291" s="2036"/>
      <c r="L291" s="2036"/>
      <c r="M291" s="2036"/>
      <c r="O291" s="2032" t="s">
        <v>1731</v>
      </c>
      <c r="P291" s="3709"/>
      <c r="Q291" s="3710"/>
    </row>
    <row r="292" spans="1:28" ht="20.25" customHeight="1">
      <c r="A292" s="2042"/>
      <c r="B292" s="2060" t="s">
        <v>3240</v>
      </c>
      <c r="D292" s="2060"/>
      <c r="E292" s="2060"/>
      <c r="F292" s="2060"/>
      <c r="G292" s="2060"/>
      <c r="H292" s="2043"/>
      <c r="I292" s="2031"/>
      <c r="J292" s="2031"/>
      <c r="K292" s="2031"/>
      <c r="L292" s="2026"/>
      <c r="M292" s="2026"/>
      <c r="N292" s="2026"/>
      <c r="O292" s="2026"/>
      <c r="P292" s="2026"/>
      <c r="Q292" s="2026"/>
    </row>
    <row r="293" spans="1:28" ht="41.4" customHeight="1">
      <c r="A293" s="3711" t="s">
        <v>7115</v>
      </c>
      <c r="B293" s="3712"/>
      <c r="C293" s="3712"/>
      <c r="D293" s="3712"/>
      <c r="E293" s="3712"/>
      <c r="F293" s="3712"/>
      <c r="G293" s="3712"/>
      <c r="H293" s="3712"/>
      <c r="I293" s="3712"/>
      <c r="J293" s="3712"/>
      <c r="K293" s="3712"/>
      <c r="L293" s="3712"/>
      <c r="M293" s="3712"/>
      <c r="N293" s="3712"/>
      <c r="O293" s="3712"/>
      <c r="P293" s="3712"/>
      <c r="Q293" s="3713"/>
    </row>
    <row r="294" spans="1:28" ht="20.25" customHeight="1">
      <c r="B294" s="2034" t="s">
        <v>1730</v>
      </c>
      <c r="C294" s="2035"/>
      <c r="D294" s="2036"/>
      <c r="E294" s="2036"/>
      <c r="F294" s="2036"/>
      <c r="G294" s="2036"/>
      <c r="H294" s="2036"/>
      <c r="I294" s="2036"/>
      <c r="J294" s="2036"/>
      <c r="K294" s="2036"/>
      <c r="L294" s="2036"/>
      <c r="M294" s="2036"/>
      <c r="N294" s="2036"/>
      <c r="O294" s="2036"/>
      <c r="P294" s="2036"/>
      <c r="Q294" s="2036"/>
    </row>
    <row r="295" spans="1:28" ht="20.25" customHeight="1">
      <c r="A295" s="3706"/>
      <c r="B295" s="3707"/>
      <c r="C295" s="3707"/>
      <c r="D295" s="3707"/>
      <c r="E295" s="3707"/>
      <c r="F295" s="3707"/>
      <c r="G295" s="3707"/>
      <c r="H295" s="3707"/>
      <c r="I295" s="3707"/>
      <c r="J295" s="3707"/>
      <c r="K295" s="3707"/>
      <c r="L295" s="3707"/>
      <c r="M295" s="3707"/>
      <c r="N295" s="3707"/>
      <c r="O295" s="3707"/>
      <c r="P295" s="3707"/>
      <c r="Q295" s="3708"/>
    </row>
    <row r="296" spans="1:28" ht="20.25" customHeight="1">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c r="C301" s="2105"/>
      <c r="D301" s="2105"/>
      <c r="E301" s="2105"/>
      <c r="F301" s="2105"/>
      <c r="G301" s="2105"/>
      <c r="H301" s="2105"/>
      <c r="I301" s="2105"/>
      <c r="J301" s="2105"/>
      <c r="K301" s="2105"/>
      <c r="L301" s="2105"/>
      <c r="M301" s="2105"/>
      <c r="N301" s="2105"/>
      <c r="O301" s="2105"/>
      <c r="P301" s="2105"/>
      <c r="Q301" s="2105"/>
    </row>
    <row r="302" spans="1:28" ht="20.25" customHeight="1">
      <c r="C302" s="2105" t="s">
        <v>1646</v>
      </c>
      <c r="D302" s="2105"/>
      <c r="E302" s="2105"/>
      <c r="F302" s="2105"/>
      <c r="G302" s="2105"/>
      <c r="H302" s="2105"/>
      <c r="I302" s="2105"/>
      <c r="J302" s="2106" t="s">
        <v>1544</v>
      </c>
      <c r="K302" s="2105"/>
      <c r="L302" s="2105"/>
      <c r="M302" s="2105"/>
      <c r="N302" s="2107"/>
      <c r="O302" s="2106" t="s">
        <v>4046</v>
      </c>
      <c r="P302" s="2108"/>
      <c r="Q302" s="2105"/>
    </row>
    <row r="303" spans="1:28" ht="20.25" customHeight="1">
      <c r="C303" s="2106" t="s">
        <v>1312</v>
      </c>
      <c r="D303" s="2105"/>
      <c r="E303" s="2105"/>
      <c r="F303" s="2105"/>
      <c r="G303" s="2105"/>
      <c r="H303" s="2105"/>
      <c r="I303" s="2105"/>
      <c r="J303" s="2106" t="s">
        <v>1953</v>
      </c>
      <c r="K303" s="2105"/>
      <c r="L303" s="2105"/>
      <c r="M303" s="2105"/>
      <c r="N303" s="2107"/>
      <c r="O303" s="2106" t="s">
        <v>4047</v>
      </c>
      <c r="P303" s="2108"/>
      <c r="Q303" s="2105"/>
    </row>
    <row r="304" spans="1:28" ht="20.25" customHeight="1">
      <c r="C304" s="2106" t="s">
        <v>1313</v>
      </c>
      <c r="D304" s="2105"/>
      <c r="E304" s="2105"/>
      <c r="F304" s="2105"/>
      <c r="G304" s="2105"/>
      <c r="H304" s="2105"/>
      <c r="I304" s="2105"/>
      <c r="J304" s="2106" t="s">
        <v>1537</v>
      </c>
      <c r="K304" s="2105"/>
      <c r="L304" s="2105"/>
      <c r="M304" s="2105"/>
      <c r="N304" s="2107"/>
      <c r="O304" s="2106" t="s">
        <v>4048</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4052</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4049</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4050</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4051</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3278</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3279</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2439</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2440</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2441</v>
      </c>
      <c r="D335" s="2105"/>
      <c r="E335" s="2105"/>
      <c r="F335" s="2105"/>
      <c r="G335" s="2105"/>
      <c r="H335" s="2105"/>
      <c r="I335" s="2105"/>
      <c r="J335" s="2105"/>
      <c r="K335" s="2105" t="s">
        <v>1018</v>
      </c>
      <c r="L335" s="2106"/>
      <c r="M335" s="2105"/>
      <c r="N335" s="2105"/>
      <c r="O335" s="2105"/>
      <c r="P335" s="2105"/>
      <c r="Q335" s="2105"/>
    </row>
    <row r="336" spans="3:17" ht="20.25" customHeight="1">
      <c r="C336" s="2105" t="s">
        <v>2442</v>
      </c>
      <c r="D336" s="2105"/>
      <c r="E336" s="2105"/>
      <c r="F336" s="2105"/>
      <c r="G336" s="2105"/>
      <c r="H336" s="2105"/>
      <c r="I336" s="2105"/>
      <c r="J336" s="2105"/>
      <c r="K336" s="2105" t="s">
        <v>3249</v>
      </c>
      <c r="L336" s="2105"/>
      <c r="M336" s="2105"/>
      <c r="N336" s="2105"/>
      <c r="O336" s="2105"/>
      <c r="P336" s="2105"/>
      <c r="Q336" s="2105"/>
    </row>
    <row r="337" spans="3:28" ht="20.25" customHeight="1">
      <c r="C337" s="2106" t="s">
        <v>1130</v>
      </c>
      <c r="D337" s="2105"/>
      <c r="E337" s="2105"/>
      <c r="F337" s="2105"/>
      <c r="G337" s="2105"/>
      <c r="H337" s="2105"/>
      <c r="I337" s="2105"/>
      <c r="J337" s="2105"/>
      <c r="K337" s="2105" t="s">
        <v>6202</v>
      </c>
      <c r="L337" s="2105"/>
      <c r="M337" s="2105"/>
      <c r="N337" s="2105"/>
      <c r="O337" s="2105"/>
      <c r="P337" s="2105"/>
      <c r="Q337" s="2105"/>
    </row>
    <row r="338" spans="3:28" ht="20.25" customHeight="1">
      <c r="C338" s="2105"/>
      <c r="D338" s="2105"/>
      <c r="E338" s="2105"/>
      <c r="F338" s="2105"/>
      <c r="G338" s="2105"/>
      <c r="H338" s="2105"/>
      <c r="I338" s="2105"/>
      <c r="J338" s="2105"/>
      <c r="K338" s="2105"/>
      <c r="L338" s="2105"/>
      <c r="M338" s="2105"/>
      <c r="N338" s="2105"/>
      <c r="O338" s="2105"/>
      <c r="P338" s="2105"/>
      <c r="Q338" s="2105"/>
    </row>
    <row r="339" spans="3:28" ht="20.25" customHeight="1">
      <c r="C339" s="2109" t="s">
        <v>244</v>
      </c>
      <c r="D339" s="2105"/>
      <c r="E339" s="2105"/>
      <c r="F339" s="2105"/>
      <c r="G339" s="2105"/>
      <c r="H339" s="2105"/>
      <c r="I339" s="2105"/>
      <c r="J339" s="2105"/>
      <c r="K339" s="2109" t="s">
        <v>2072</v>
      </c>
      <c r="L339" s="2105"/>
      <c r="M339" s="2105"/>
      <c r="N339" s="2105"/>
      <c r="O339" s="2105"/>
      <c r="P339" s="2105"/>
      <c r="Q339" s="2105"/>
    </row>
    <row r="340" spans="3:28" ht="20.25" customHeight="1">
      <c r="C340" s="2105" t="s">
        <v>1019</v>
      </c>
      <c r="D340" s="2105"/>
      <c r="E340" s="2105"/>
      <c r="F340" s="2105"/>
      <c r="G340" s="2105"/>
      <c r="H340" s="2105"/>
      <c r="I340" s="2105"/>
      <c r="J340" s="2105"/>
      <c r="K340" s="2105" t="s">
        <v>2147</v>
      </c>
      <c r="L340" s="2105"/>
      <c r="M340" s="2105"/>
      <c r="N340" s="2105"/>
      <c r="O340" s="2105"/>
      <c r="P340" s="2105"/>
      <c r="Q340" s="2105"/>
    </row>
    <row r="341" spans="3:28" ht="20.25" customHeight="1">
      <c r="C341" s="2105" t="s">
        <v>163</v>
      </c>
      <c r="D341" s="2105"/>
      <c r="E341" s="2105"/>
      <c r="F341" s="2105"/>
      <c r="G341" s="2105"/>
      <c r="H341" s="2105"/>
      <c r="I341" s="2105"/>
      <c r="J341" s="2105"/>
      <c r="K341" s="2105" t="s">
        <v>6305</v>
      </c>
      <c r="L341" s="2105"/>
      <c r="M341" s="2105"/>
      <c r="N341" s="2105"/>
      <c r="O341" s="2105"/>
      <c r="P341" s="2105"/>
      <c r="Q341" s="2105"/>
    </row>
    <row r="342" spans="3:28" ht="20.25" customHeight="1">
      <c r="C342" s="2105" t="s">
        <v>1429</v>
      </c>
      <c r="D342" s="2105"/>
      <c r="E342" s="2105"/>
      <c r="F342" s="2105"/>
      <c r="G342" s="2105"/>
      <c r="H342" s="2105"/>
      <c r="I342" s="2105"/>
      <c r="J342" s="2105"/>
      <c r="K342" s="2105" t="s">
        <v>6304</v>
      </c>
      <c r="L342" s="2105"/>
      <c r="M342" s="2105"/>
      <c r="N342" s="2105"/>
      <c r="O342" s="2105"/>
      <c r="P342" s="2105"/>
      <c r="Q342" s="2105"/>
    </row>
    <row r="343" spans="3:28" ht="20.25" customHeight="1">
      <c r="C343" s="2105" t="s">
        <v>1965</v>
      </c>
      <c r="D343" s="2105"/>
      <c r="E343" s="2105"/>
      <c r="F343" s="2105"/>
      <c r="G343" s="2105"/>
      <c r="H343" s="2105"/>
      <c r="I343" s="2105"/>
      <c r="J343" s="2105"/>
      <c r="K343" s="2105" t="s">
        <v>6203</v>
      </c>
      <c r="L343" s="2105"/>
      <c r="M343" s="2105"/>
      <c r="N343" s="2105"/>
      <c r="O343" s="2105"/>
      <c r="P343" s="2105"/>
      <c r="Q343" s="2105"/>
    </row>
    <row r="344" spans="3:28" ht="20.25" customHeight="1">
      <c r="C344" s="2105" t="s">
        <v>162</v>
      </c>
      <c r="D344" s="2105"/>
      <c r="E344" s="2105"/>
      <c r="F344" s="2105"/>
      <c r="G344" s="2105"/>
      <c r="H344" s="2105"/>
      <c r="I344" s="2105"/>
      <c r="J344" s="2105"/>
      <c r="K344" s="2105" t="s">
        <v>6306</v>
      </c>
      <c r="L344" s="2105"/>
      <c r="M344" s="2105"/>
      <c r="N344" s="2105"/>
      <c r="O344" s="2105"/>
      <c r="P344" s="2105"/>
      <c r="Q344" s="2105"/>
    </row>
    <row r="345" spans="3:28" ht="20.25" customHeight="1">
      <c r="C345" s="2105"/>
      <c r="D345" s="2105"/>
      <c r="E345" s="2105"/>
      <c r="F345" s="2105"/>
      <c r="G345" s="2105"/>
      <c r="H345" s="2105"/>
      <c r="I345" s="2105"/>
      <c r="J345" s="2105"/>
      <c r="K345" s="2109" t="s">
        <v>1809</v>
      </c>
      <c r="L345" s="2105"/>
      <c r="M345" s="2105"/>
      <c r="N345" s="2105"/>
      <c r="O345" s="2105"/>
      <c r="P345" s="2105"/>
      <c r="Q345" s="2105"/>
    </row>
    <row r="346" spans="3:28" s="2030" customFormat="1" ht="20.25" customHeight="1">
      <c r="K346" s="2030" t="s">
        <v>1017</v>
      </c>
      <c r="R346" s="2099"/>
      <c r="S346" s="2099"/>
      <c r="T346" s="2099"/>
      <c r="U346" s="2099"/>
      <c r="V346" s="2099"/>
      <c r="W346" s="2099"/>
      <c r="X346" s="2099"/>
      <c r="Y346" s="2099"/>
      <c r="Z346" s="2099"/>
      <c r="AA346" s="2099"/>
      <c r="AB346" s="2099"/>
    </row>
    <row r="347" spans="3:28" s="2030" customFormat="1" ht="20.25" customHeight="1">
      <c r="K347" s="2030" t="s">
        <v>1628</v>
      </c>
      <c r="R347" s="2099"/>
      <c r="S347" s="2099"/>
      <c r="T347" s="2099"/>
      <c r="U347" s="2099"/>
      <c r="V347" s="2099"/>
      <c r="W347" s="2099"/>
      <c r="X347" s="2099"/>
      <c r="Y347" s="2099"/>
      <c r="Z347" s="2099"/>
      <c r="AA347" s="2099"/>
      <c r="AB347" s="2099"/>
    </row>
    <row r="348" spans="3:28" s="2030" customFormat="1" ht="20.25" customHeight="1">
      <c r="K348" s="2030" t="s">
        <v>1067</v>
      </c>
      <c r="R348" s="2099"/>
      <c r="S348" s="2099"/>
      <c r="T348" s="2099"/>
      <c r="U348" s="2099"/>
      <c r="V348" s="2099"/>
      <c r="W348" s="2099"/>
      <c r="X348" s="2099"/>
      <c r="Y348" s="2099"/>
      <c r="Z348" s="2099"/>
      <c r="AA348" s="2099"/>
      <c r="AB348" s="2099"/>
    </row>
    <row r="349" spans="3:28" s="2030" customFormat="1" ht="20.25" customHeight="1">
      <c r="K349" s="2030" t="s">
        <v>1629</v>
      </c>
      <c r="R349" s="2099"/>
      <c r="S349" s="2099"/>
      <c r="T349" s="2099"/>
      <c r="U349" s="2099"/>
      <c r="V349" s="2099"/>
      <c r="W349" s="2099"/>
      <c r="X349" s="2099"/>
      <c r="Y349" s="2099"/>
      <c r="Z349" s="2099"/>
      <c r="AA349" s="2099"/>
      <c r="AB349" s="2099"/>
    </row>
    <row r="350" spans="3:28" s="2030" customFormat="1" ht="20.25" customHeight="1">
      <c r="K350" s="2030" t="s">
        <v>2185</v>
      </c>
      <c r="R350" s="2099"/>
      <c r="S350" s="2099"/>
      <c r="T350" s="2099"/>
      <c r="U350" s="2099"/>
      <c r="V350" s="2099"/>
      <c r="W350" s="2099"/>
      <c r="X350" s="2099"/>
      <c r="Y350" s="2099"/>
      <c r="Z350" s="2099"/>
      <c r="AA350" s="2099"/>
      <c r="AB350" s="2099"/>
    </row>
    <row r="351" spans="3:28" s="2030" customFormat="1" ht="20.25" customHeight="1">
      <c r="R351" s="2099"/>
      <c r="S351" s="2099"/>
      <c r="T351" s="2099"/>
      <c r="U351" s="2099"/>
      <c r="V351" s="2099"/>
      <c r="W351" s="2099"/>
      <c r="X351" s="2099"/>
      <c r="Y351" s="2099"/>
      <c r="Z351" s="2099"/>
      <c r="AA351" s="2099"/>
      <c r="AB351" s="2099"/>
    </row>
    <row r="352" spans="3:28" s="2030" customFormat="1" ht="20.25" customHeight="1">
      <c r="C352" s="2110" t="s">
        <v>951</v>
      </c>
      <c r="M352" s="2110" t="s">
        <v>3852</v>
      </c>
      <c r="R352" s="2099"/>
      <c r="S352" s="2099"/>
      <c r="T352" s="2099"/>
      <c r="U352" s="2099"/>
      <c r="V352" s="2099"/>
      <c r="W352" s="2099"/>
      <c r="X352" s="2099"/>
      <c r="Y352" s="2099"/>
      <c r="Z352" s="2099"/>
      <c r="AA352" s="2099"/>
      <c r="AB352" s="2099"/>
    </row>
    <row r="353" spans="3:28" s="2030" customFormat="1" ht="20.25" customHeight="1">
      <c r="C353" s="2030" t="s">
        <v>950</v>
      </c>
      <c r="M353" s="2030" t="s">
        <v>950</v>
      </c>
      <c r="R353" s="2099"/>
      <c r="S353" s="2099"/>
      <c r="T353" s="2099"/>
      <c r="U353" s="2099"/>
      <c r="V353" s="2099"/>
      <c r="W353" s="2099"/>
      <c r="X353" s="2099"/>
      <c r="Y353" s="2099"/>
      <c r="Z353" s="2099"/>
      <c r="AA353" s="2099"/>
      <c r="AB353" s="2099"/>
    </row>
    <row r="354" spans="3:28" s="2030" customFormat="1" ht="20.25" customHeight="1">
      <c r="C354" s="2030" t="s">
        <v>1938</v>
      </c>
      <c r="M354" s="2030" t="s">
        <v>3849</v>
      </c>
      <c r="R354" s="2099"/>
      <c r="S354" s="2099"/>
      <c r="T354" s="2099"/>
      <c r="U354" s="2099"/>
      <c r="V354" s="2099"/>
      <c r="W354" s="2099"/>
      <c r="X354" s="2099"/>
      <c r="Y354" s="2099"/>
      <c r="Z354" s="2099"/>
      <c r="AA354" s="2099"/>
      <c r="AB354" s="2099"/>
    </row>
    <row r="355" spans="3:28" s="2030" customFormat="1" ht="20.25" customHeight="1">
      <c r="C355" s="2030" t="s">
        <v>2341</v>
      </c>
      <c r="M355" s="2030" t="s">
        <v>3880</v>
      </c>
      <c r="R355" s="2099"/>
      <c r="S355" s="2099"/>
      <c r="T355" s="2099"/>
      <c r="U355" s="2099"/>
      <c r="V355" s="2099"/>
      <c r="W355" s="2099"/>
      <c r="X355" s="2099"/>
      <c r="Y355" s="2099"/>
      <c r="Z355" s="2099"/>
      <c r="AA355" s="2099"/>
      <c r="AB355" s="2099"/>
    </row>
    <row r="356" spans="3:28" s="2030" customFormat="1" ht="20.25" customHeight="1">
      <c r="C356" s="2030" t="s">
        <v>1939</v>
      </c>
      <c r="M356" s="2030" t="s">
        <v>1540</v>
      </c>
      <c r="R356" s="2099"/>
      <c r="S356" s="2099"/>
      <c r="T356" s="2099"/>
      <c r="U356" s="2099"/>
      <c r="V356" s="2099"/>
      <c r="W356" s="2099"/>
      <c r="X356" s="2099"/>
      <c r="Y356" s="2099"/>
      <c r="Z356" s="2099"/>
      <c r="AA356" s="2099"/>
      <c r="AB356" s="2099"/>
    </row>
    <row r="357" spans="3:28" s="2030" customFormat="1" ht="20.25" customHeight="1">
      <c r="C357" s="2030" t="s">
        <v>1810</v>
      </c>
      <c r="M357" s="2030" t="s">
        <v>3850</v>
      </c>
      <c r="R357" s="2099"/>
      <c r="S357" s="2099"/>
      <c r="T357" s="2099"/>
      <c r="U357" s="2099"/>
      <c r="V357" s="2099"/>
      <c r="W357" s="2099"/>
      <c r="X357" s="2099"/>
      <c r="Y357" s="2099"/>
      <c r="Z357" s="2099"/>
      <c r="AA357" s="2099"/>
      <c r="AB357" s="2099"/>
    </row>
    <row r="358" spans="3:28" s="2030" customFormat="1" ht="20.25" customHeight="1">
      <c r="C358" s="2030" t="s">
        <v>548</v>
      </c>
      <c r="M358" s="2030" t="s">
        <v>3899</v>
      </c>
      <c r="R358" s="2099"/>
      <c r="S358" s="2099"/>
      <c r="T358" s="2099"/>
      <c r="U358" s="2099"/>
      <c r="V358" s="2099"/>
      <c r="W358" s="2099"/>
      <c r="X358" s="2099"/>
      <c r="Y358" s="2099"/>
      <c r="Z358" s="2099"/>
      <c r="AA358" s="2099"/>
      <c r="AB358" s="2099"/>
    </row>
    <row r="359" spans="3:28" s="2030" customFormat="1" ht="20.25" customHeight="1">
      <c r="C359" s="2030" t="s">
        <v>2035</v>
      </c>
      <c r="M359" s="2030" t="s">
        <v>3900</v>
      </c>
      <c r="R359" s="2099"/>
      <c r="S359" s="2099"/>
      <c r="T359" s="2099"/>
      <c r="U359" s="2099"/>
      <c r="V359" s="2099"/>
      <c r="W359" s="2099"/>
      <c r="X359" s="2099"/>
      <c r="Y359" s="2099"/>
      <c r="Z359" s="2099"/>
      <c r="AA359" s="2099"/>
      <c r="AB359" s="2099"/>
    </row>
    <row r="360" spans="3:28" s="2030" customFormat="1" ht="20.25" customHeight="1">
      <c r="C360" s="2030" t="s">
        <v>30</v>
      </c>
      <c r="M360" s="2030" t="s">
        <v>3851</v>
      </c>
      <c r="R360" s="2099"/>
      <c r="S360" s="2099"/>
      <c r="T360" s="2099"/>
      <c r="U360" s="2099"/>
      <c r="V360" s="2099"/>
      <c r="W360" s="2099"/>
      <c r="X360" s="2099"/>
      <c r="Y360" s="2099"/>
      <c r="Z360" s="2099"/>
      <c r="AA360" s="2099"/>
      <c r="AB360" s="2099"/>
    </row>
    <row r="361" spans="3:28" s="2030" customFormat="1" ht="20.25" customHeight="1">
      <c r="M361" s="2030" t="s">
        <v>1952</v>
      </c>
      <c r="R361" s="2099"/>
      <c r="S361" s="2099"/>
      <c r="T361" s="2099"/>
      <c r="U361" s="2099"/>
      <c r="V361" s="2099"/>
      <c r="W361" s="2099"/>
      <c r="X361" s="2099"/>
      <c r="Y361" s="2099"/>
      <c r="Z361" s="2099"/>
      <c r="AA361" s="2099"/>
      <c r="AB361" s="2099"/>
    </row>
    <row r="362" spans="3:28" s="2030" customFormat="1" ht="20.25" customHeight="1">
      <c r="M362" s="2111" t="s">
        <v>6839</v>
      </c>
      <c r="R362" s="2099"/>
      <c r="S362" s="2099"/>
      <c r="T362" s="2099"/>
      <c r="U362" s="2099"/>
      <c r="V362" s="2099"/>
      <c r="W362" s="2099"/>
      <c r="X362" s="2099"/>
      <c r="Y362" s="2099"/>
      <c r="Z362" s="2099"/>
      <c r="AA362" s="2099"/>
      <c r="AB362" s="2099"/>
    </row>
    <row r="363" spans="3:28" s="2030" customFormat="1" ht="20.25" customHeight="1">
      <c r="R363" s="2099"/>
      <c r="S363" s="2099"/>
      <c r="T363" s="2099"/>
      <c r="U363" s="2099"/>
      <c r="V363" s="2099"/>
      <c r="W363" s="2099"/>
      <c r="X363" s="2099"/>
      <c r="Y363" s="2099"/>
      <c r="Z363" s="2099"/>
      <c r="AA363" s="2099"/>
      <c r="AB363" s="2099"/>
    </row>
    <row r="364" spans="3:28" s="2030" customFormat="1" ht="20.25" customHeight="1">
      <c r="M364" s="2029" t="s">
        <v>3261</v>
      </c>
      <c r="R364" s="2099"/>
      <c r="S364" s="2099"/>
      <c r="T364" s="2099"/>
      <c r="U364" s="2099"/>
      <c r="V364" s="2099"/>
      <c r="W364" s="2099"/>
      <c r="X364" s="2099"/>
      <c r="Y364" s="2099"/>
      <c r="Z364" s="2099"/>
      <c r="AA364" s="2099"/>
      <c r="AB364" s="2099"/>
    </row>
    <row r="365" spans="3:28" s="2030" customFormat="1" ht="20.25" customHeight="1">
      <c r="M365" s="2030" t="s">
        <v>3337</v>
      </c>
      <c r="R365" s="2099"/>
      <c r="S365" s="2099"/>
      <c r="T365" s="2099"/>
      <c r="U365" s="2099"/>
      <c r="V365" s="2099"/>
      <c r="W365" s="2099"/>
      <c r="X365" s="2099"/>
      <c r="Y365" s="2099"/>
      <c r="Z365" s="2099"/>
      <c r="AA365" s="2099"/>
      <c r="AB365" s="2099"/>
    </row>
    <row r="366" spans="3:28" s="2030" customFormat="1" ht="20.25" customHeight="1">
      <c r="M366" s="2030" t="s">
        <v>3332</v>
      </c>
      <c r="R366" s="2099"/>
      <c r="S366" s="2099"/>
      <c r="T366" s="2099"/>
      <c r="U366" s="2099"/>
      <c r="V366" s="2099"/>
      <c r="W366" s="2099"/>
      <c r="X366" s="2099"/>
      <c r="Y366" s="2099"/>
      <c r="Z366" s="2099"/>
      <c r="AA366" s="2099"/>
      <c r="AB366" s="2099"/>
    </row>
    <row r="367" spans="3:28" s="2030" customFormat="1" ht="20.25" customHeight="1">
      <c r="M367" s="2030" t="s">
        <v>3254</v>
      </c>
      <c r="R367" s="2099"/>
      <c r="S367" s="2099"/>
      <c r="T367" s="2099"/>
      <c r="U367" s="2099"/>
      <c r="V367" s="2099"/>
      <c r="W367" s="2099"/>
      <c r="X367" s="2099"/>
      <c r="Y367" s="2099"/>
      <c r="Z367" s="2099"/>
      <c r="AA367" s="2099"/>
      <c r="AB367" s="2099"/>
    </row>
    <row r="368" spans="3:28" s="2030" customFormat="1" ht="20.25" customHeight="1">
      <c r="M368" s="2030" t="s">
        <v>3328</v>
      </c>
      <c r="R368" s="2099"/>
      <c r="S368" s="2099"/>
      <c r="T368" s="2099"/>
      <c r="U368" s="2099"/>
      <c r="V368" s="2099"/>
      <c r="W368" s="2099"/>
      <c r="X368" s="2099"/>
      <c r="Y368" s="2099"/>
      <c r="Z368" s="2099"/>
      <c r="AA368" s="2099"/>
      <c r="AB368" s="2099"/>
    </row>
    <row r="369" spans="4:28" s="2030" customFormat="1" ht="20.25" customHeight="1">
      <c r="D369" s="2029" t="s">
        <v>1888</v>
      </c>
      <c r="M369" s="2030" t="s">
        <v>3255</v>
      </c>
      <c r="R369" s="2099"/>
      <c r="S369" s="2099"/>
      <c r="T369" s="2099"/>
      <c r="U369" s="2099"/>
      <c r="V369" s="2099"/>
      <c r="W369" s="2099"/>
      <c r="X369" s="2099"/>
      <c r="Y369" s="2099"/>
      <c r="Z369" s="2099"/>
      <c r="AA369" s="2099"/>
      <c r="AB369" s="2099"/>
    </row>
    <row r="370" spans="4:28" s="2030" customFormat="1" ht="20.25" customHeight="1">
      <c r="M370" s="2030" t="s">
        <v>3329</v>
      </c>
      <c r="R370" s="2099"/>
      <c r="S370" s="2099"/>
      <c r="T370" s="2099"/>
      <c r="U370" s="2099"/>
      <c r="V370" s="2099"/>
      <c r="W370" s="2099"/>
      <c r="X370" s="2099"/>
      <c r="Y370" s="2099"/>
      <c r="Z370" s="2099"/>
      <c r="AA370" s="2099"/>
      <c r="AB370" s="2099"/>
    </row>
    <row r="371" spans="4:28" s="2030" customFormat="1" ht="20.25" customHeight="1">
      <c r="M371" s="2030" t="s">
        <v>3256</v>
      </c>
      <c r="R371" s="2099"/>
      <c r="S371" s="2099"/>
      <c r="T371" s="2099"/>
      <c r="U371" s="2099"/>
      <c r="V371" s="2099"/>
      <c r="W371" s="2099"/>
      <c r="X371" s="2099"/>
      <c r="Y371" s="2099"/>
      <c r="Z371" s="2099"/>
      <c r="AA371" s="2099"/>
      <c r="AB371" s="2099"/>
    </row>
    <row r="372" spans="4:28" s="2030" customFormat="1" ht="20.25" customHeight="1">
      <c r="M372" s="2030" t="s">
        <v>3330</v>
      </c>
      <c r="R372" s="2099"/>
      <c r="S372" s="2099"/>
      <c r="T372" s="2099"/>
      <c r="U372" s="2099"/>
      <c r="V372" s="2099"/>
      <c r="W372" s="2099"/>
      <c r="X372" s="2099"/>
      <c r="Y372" s="2099"/>
      <c r="Z372" s="2099"/>
      <c r="AA372" s="2099"/>
      <c r="AB372" s="2099"/>
    </row>
    <row r="373" spans="4:28" s="2030" customFormat="1" ht="20.25" customHeight="1">
      <c r="M373" s="2030" t="s">
        <v>3333</v>
      </c>
      <c r="R373" s="2099"/>
      <c r="S373" s="2099"/>
      <c r="T373" s="2099"/>
      <c r="U373" s="2099"/>
      <c r="V373" s="2099"/>
      <c r="W373" s="2099"/>
      <c r="X373" s="2099"/>
      <c r="Y373" s="2099"/>
      <c r="Z373" s="2099"/>
      <c r="AA373" s="2099"/>
      <c r="AB373" s="2099"/>
    </row>
    <row r="374" spans="4:28" s="2030" customFormat="1" ht="20.25" customHeight="1">
      <c r="M374" s="2030" t="s">
        <v>3257</v>
      </c>
      <c r="R374" s="2099"/>
      <c r="S374" s="2099"/>
      <c r="T374" s="2099"/>
      <c r="U374" s="2099"/>
      <c r="V374" s="2099"/>
      <c r="W374" s="2099"/>
      <c r="X374" s="2099"/>
      <c r="Y374" s="2099"/>
      <c r="Z374" s="2099"/>
      <c r="AA374" s="2099"/>
      <c r="AB374" s="2099"/>
    </row>
    <row r="375" spans="4:28" s="2030" customFormat="1" ht="20.25" customHeight="1">
      <c r="M375" s="2030" t="s">
        <v>3258</v>
      </c>
      <c r="R375" s="2099"/>
      <c r="S375" s="2099"/>
      <c r="T375" s="2099"/>
      <c r="U375" s="2099"/>
      <c r="V375" s="2099"/>
      <c r="W375" s="2099"/>
      <c r="X375" s="2099"/>
      <c r="Y375" s="2099"/>
      <c r="Z375" s="2099"/>
      <c r="AA375" s="2099"/>
      <c r="AB375" s="2099"/>
    </row>
    <row r="376" spans="4:28" s="2030" customFormat="1" ht="20.25" customHeight="1">
      <c r="M376" s="2030" t="s">
        <v>3331</v>
      </c>
      <c r="R376" s="2099"/>
      <c r="S376" s="2099"/>
      <c r="T376" s="2099"/>
      <c r="U376" s="2099"/>
      <c r="V376" s="2099"/>
      <c r="W376" s="2099"/>
      <c r="X376" s="2099"/>
      <c r="Y376" s="2099"/>
      <c r="Z376" s="2099"/>
      <c r="AA376" s="2099"/>
      <c r="AB376" s="2099"/>
    </row>
    <row r="377" spans="4:28" s="2030" customFormat="1" ht="20.25" customHeight="1">
      <c r="M377" s="2030" t="s">
        <v>3334</v>
      </c>
      <c r="R377" s="2099"/>
      <c r="S377" s="2099"/>
      <c r="T377" s="2099"/>
      <c r="U377" s="2099"/>
      <c r="V377" s="2099"/>
      <c r="W377" s="2099"/>
      <c r="X377" s="2099"/>
      <c r="Y377" s="2099"/>
      <c r="Z377" s="2099"/>
      <c r="AA377" s="2099"/>
      <c r="AB377" s="2099"/>
    </row>
    <row r="378" spans="4:28" s="2030" customFormat="1" ht="20.25" customHeight="1">
      <c r="M378" s="2030" t="s">
        <v>3335</v>
      </c>
      <c r="R378" s="2099"/>
      <c r="S378" s="2099"/>
      <c r="T378" s="2099"/>
      <c r="U378" s="2099"/>
      <c r="V378" s="2099"/>
      <c r="W378" s="2099"/>
      <c r="X378" s="2099"/>
      <c r="Y378" s="2099"/>
      <c r="Z378" s="2099"/>
      <c r="AA378" s="2099"/>
      <c r="AB378" s="2099"/>
    </row>
    <row r="379" spans="4:28" s="2030" customFormat="1" ht="20.25" customHeight="1">
      <c r="M379" s="2030" t="s">
        <v>6527</v>
      </c>
      <c r="R379" s="2099"/>
      <c r="S379" s="2099"/>
      <c r="T379" s="2099"/>
      <c r="U379" s="2099"/>
      <c r="V379" s="2099"/>
      <c r="W379" s="2099"/>
      <c r="X379" s="2099"/>
      <c r="Y379" s="2099"/>
      <c r="Z379" s="2099"/>
      <c r="AA379" s="2099"/>
      <c r="AB379" s="2099"/>
    </row>
    <row r="380" spans="4:28" s="2030" customFormat="1" ht="20.25" customHeight="1">
      <c r="R380" s="2099"/>
      <c r="S380" s="2099"/>
      <c r="T380" s="2099"/>
      <c r="U380" s="2099"/>
      <c r="V380" s="2099"/>
      <c r="W380" s="2099"/>
      <c r="X380" s="2099"/>
      <c r="Y380" s="2099"/>
      <c r="Z380" s="2099"/>
      <c r="AA380" s="2099"/>
      <c r="AB380" s="2099"/>
    </row>
    <row r="381" spans="4:28" s="2030" customFormat="1" ht="20.25" customHeight="1">
      <c r="R381" s="2099"/>
      <c r="S381" s="2099"/>
      <c r="T381" s="2099"/>
      <c r="U381" s="2099"/>
      <c r="V381" s="2099"/>
      <c r="W381" s="2099"/>
      <c r="X381" s="2099"/>
      <c r="Y381" s="2099"/>
      <c r="Z381" s="2099"/>
      <c r="AA381" s="2099"/>
      <c r="AB381" s="2099"/>
    </row>
    <row r="382" spans="4:28" s="2030" customFormat="1" ht="20.25" customHeight="1">
      <c r="R382" s="2099"/>
      <c r="S382" s="2099"/>
      <c r="T382" s="2099"/>
      <c r="U382" s="2099"/>
      <c r="V382" s="2099"/>
      <c r="W382" s="2099"/>
      <c r="X382" s="2099"/>
      <c r="Y382" s="2099"/>
      <c r="Z382" s="2099"/>
      <c r="AA382" s="2099"/>
      <c r="AB382" s="2099"/>
    </row>
    <row r="383" spans="4:28" s="2030" customFormat="1" ht="20.25" customHeight="1">
      <c r="R383" s="2099"/>
      <c r="S383" s="2099"/>
      <c r="T383" s="2099"/>
      <c r="U383" s="2099"/>
      <c r="V383" s="2099"/>
      <c r="W383" s="2099"/>
      <c r="X383" s="2099"/>
      <c r="Y383" s="2099"/>
      <c r="Z383" s="2099"/>
      <c r="AA383" s="2099"/>
      <c r="AB383" s="2099"/>
    </row>
    <row r="384" spans="4:28" s="2030" customFormat="1" ht="20.25" customHeight="1">
      <c r="R384" s="2099"/>
      <c r="S384" s="2099"/>
      <c r="T384" s="2099"/>
      <c r="U384" s="2099"/>
      <c r="V384" s="2099"/>
      <c r="W384" s="2099"/>
      <c r="X384" s="2099"/>
      <c r="Y384" s="2099"/>
      <c r="Z384" s="2099"/>
      <c r="AA384" s="2099"/>
      <c r="AB384" s="2099"/>
    </row>
    <row r="385" spans="18:28" s="2030" customFormat="1" ht="20.25" customHeight="1">
      <c r="R385" s="2099"/>
      <c r="S385" s="2099"/>
      <c r="T385" s="2099"/>
      <c r="U385" s="2099"/>
      <c r="V385" s="2099"/>
      <c r="W385" s="2099"/>
      <c r="X385" s="2099"/>
      <c r="Y385" s="2099"/>
      <c r="Z385" s="2099"/>
      <c r="AA385" s="2099"/>
      <c r="AB385" s="2099"/>
    </row>
    <row r="386" spans="18:28" s="2030" customFormat="1" ht="20.25" customHeight="1">
      <c r="R386" s="2099"/>
      <c r="S386" s="2099"/>
      <c r="T386" s="2099"/>
      <c r="U386" s="2099"/>
      <c r="V386" s="2099"/>
      <c r="W386" s="2099"/>
      <c r="X386" s="2099"/>
      <c r="Y386" s="2099"/>
      <c r="Z386" s="2099"/>
      <c r="AA386" s="2099"/>
      <c r="AB386" s="2099"/>
    </row>
    <row r="387" spans="18:28" s="2030" customFormat="1" ht="20.25" customHeight="1">
      <c r="R387" s="2099"/>
      <c r="S387" s="2099"/>
      <c r="T387" s="2099"/>
      <c r="U387" s="2099"/>
      <c r="V387" s="2099"/>
      <c r="W387" s="2099"/>
      <c r="X387" s="2099"/>
      <c r="Y387" s="2099"/>
      <c r="Z387" s="2099"/>
      <c r="AA387" s="2099"/>
      <c r="AB387" s="2099"/>
    </row>
    <row r="388" spans="18:28" s="2030" customFormat="1" ht="20.25" customHeight="1">
      <c r="R388" s="2099"/>
      <c r="S388" s="2099"/>
      <c r="T388" s="2099"/>
      <c r="U388" s="2099"/>
      <c r="V388" s="2099"/>
      <c r="W388" s="2099"/>
      <c r="X388" s="2099"/>
      <c r="Y388" s="2099"/>
      <c r="Z388" s="2099"/>
      <c r="AA388" s="2099"/>
      <c r="AB388" s="2099"/>
    </row>
    <row r="389" spans="18:28" s="2030" customFormat="1" ht="20.25" customHeight="1">
      <c r="R389" s="2099"/>
      <c r="S389" s="2099"/>
      <c r="T389" s="2099"/>
      <c r="U389" s="2099"/>
      <c r="V389" s="2099"/>
      <c r="W389" s="2099"/>
      <c r="X389" s="2099"/>
      <c r="Y389" s="2099"/>
      <c r="Z389" s="2099"/>
      <c r="AA389" s="2099"/>
      <c r="AB389" s="2099"/>
    </row>
    <row r="390" spans="18:28" s="2030" customFormat="1" ht="20.25" customHeight="1">
      <c r="R390" s="2099"/>
      <c r="S390" s="2099"/>
      <c r="T390" s="2099"/>
      <c r="U390" s="2099"/>
      <c r="V390" s="2099"/>
      <c r="W390" s="2099"/>
      <c r="X390" s="2099"/>
      <c r="Y390" s="2099"/>
      <c r="Z390" s="2099"/>
      <c r="AA390" s="2099"/>
      <c r="AB390" s="2099"/>
    </row>
    <row r="391" spans="18:28" s="2030" customFormat="1" ht="20.25" customHeight="1">
      <c r="R391" s="2099"/>
      <c r="S391" s="2099"/>
      <c r="T391" s="2099"/>
      <c r="U391" s="2099"/>
      <c r="V391" s="2099"/>
      <c r="W391" s="2099"/>
      <c r="X391" s="2099"/>
      <c r="Y391" s="2099"/>
      <c r="Z391" s="2099"/>
      <c r="AA391" s="2099"/>
      <c r="AB391" s="2099"/>
    </row>
    <row r="392" spans="18:28" s="2030" customFormat="1" ht="20.25" customHeight="1">
      <c r="R392" s="2099"/>
      <c r="S392" s="2099"/>
      <c r="T392" s="2099"/>
      <c r="U392" s="2099"/>
      <c r="V392" s="2099"/>
      <c r="W392" s="2099"/>
      <c r="X392" s="2099"/>
      <c r="Y392" s="2099"/>
      <c r="Z392" s="2099"/>
      <c r="AA392" s="2099"/>
      <c r="AB392" s="2099"/>
    </row>
    <row r="393" spans="18:28" s="2030" customFormat="1" ht="20.25" customHeight="1">
      <c r="R393" s="2099"/>
      <c r="S393" s="2099"/>
      <c r="T393" s="2099"/>
      <c r="U393" s="2099"/>
      <c r="V393" s="2099"/>
      <c r="W393" s="2099"/>
      <c r="X393" s="2099"/>
      <c r="Y393" s="2099"/>
      <c r="Z393" s="2099"/>
      <c r="AA393" s="2099"/>
      <c r="AB393" s="2099"/>
    </row>
    <row r="394" spans="18:28" s="2030" customFormat="1" ht="20.25" customHeight="1">
      <c r="R394" s="2099"/>
      <c r="S394" s="2099"/>
      <c r="T394" s="2099"/>
      <c r="U394" s="2099"/>
      <c r="V394" s="2099"/>
      <c r="W394" s="2099"/>
      <c r="X394" s="2099"/>
      <c r="Y394" s="2099"/>
      <c r="Z394" s="2099"/>
      <c r="AA394" s="2099"/>
      <c r="AB394" s="2099"/>
    </row>
    <row r="395" spans="18:28" s="2030" customFormat="1" ht="20.25" customHeight="1">
      <c r="R395" s="2099"/>
      <c r="S395" s="2099"/>
      <c r="T395" s="2099"/>
      <c r="U395" s="2099"/>
      <c r="V395" s="2099"/>
      <c r="W395" s="2099"/>
      <c r="X395" s="2099"/>
      <c r="Y395" s="2099"/>
      <c r="Z395" s="2099"/>
      <c r="AA395" s="2099"/>
      <c r="AB395" s="2099"/>
    </row>
    <row r="396" spans="18:28" s="2030" customFormat="1" ht="20.25" customHeight="1">
      <c r="R396" s="2099"/>
      <c r="S396" s="2099"/>
      <c r="T396" s="2099"/>
      <c r="U396" s="2099"/>
      <c r="V396" s="2099"/>
      <c r="W396" s="2099"/>
      <c r="X396" s="2099"/>
      <c r="Y396" s="2099"/>
      <c r="Z396" s="2099"/>
      <c r="AA396" s="2099"/>
      <c r="AB396" s="2099"/>
    </row>
    <row r="397" spans="18:28" s="2030" customFormat="1" ht="20.25" customHeight="1">
      <c r="R397" s="2099"/>
      <c r="S397" s="2099"/>
      <c r="T397" s="2099"/>
      <c r="U397" s="2099"/>
      <c r="V397" s="2099"/>
      <c r="W397" s="2099"/>
      <c r="X397" s="2099"/>
      <c r="Y397" s="2099"/>
      <c r="Z397" s="2099"/>
      <c r="AA397" s="2099"/>
      <c r="AB397" s="2099"/>
    </row>
    <row r="398" spans="18:28" s="2030" customFormat="1" ht="20.25" customHeight="1">
      <c r="R398" s="2099"/>
      <c r="S398" s="2099"/>
      <c r="T398" s="2099"/>
      <c r="U398" s="2099"/>
      <c r="V398" s="2099"/>
      <c r="W398" s="2099"/>
      <c r="X398" s="2099"/>
      <c r="Y398" s="2099"/>
      <c r="Z398" s="2099"/>
      <c r="AA398" s="2099"/>
      <c r="AB398" s="2099"/>
    </row>
    <row r="399" spans="18:28" s="2030" customFormat="1" ht="20.25" customHeight="1">
      <c r="R399" s="2099"/>
      <c r="S399" s="2099"/>
      <c r="T399" s="2099"/>
      <c r="U399" s="2099"/>
      <c r="V399" s="2099"/>
      <c r="W399" s="2099"/>
      <c r="X399" s="2099"/>
      <c r="Y399" s="2099"/>
      <c r="Z399" s="2099"/>
      <c r="AA399" s="2099"/>
      <c r="AB399" s="2099"/>
    </row>
    <row r="400" spans="18:28" s="2030" customFormat="1" ht="20.25" customHeight="1">
      <c r="R400" s="2099"/>
      <c r="S400" s="2099"/>
      <c r="T400" s="2099"/>
      <c r="U400" s="2099"/>
      <c r="V400" s="2099"/>
      <c r="W400" s="2099"/>
      <c r="X400" s="2099"/>
      <c r="Y400" s="2099"/>
      <c r="Z400" s="2099"/>
      <c r="AA400" s="2099"/>
      <c r="AB400" s="2099"/>
    </row>
    <row r="401" spans="18:28" s="2030" customFormat="1" ht="20.25" customHeight="1">
      <c r="R401" s="2099"/>
      <c r="S401" s="2099"/>
      <c r="T401" s="2099"/>
      <c r="U401" s="2099"/>
      <c r="V401" s="2099"/>
      <c r="W401" s="2099"/>
      <c r="X401" s="2099"/>
      <c r="Y401" s="2099"/>
      <c r="Z401" s="2099"/>
      <c r="AA401" s="2099"/>
      <c r="AB401" s="2099"/>
    </row>
    <row r="402" spans="18:28" s="2030" customFormat="1" ht="20.25" customHeight="1">
      <c r="R402" s="2099"/>
      <c r="S402" s="2099"/>
      <c r="T402" s="2099"/>
      <c r="U402" s="2099"/>
      <c r="V402" s="2099"/>
      <c r="W402" s="2099"/>
      <c r="X402" s="2099"/>
      <c r="Y402" s="2099"/>
      <c r="Z402" s="2099"/>
      <c r="AA402" s="2099"/>
      <c r="AB402" s="2099"/>
    </row>
    <row r="403" spans="18:28" s="2030" customFormat="1" ht="20.25" customHeight="1">
      <c r="R403" s="2099"/>
      <c r="S403" s="2099"/>
      <c r="T403" s="2099"/>
      <c r="U403" s="2099"/>
      <c r="V403" s="2099"/>
      <c r="W403" s="2099"/>
      <c r="X403" s="2099"/>
      <c r="Y403" s="2099"/>
      <c r="Z403" s="2099"/>
      <c r="AA403" s="2099"/>
      <c r="AB403" s="2099"/>
    </row>
    <row r="404" spans="18:28" s="2030" customFormat="1" ht="20.25" customHeight="1">
      <c r="R404" s="2099"/>
      <c r="S404" s="2099"/>
      <c r="T404" s="2099"/>
      <c r="U404" s="2099"/>
      <c r="V404" s="2099"/>
      <c r="W404" s="2099"/>
      <c r="X404" s="2099"/>
      <c r="Y404" s="2099"/>
      <c r="Z404" s="2099"/>
      <c r="AA404" s="2099"/>
      <c r="AB404" s="2099"/>
    </row>
    <row r="405" spans="18:28" s="2030" customFormat="1" ht="20.25" customHeight="1">
      <c r="R405" s="2099"/>
      <c r="S405" s="2099"/>
      <c r="T405" s="2099"/>
      <c r="U405" s="2099"/>
      <c r="V405" s="2099"/>
      <c r="W405" s="2099"/>
      <c r="X405" s="2099"/>
      <c r="Y405" s="2099"/>
      <c r="Z405" s="2099"/>
      <c r="AA405" s="2099"/>
      <c r="AB405" s="2099"/>
    </row>
    <row r="406" spans="18:28" s="2030" customFormat="1" ht="20.25" customHeight="1">
      <c r="R406" s="2099"/>
      <c r="S406" s="2099"/>
      <c r="T406" s="2099"/>
      <c r="U406" s="2099"/>
      <c r="V406" s="2099"/>
      <c r="W406" s="2099"/>
      <c r="X406" s="2099"/>
      <c r="Y406" s="2099"/>
      <c r="Z406" s="2099"/>
      <c r="AA406" s="2099"/>
      <c r="AB406" s="2099"/>
    </row>
    <row r="407" spans="18:28" s="2030" customFormat="1" ht="20.25" customHeight="1">
      <c r="R407" s="2099"/>
      <c r="S407" s="2099"/>
      <c r="T407" s="2099"/>
      <c r="U407" s="2099"/>
      <c r="V407" s="2099"/>
      <c r="W407" s="2099"/>
      <c r="X407" s="2099"/>
      <c r="Y407" s="2099"/>
      <c r="Z407" s="2099"/>
      <c r="AA407" s="2099"/>
      <c r="AB407" s="2099"/>
    </row>
    <row r="408" spans="18:28" s="2030" customFormat="1" ht="20.25" customHeight="1">
      <c r="R408" s="2099"/>
      <c r="S408" s="2099"/>
      <c r="T408" s="2099"/>
      <c r="U408" s="2099"/>
      <c r="V408" s="2099"/>
      <c r="W408" s="2099"/>
      <c r="X408" s="2099"/>
      <c r="Y408" s="2099"/>
      <c r="Z408" s="2099"/>
      <c r="AA408" s="2099"/>
      <c r="AB408" s="2099"/>
    </row>
    <row r="409" spans="18:28" s="2030" customFormat="1" ht="20.25" customHeight="1">
      <c r="R409" s="2099"/>
      <c r="S409" s="2099"/>
      <c r="T409" s="2099"/>
      <c r="U409" s="2099"/>
      <c r="V409" s="2099"/>
      <c r="W409" s="2099"/>
      <c r="X409" s="2099"/>
      <c r="Y409" s="2099"/>
      <c r="Z409" s="2099"/>
      <c r="AA409" s="2099"/>
      <c r="AB409" s="2099"/>
    </row>
    <row r="410" spans="18:28" s="2030" customFormat="1" ht="20.25" customHeight="1">
      <c r="R410" s="2099"/>
      <c r="S410" s="2099"/>
      <c r="T410" s="2099"/>
      <c r="U410" s="2099"/>
      <c r="V410" s="2099"/>
      <c r="W410" s="2099"/>
      <c r="X410" s="2099"/>
      <c r="Y410" s="2099"/>
      <c r="Z410" s="2099"/>
      <c r="AA410" s="2099"/>
      <c r="AB410" s="2099"/>
    </row>
    <row r="411" spans="18:28" s="2030" customFormat="1" ht="20.25" customHeight="1">
      <c r="R411" s="2099"/>
      <c r="S411" s="2099"/>
      <c r="T411" s="2099"/>
      <c r="U411" s="2099"/>
      <c r="V411" s="2099"/>
      <c r="W411" s="2099"/>
      <c r="X411" s="2099"/>
      <c r="Y411" s="2099"/>
      <c r="Z411" s="2099"/>
      <c r="AA411" s="2099"/>
      <c r="AB411" s="2099"/>
    </row>
    <row r="412" spans="18:28" s="2030" customFormat="1" ht="20.25" customHeight="1">
      <c r="R412" s="2099"/>
      <c r="S412" s="2099"/>
      <c r="T412" s="2099"/>
      <c r="U412" s="2099"/>
      <c r="V412" s="2099"/>
      <c r="W412" s="2099"/>
      <c r="X412" s="2099"/>
      <c r="Y412" s="2099"/>
      <c r="Z412" s="2099"/>
      <c r="AA412" s="2099"/>
      <c r="AB412" s="2099"/>
    </row>
    <row r="413" spans="18:28" s="2030" customFormat="1" ht="20.25" customHeight="1">
      <c r="R413" s="2099"/>
      <c r="S413" s="2099"/>
      <c r="T413" s="2099"/>
      <c r="U413" s="2099"/>
      <c r="V413" s="2099"/>
      <c r="W413" s="2099"/>
      <c r="X413" s="2099"/>
      <c r="Y413" s="2099"/>
      <c r="Z413" s="2099"/>
      <c r="AA413" s="2099"/>
      <c r="AB413" s="2099"/>
    </row>
    <row r="414" spans="18:28" s="2030" customFormat="1" ht="20.25" customHeight="1">
      <c r="R414" s="2099"/>
      <c r="S414" s="2099"/>
      <c r="T414" s="2099"/>
      <c r="U414" s="2099"/>
      <c r="V414" s="2099"/>
      <c r="W414" s="2099"/>
      <c r="X414" s="2099"/>
      <c r="Y414" s="2099"/>
      <c r="Z414" s="2099"/>
      <c r="AA414" s="2099"/>
      <c r="AB414" s="2099"/>
    </row>
    <row r="415" spans="18:28" s="2030" customFormat="1" ht="20.25" customHeight="1">
      <c r="R415" s="2099"/>
      <c r="S415" s="2099"/>
      <c r="T415" s="2099"/>
      <c r="U415" s="2099"/>
      <c r="V415" s="2099"/>
      <c r="W415" s="2099"/>
      <c r="X415" s="2099"/>
      <c r="Y415" s="2099"/>
      <c r="Z415" s="2099"/>
      <c r="AA415" s="2099"/>
      <c r="AB415" s="2099"/>
    </row>
    <row r="416" spans="18:28" s="2030" customFormat="1" ht="20.25" customHeight="1">
      <c r="R416" s="2099"/>
      <c r="S416" s="2099"/>
      <c r="T416" s="2099"/>
      <c r="U416" s="2099"/>
      <c r="V416" s="2099"/>
      <c r="W416" s="2099"/>
      <c r="X416" s="2099"/>
      <c r="Y416" s="2099"/>
      <c r="Z416" s="2099"/>
      <c r="AA416" s="2099"/>
      <c r="AB416" s="2099"/>
    </row>
    <row r="417" spans="18:28" s="2030" customFormat="1" ht="20.25" customHeight="1">
      <c r="R417" s="2099"/>
      <c r="S417" s="2099"/>
      <c r="T417" s="2099"/>
      <c r="U417" s="2099"/>
      <c r="V417" s="2099"/>
      <c r="W417" s="2099"/>
      <c r="X417" s="2099"/>
      <c r="Y417" s="2099"/>
      <c r="Z417" s="2099"/>
      <c r="AA417" s="2099"/>
      <c r="AB417" s="2099"/>
    </row>
    <row r="418" spans="18:28" s="2030" customFormat="1" ht="20.25" customHeight="1">
      <c r="R418" s="2099"/>
      <c r="S418" s="2099"/>
      <c r="T418" s="2099"/>
      <c r="U418" s="2099"/>
      <c r="V418" s="2099"/>
      <c r="W418" s="2099"/>
      <c r="X418" s="2099"/>
      <c r="Y418" s="2099"/>
      <c r="Z418" s="2099"/>
      <c r="AA418" s="2099"/>
      <c r="AB418" s="2099"/>
    </row>
    <row r="419" spans="18:28" s="2030" customFormat="1" ht="20.25" customHeight="1">
      <c r="R419" s="2099"/>
      <c r="S419" s="2099"/>
      <c r="T419" s="2099"/>
      <c r="U419" s="2099"/>
      <c r="V419" s="2099"/>
      <c r="W419" s="2099"/>
      <c r="X419" s="2099"/>
      <c r="Y419" s="2099"/>
      <c r="Z419" s="2099"/>
      <c r="AA419" s="2099"/>
      <c r="AB419" s="2099"/>
    </row>
    <row r="420" spans="18:28" s="2030" customFormat="1" ht="20.25" customHeight="1">
      <c r="R420" s="2099"/>
      <c r="S420" s="2099"/>
      <c r="T420" s="2099"/>
      <c r="U420" s="2099"/>
      <c r="V420" s="2099"/>
      <c r="W420" s="2099"/>
      <c r="X420" s="2099"/>
      <c r="Y420" s="2099"/>
      <c r="Z420" s="2099"/>
      <c r="AA420" s="2099"/>
      <c r="AB420" s="2099"/>
    </row>
    <row r="421" spans="18:28" s="2030" customFormat="1" ht="20.25" customHeight="1">
      <c r="R421" s="2099"/>
      <c r="S421" s="2099"/>
      <c r="T421" s="2099"/>
      <c r="U421" s="2099"/>
      <c r="V421" s="2099"/>
      <c r="W421" s="2099"/>
      <c r="X421" s="2099"/>
      <c r="Y421" s="2099"/>
      <c r="Z421" s="2099"/>
      <c r="AA421" s="2099"/>
      <c r="AB421" s="2099"/>
    </row>
    <row r="422" spans="18:28" s="2030" customFormat="1" ht="20.25" customHeight="1">
      <c r="R422" s="2099"/>
      <c r="S422" s="2099"/>
      <c r="T422" s="2099"/>
      <c r="U422" s="2099"/>
      <c r="V422" s="2099"/>
      <c r="W422" s="2099"/>
      <c r="X422" s="2099"/>
      <c r="Y422" s="2099"/>
      <c r="Z422" s="2099"/>
      <c r="AA422" s="2099"/>
      <c r="AB422" s="2099"/>
    </row>
    <row r="423" spans="18:28" s="2030" customFormat="1" ht="20.25" customHeight="1">
      <c r="R423" s="2099"/>
      <c r="S423" s="2099"/>
      <c r="T423" s="2099"/>
      <c r="U423" s="2099"/>
      <c r="V423" s="2099"/>
      <c r="W423" s="2099"/>
      <c r="X423" s="2099"/>
      <c r="Y423" s="2099"/>
      <c r="Z423" s="2099"/>
      <c r="AA423" s="2099"/>
      <c r="AB423" s="2099"/>
    </row>
    <row r="424" spans="18:28" s="2030" customFormat="1" ht="20.25" customHeight="1">
      <c r="R424" s="2099"/>
      <c r="S424" s="2099"/>
      <c r="T424" s="2099"/>
      <c r="U424" s="2099"/>
      <c r="V424" s="2099"/>
      <c r="W424" s="2099"/>
      <c r="X424" s="2099"/>
      <c r="Y424" s="2099"/>
      <c r="Z424" s="2099"/>
      <c r="AA424" s="2099"/>
      <c r="AB424" s="2099"/>
    </row>
    <row r="425" spans="18:28" s="2030" customFormat="1" ht="20.25" customHeight="1">
      <c r="R425" s="2099"/>
      <c r="S425" s="2099"/>
      <c r="T425" s="2099"/>
      <c r="U425" s="2099"/>
      <c r="V425" s="2099"/>
      <c r="W425" s="2099"/>
      <c r="X425" s="2099"/>
      <c r="Y425" s="2099"/>
      <c r="Z425" s="2099"/>
      <c r="AA425" s="2099"/>
      <c r="AB425" s="2099"/>
    </row>
    <row r="426" spans="18:28" s="2030" customFormat="1" ht="20.25" customHeight="1">
      <c r="R426" s="2099"/>
      <c r="S426" s="2099"/>
      <c r="T426" s="2099"/>
      <c r="U426" s="2099"/>
      <c r="V426" s="2099"/>
      <c r="W426" s="2099"/>
      <c r="X426" s="2099"/>
      <c r="Y426" s="2099"/>
      <c r="Z426" s="2099"/>
      <c r="AA426" s="2099"/>
      <c r="AB426" s="2099"/>
    </row>
    <row r="427" spans="18:28" s="2030" customFormat="1" ht="20.25" customHeight="1">
      <c r="R427" s="2099"/>
      <c r="S427" s="2099"/>
      <c r="T427" s="2099"/>
      <c r="U427" s="2099"/>
      <c r="V427" s="2099"/>
      <c r="W427" s="2099"/>
      <c r="X427" s="2099"/>
      <c r="Y427" s="2099"/>
      <c r="Z427" s="2099"/>
      <c r="AA427" s="2099"/>
      <c r="AB427" s="2099"/>
    </row>
    <row r="428" spans="18:28" s="2030" customFormat="1" ht="20.25" customHeight="1">
      <c r="R428" s="2099"/>
      <c r="S428" s="2099"/>
      <c r="T428" s="2099"/>
      <c r="U428" s="2099"/>
      <c r="V428" s="2099"/>
      <c r="W428" s="2099"/>
      <c r="X428" s="2099"/>
      <c r="Y428" s="2099"/>
      <c r="Z428" s="2099"/>
      <c r="AA428" s="2099"/>
      <c r="AB428" s="2099"/>
    </row>
    <row r="429" spans="18:28" s="2030" customFormat="1" ht="20.25" customHeight="1">
      <c r="R429" s="2099"/>
      <c r="S429" s="2099"/>
      <c r="T429" s="2099"/>
      <c r="U429" s="2099"/>
      <c r="V429" s="2099"/>
      <c r="W429" s="2099"/>
      <c r="X429" s="2099"/>
      <c r="Y429" s="2099"/>
      <c r="Z429" s="2099"/>
      <c r="AA429" s="2099"/>
      <c r="AB429" s="2099"/>
    </row>
    <row r="430" spans="18:28" s="2030" customFormat="1" ht="20.25" customHeight="1">
      <c r="R430" s="2099"/>
      <c r="S430" s="2099"/>
      <c r="T430" s="2099"/>
      <c r="U430" s="2099"/>
      <c r="V430" s="2099"/>
      <c r="W430" s="2099"/>
      <c r="X430" s="2099"/>
      <c r="Y430" s="2099"/>
      <c r="Z430" s="2099"/>
      <c r="AA430" s="2099"/>
      <c r="AB430" s="2099"/>
    </row>
    <row r="431" spans="18:28" s="2030" customFormat="1" ht="20.25" customHeight="1">
      <c r="R431" s="2099"/>
      <c r="S431" s="2099"/>
      <c r="T431" s="2099"/>
      <c r="U431" s="2099"/>
      <c r="V431" s="2099"/>
      <c r="W431" s="2099"/>
      <c r="X431" s="2099"/>
      <c r="Y431" s="2099"/>
      <c r="Z431" s="2099"/>
      <c r="AA431" s="2099"/>
      <c r="AB431" s="2099"/>
    </row>
    <row r="432" spans="18:28" s="2030" customFormat="1" ht="20.25" customHeight="1">
      <c r="R432" s="2099"/>
      <c r="S432" s="2099"/>
      <c r="T432" s="2099"/>
      <c r="U432" s="2099"/>
      <c r="V432" s="2099"/>
      <c r="W432" s="2099"/>
      <c r="X432" s="2099"/>
      <c r="Y432" s="2099"/>
      <c r="Z432" s="2099"/>
      <c r="AA432" s="2099"/>
      <c r="AB432" s="2099"/>
    </row>
    <row r="433" spans="18:28" s="2030" customFormat="1" ht="20.25" customHeight="1">
      <c r="R433" s="2099"/>
      <c r="S433" s="2099"/>
      <c r="T433" s="2099"/>
      <c r="U433" s="2099"/>
      <c r="V433" s="2099"/>
      <c r="W433" s="2099"/>
      <c r="X433" s="2099"/>
      <c r="Y433" s="2099"/>
      <c r="Z433" s="2099"/>
      <c r="AA433" s="2099"/>
      <c r="AB433" s="2099"/>
    </row>
    <row r="434" spans="18:28" s="2030" customFormat="1" ht="20.25" customHeight="1">
      <c r="R434" s="2099"/>
      <c r="S434" s="2099"/>
      <c r="T434" s="2099"/>
      <c r="U434" s="2099"/>
      <c r="V434" s="2099"/>
      <c r="W434" s="2099"/>
      <c r="X434" s="2099"/>
      <c r="Y434" s="2099"/>
      <c r="Z434" s="2099"/>
      <c r="AA434" s="2099"/>
      <c r="AB434" s="2099"/>
    </row>
    <row r="435" spans="18:28" s="2030" customFormat="1" ht="20.25" customHeight="1">
      <c r="R435" s="2099"/>
      <c r="S435" s="2099"/>
      <c r="T435" s="2099"/>
      <c r="U435" s="2099"/>
      <c r="V435" s="2099"/>
      <c r="W435" s="2099"/>
      <c r="X435" s="2099"/>
      <c r="Y435" s="2099"/>
      <c r="Z435" s="2099"/>
      <c r="AA435" s="2099"/>
      <c r="AB435" s="2099"/>
    </row>
    <row r="436" spans="18:28" s="2030" customFormat="1" ht="20.25" customHeight="1">
      <c r="R436" s="2099"/>
      <c r="S436" s="2099"/>
      <c r="T436" s="2099"/>
      <c r="U436" s="2099"/>
      <c r="V436" s="2099"/>
      <c r="W436" s="2099"/>
      <c r="X436" s="2099"/>
      <c r="Y436" s="2099"/>
      <c r="Z436" s="2099"/>
      <c r="AA436" s="2099"/>
      <c r="AB436" s="2099"/>
    </row>
    <row r="437" spans="18:28" s="2030" customFormat="1" ht="20.25" customHeight="1">
      <c r="R437" s="2099"/>
      <c r="S437" s="2099"/>
      <c r="T437" s="2099"/>
      <c r="U437" s="2099"/>
      <c r="V437" s="2099"/>
      <c r="W437" s="2099"/>
      <c r="X437" s="2099"/>
      <c r="Y437" s="2099"/>
      <c r="Z437" s="2099"/>
      <c r="AA437" s="2099"/>
      <c r="AB437" s="2099"/>
    </row>
    <row r="438" spans="18:28" s="2030" customFormat="1" ht="20.25" customHeight="1">
      <c r="R438" s="2099"/>
      <c r="S438" s="2099"/>
      <c r="T438" s="2099"/>
      <c r="U438" s="2099"/>
      <c r="V438" s="2099"/>
      <c r="W438" s="2099"/>
      <c r="X438" s="2099"/>
      <c r="Y438" s="2099"/>
      <c r="Z438" s="2099"/>
      <c r="AA438" s="2099"/>
      <c r="AB438" s="2099"/>
    </row>
    <row r="439" spans="18:28" s="2030" customFormat="1" ht="20.25" customHeight="1">
      <c r="R439" s="2099"/>
      <c r="S439" s="2099"/>
      <c r="T439" s="2099"/>
      <c r="U439" s="2099"/>
      <c r="V439" s="2099"/>
      <c r="W439" s="2099"/>
      <c r="X439" s="2099"/>
      <c r="Y439" s="2099"/>
      <c r="Z439" s="2099"/>
      <c r="AA439" s="2099"/>
      <c r="AB439" s="2099"/>
    </row>
    <row r="440" spans="18:28" s="2030" customFormat="1" ht="20.25" customHeight="1">
      <c r="R440" s="2099"/>
      <c r="S440" s="2099"/>
      <c r="T440" s="2099"/>
      <c r="U440" s="2099"/>
      <c r="V440" s="2099"/>
      <c r="W440" s="2099"/>
      <c r="X440" s="2099"/>
      <c r="Y440" s="2099"/>
      <c r="Z440" s="2099"/>
      <c r="AA440" s="2099"/>
      <c r="AB440" s="2099"/>
    </row>
    <row r="441" spans="18:28" s="2030" customFormat="1" ht="20.25" customHeight="1">
      <c r="R441" s="2099"/>
      <c r="S441" s="2099"/>
      <c r="T441" s="2099"/>
      <c r="U441" s="2099"/>
      <c r="V441" s="2099"/>
      <c r="W441" s="2099"/>
      <c r="X441" s="2099"/>
      <c r="Y441" s="2099"/>
      <c r="Z441" s="2099"/>
      <c r="AA441" s="2099"/>
      <c r="AB441" s="2099"/>
    </row>
    <row r="442" spans="18:28" s="2030" customFormat="1" ht="20.25" customHeight="1">
      <c r="R442" s="2099"/>
      <c r="S442" s="2099"/>
      <c r="T442" s="2099"/>
      <c r="U442" s="2099"/>
      <c r="V442" s="2099"/>
      <c r="W442" s="2099"/>
      <c r="X442" s="2099"/>
      <c r="Y442" s="2099"/>
      <c r="Z442" s="2099"/>
      <c r="AA442" s="2099"/>
      <c r="AB442" s="2099"/>
    </row>
    <row r="443" spans="18:28" s="2030" customFormat="1" ht="20.25" customHeight="1">
      <c r="R443" s="2099"/>
      <c r="S443" s="2099"/>
      <c r="T443" s="2099"/>
      <c r="U443" s="2099"/>
      <c r="V443" s="2099"/>
      <c r="W443" s="2099"/>
      <c r="X443" s="2099"/>
      <c r="Y443" s="2099"/>
      <c r="Z443" s="2099"/>
      <c r="AA443" s="2099"/>
      <c r="AB443" s="2099"/>
    </row>
    <row r="444" spans="18:28" s="2030" customFormat="1" ht="20.25" customHeight="1">
      <c r="R444" s="2099"/>
      <c r="S444" s="2099"/>
      <c r="T444" s="2099"/>
      <c r="U444" s="2099"/>
      <c r="V444" s="2099"/>
      <c r="W444" s="2099"/>
      <c r="X444" s="2099"/>
      <c r="Y444" s="2099"/>
      <c r="Z444" s="2099"/>
      <c r="AA444" s="2099"/>
      <c r="AB444" s="2099"/>
    </row>
    <row r="445" spans="18:28" s="2030" customFormat="1" ht="20.25" customHeight="1">
      <c r="R445" s="2099"/>
      <c r="S445" s="2099"/>
      <c r="T445" s="2099"/>
      <c r="U445" s="2099"/>
      <c r="V445" s="2099"/>
      <c r="W445" s="2099"/>
      <c r="X445" s="2099"/>
      <c r="Y445" s="2099"/>
      <c r="Z445" s="2099"/>
      <c r="AA445" s="2099"/>
      <c r="AB445" s="2099"/>
    </row>
    <row r="446" spans="18:28" s="2030" customFormat="1" ht="20.25" customHeight="1">
      <c r="R446" s="2099"/>
      <c r="S446" s="2099"/>
      <c r="T446" s="2099"/>
      <c r="U446" s="2099"/>
      <c r="V446" s="2099"/>
      <c r="W446" s="2099"/>
      <c r="X446" s="2099"/>
      <c r="Y446" s="2099"/>
      <c r="Z446" s="2099"/>
      <c r="AA446" s="2099"/>
      <c r="AB446" s="2099"/>
    </row>
    <row r="447" spans="18:28" s="2030" customFormat="1" ht="20.25" customHeight="1">
      <c r="R447" s="2099"/>
      <c r="S447" s="2099"/>
      <c r="T447" s="2099"/>
      <c r="U447" s="2099"/>
      <c r="V447" s="2099"/>
      <c r="W447" s="2099"/>
      <c r="X447" s="2099"/>
      <c r="Y447" s="2099"/>
      <c r="Z447" s="2099"/>
      <c r="AA447" s="2099"/>
      <c r="AB447" s="2099"/>
    </row>
    <row r="448" spans="18:28" s="2030" customFormat="1" ht="20.25" customHeight="1">
      <c r="R448" s="2099"/>
      <c r="S448" s="2099"/>
      <c r="T448" s="2099"/>
      <c r="U448" s="2099"/>
      <c r="V448" s="2099"/>
      <c r="W448" s="2099"/>
      <c r="X448" s="2099"/>
      <c r="Y448" s="2099"/>
      <c r="Z448" s="2099"/>
      <c r="AA448" s="2099"/>
      <c r="AB448" s="2099"/>
    </row>
    <row r="449" spans="18:28" s="2030" customFormat="1" ht="20.25" customHeight="1">
      <c r="R449" s="2099"/>
      <c r="S449" s="2099"/>
      <c r="T449" s="2099"/>
      <c r="U449" s="2099"/>
      <c r="V449" s="2099"/>
      <c r="W449" s="2099"/>
      <c r="X449" s="2099"/>
      <c r="Y449" s="2099"/>
      <c r="Z449" s="2099"/>
      <c r="AA449" s="2099"/>
      <c r="AB449" s="2099"/>
    </row>
    <row r="450" spans="18:28" s="2030" customFormat="1" ht="20.25" customHeight="1">
      <c r="R450" s="2099"/>
      <c r="S450" s="2099"/>
      <c r="T450" s="2099"/>
      <c r="U450" s="2099"/>
      <c r="V450" s="2099"/>
      <c r="W450" s="2099"/>
      <c r="X450" s="2099"/>
      <c r="Y450" s="2099"/>
      <c r="Z450" s="2099"/>
      <c r="AA450" s="2099"/>
      <c r="AB450" s="2099"/>
    </row>
    <row r="451" spans="18:28" s="2030" customFormat="1" ht="20.25" customHeight="1">
      <c r="R451" s="2099"/>
      <c r="S451" s="2099"/>
      <c r="T451" s="2099"/>
      <c r="U451" s="2099"/>
      <c r="V451" s="2099"/>
      <c r="W451" s="2099"/>
      <c r="X451" s="2099"/>
      <c r="Y451" s="2099"/>
      <c r="Z451" s="2099"/>
      <c r="AA451" s="2099"/>
      <c r="AB451" s="2099"/>
    </row>
    <row r="452" spans="18:28" s="2030" customFormat="1" ht="20.25" customHeight="1">
      <c r="R452" s="2099"/>
      <c r="S452" s="2099"/>
      <c r="T452" s="2099"/>
      <c r="U452" s="2099"/>
      <c r="V452" s="2099"/>
      <c r="W452" s="2099"/>
      <c r="X452" s="2099"/>
      <c r="Y452" s="2099"/>
      <c r="Z452" s="2099"/>
      <c r="AA452" s="2099"/>
      <c r="AB452" s="2099"/>
    </row>
    <row r="453" spans="18:28" s="2030" customFormat="1" ht="20.25" customHeight="1">
      <c r="R453" s="2099"/>
      <c r="S453" s="2099"/>
      <c r="T453" s="2099"/>
      <c r="U453" s="2099"/>
      <c r="V453" s="2099"/>
      <c r="W453" s="2099"/>
      <c r="X453" s="2099"/>
      <c r="Y453" s="2099"/>
      <c r="Z453" s="2099"/>
      <c r="AA453" s="2099"/>
      <c r="AB453" s="2099"/>
    </row>
    <row r="454" spans="18:28" s="2030" customFormat="1" ht="20.25" customHeight="1">
      <c r="R454" s="2099"/>
      <c r="S454" s="2099"/>
      <c r="T454" s="2099"/>
      <c r="U454" s="2099"/>
      <c r="V454" s="2099"/>
      <c r="W454" s="2099"/>
      <c r="X454" s="2099"/>
      <c r="Y454" s="2099"/>
      <c r="Z454" s="2099"/>
      <c r="AA454" s="2099"/>
      <c r="AB454" s="2099"/>
    </row>
    <row r="455" spans="18:28" s="2030" customFormat="1" ht="20.25" customHeight="1">
      <c r="R455" s="2099"/>
      <c r="S455" s="2099"/>
      <c r="T455" s="2099"/>
      <c r="U455" s="2099"/>
      <c r="V455" s="2099"/>
      <c r="W455" s="2099"/>
      <c r="X455" s="2099"/>
      <c r="Y455" s="2099"/>
      <c r="Z455" s="2099"/>
      <c r="AA455" s="2099"/>
      <c r="AB455" s="2099"/>
    </row>
    <row r="456" spans="18:28" s="2030" customFormat="1" ht="20.25" customHeight="1">
      <c r="R456" s="2099"/>
      <c r="S456" s="2099"/>
      <c r="T456" s="2099"/>
      <c r="U456" s="2099"/>
      <c r="V456" s="2099"/>
      <c r="W456" s="2099"/>
      <c r="X456" s="2099"/>
      <c r="Y456" s="2099"/>
      <c r="Z456" s="2099"/>
      <c r="AA456" s="2099"/>
      <c r="AB456" s="2099"/>
    </row>
    <row r="457" spans="18:28" s="2030" customFormat="1" ht="20.25" customHeight="1">
      <c r="R457" s="2099"/>
      <c r="S457" s="2099"/>
      <c r="T457" s="2099"/>
      <c r="U457" s="2099"/>
      <c r="V457" s="2099"/>
      <c r="W457" s="2099"/>
      <c r="X457" s="2099"/>
      <c r="Y457" s="2099"/>
      <c r="Z457" s="2099"/>
      <c r="AA457" s="2099"/>
      <c r="AB457" s="2099"/>
    </row>
    <row r="458" spans="18:28" s="2030" customFormat="1" ht="20.25" customHeight="1">
      <c r="R458" s="2099"/>
      <c r="S458" s="2099"/>
      <c r="T458" s="2099"/>
      <c r="U458" s="2099"/>
      <c r="V458" s="2099"/>
      <c r="W458" s="2099"/>
      <c r="X458" s="2099"/>
      <c r="Y458" s="2099"/>
      <c r="Z458" s="2099"/>
      <c r="AA458" s="2099"/>
      <c r="AB458" s="2099"/>
    </row>
    <row r="459" spans="18:28" s="2030" customFormat="1" ht="20.25" customHeight="1">
      <c r="R459" s="2099"/>
      <c r="S459" s="2099"/>
      <c r="T459" s="2099"/>
      <c r="U459" s="2099"/>
      <c r="V459" s="2099"/>
      <c r="W459" s="2099"/>
      <c r="X459" s="2099"/>
      <c r="Y459" s="2099"/>
      <c r="Z459" s="2099"/>
      <c r="AA459" s="2099"/>
      <c r="AB459" s="2099"/>
    </row>
    <row r="460" spans="18:28" s="2030" customFormat="1" ht="20.25" customHeight="1">
      <c r="R460" s="2099"/>
      <c r="S460" s="2099"/>
      <c r="T460" s="2099"/>
      <c r="U460" s="2099"/>
      <c r="V460" s="2099"/>
      <c r="W460" s="2099"/>
      <c r="X460" s="2099"/>
      <c r="Y460" s="2099"/>
      <c r="Z460" s="2099"/>
      <c r="AA460" s="2099"/>
      <c r="AB460" s="2099"/>
    </row>
    <row r="461" spans="18:28" s="2030" customFormat="1" ht="20.25" customHeight="1">
      <c r="R461" s="2099"/>
      <c r="S461" s="2099"/>
      <c r="T461" s="2099"/>
      <c r="U461" s="2099"/>
      <c r="V461" s="2099"/>
      <c r="W461" s="2099"/>
      <c r="X461" s="2099"/>
      <c r="Y461" s="2099"/>
      <c r="Z461" s="2099"/>
      <c r="AA461" s="2099"/>
      <c r="AB461" s="2099"/>
    </row>
    <row r="462" spans="18:28" s="2030" customFormat="1" ht="20.25" customHeight="1">
      <c r="R462" s="2099"/>
      <c r="S462" s="2099"/>
      <c r="T462" s="2099"/>
      <c r="U462" s="2099"/>
      <c r="V462" s="2099"/>
      <c r="W462" s="2099"/>
      <c r="X462" s="2099"/>
      <c r="Y462" s="2099"/>
      <c r="Z462" s="2099"/>
      <c r="AA462" s="2099"/>
      <c r="AB462" s="2099"/>
    </row>
    <row r="463" spans="18:28" s="2030" customFormat="1" ht="20.25" customHeight="1">
      <c r="R463" s="2099"/>
      <c r="S463" s="2099"/>
      <c r="T463" s="2099"/>
      <c r="U463" s="2099"/>
      <c r="V463" s="2099"/>
      <c r="W463" s="2099"/>
      <c r="X463" s="2099"/>
      <c r="Y463" s="2099"/>
      <c r="Z463" s="2099"/>
      <c r="AA463" s="2099"/>
      <c r="AB463" s="2099"/>
    </row>
    <row r="464" spans="18:28" s="2030" customFormat="1" ht="20.25" customHeight="1">
      <c r="R464" s="2099"/>
      <c r="S464" s="2099"/>
      <c r="T464" s="2099"/>
      <c r="U464" s="2099"/>
      <c r="V464" s="2099"/>
      <c r="W464" s="2099"/>
      <c r="X464" s="2099"/>
      <c r="Y464" s="2099"/>
      <c r="Z464" s="2099"/>
      <c r="AA464" s="2099"/>
      <c r="AB464" s="2099"/>
    </row>
    <row r="465" spans="18:28" s="2030" customFormat="1" ht="20.25" customHeight="1">
      <c r="R465" s="2099"/>
      <c r="S465" s="2099"/>
      <c r="T465" s="2099"/>
      <c r="U465" s="2099"/>
      <c r="V465" s="2099"/>
      <c r="W465" s="2099"/>
      <c r="X465" s="2099"/>
      <c r="Y465" s="2099"/>
      <c r="Z465" s="2099"/>
      <c r="AA465" s="2099"/>
      <c r="AB465" s="2099"/>
    </row>
    <row r="466" spans="18:28" s="2030" customFormat="1" ht="20.25" customHeight="1">
      <c r="R466" s="2099"/>
      <c r="S466" s="2099"/>
      <c r="T466" s="2099"/>
      <c r="U466" s="2099"/>
      <c r="V466" s="2099"/>
      <c r="W466" s="2099"/>
      <c r="X466" s="2099"/>
      <c r="Y466" s="2099"/>
      <c r="Z466" s="2099"/>
      <c r="AA466" s="2099"/>
      <c r="AB466" s="2099"/>
    </row>
    <row r="467" spans="18:28" s="2030" customFormat="1" ht="20.25" customHeight="1">
      <c r="R467" s="2099"/>
      <c r="S467" s="2099"/>
      <c r="T467" s="2099"/>
      <c r="U467" s="2099"/>
      <c r="V467" s="2099"/>
      <c r="W467" s="2099"/>
      <c r="X467" s="2099"/>
      <c r="Y467" s="2099"/>
      <c r="Z467" s="2099"/>
      <c r="AA467" s="2099"/>
      <c r="AB467" s="2099"/>
    </row>
    <row r="468" spans="18:28" s="2030" customFormat="1" ht="20.25" customHeight="1">
      <c r="R468" s="2099"/>
      <c r="S468" s="2099"/>
      <c r="T468" s="2099"/>
      <c r="U468" s="2099"/>
      <c r="V468" s="2099"/>
      <c r="W468" s="2099"/>
      <c r="X468" s="2099"/>
      <c r="Y468" s="2099"/>
      <c r="Z468" s="2099"/>
      <c r="AA468" s="2099"/>
      <c r="AB468" s="2099"/>
    </row>
    <row r="469" spans="18:28" s="2030" customFormat="1" ht="20.25" customHeight="1">
      <c r="R469" s="2099"/>
      <c r="S469" s="2099"/>
      <c r="T469" s="2099"/>
      <c r="U469" s="2099"/>
      <c r="V469" s="2099"/>
      <c r="W469" s="2099"/>
      <c r="X469" s="2099"/>
      <c r="Y469" s="2099"/>
      <c r="Z469" s="2099"/>
      <c r="AA469" s="2099"/>
      <c r="AB469" s="2099"/>
    </row>
    <row r="470" spans="18:28" s="2030" customFormat="1" ht="20.25" customHeight="1">
      <c r="R470" s="2099"/>
      <c r="S470" s="2099"/>
      <c r="T470" s="2099"/>
      <c r="U470" s="2099"/>
      <c r="V470" s="2099"/>
      <c r="W470" s="2099"/>
      <c r="X470" s="2099"/>
      <c r="Y470" s="2099"/>
      <c r="Z470" s="2099"/>
      <c r="AA470" s="2099"/>
      <c r="AB470" s="2099"/>
    </row>
    <row r="471" spans="18:28" s="2030" customFormat="1" ht="20.25" customHeight="1">
      <c r="R471" s="2099"/>
      <c r="S471" s="2099"/>
      <c r="T471" s="2099"/>
      <c r="U471" s="2099"/>
      <c r="V471" s="2099"/>
      <c r="W471" s="2099"/>
      <c r="X471" s="2099"/>
      <c r="Y471" s="2099"/>
      <c r="Z471" s="2099"/>
      <c r="AA471" s="2099"/>
      <c r="AB471" s="2099"/>
    </row>
    <row r="472" spans="18:28" s="2030" customFormat="1" ht="20.25" customHeight="1">
      <c r="R472" s="2099"/>
      <c r="S472" s="2099"/>
      <c r="T472" s="2099"/>
      <c r="U472" s="2099"/>
      <c r="V472" s="2099"/>
      <c r="W472" s="2099"/>
      <c r="X472" s="2099"/>
      <c r="Y472" s="2099"/>
      <c r="Z472" s="2099"/>
      <c r="AA472" s="2099"/>
      <c r="AB472" s="2099"/>
    </row>
    <row r="473" spans="18:28" s="2030" customFormat="1" ht="20.25" customHeight="1">
      <c r="R473" s="2099"/>
      <c r="S473" s="2099"/>
      <c r="T473" s="2099"/>
      <c r="U473" s="2099"/>
      <c r="V473" s="2099"/>
      <c r="W473" s="2099"/>
      <c r="X473" s="2099"/>
      <c r="Y473" s="2099"/>
      <c r="Z473" s="2099"/>
      <c r="AA473" s="2099"/>
      <c r="AB473" s="2099"/>
    </row>
    <row r="474" spans="18:28" s="2030" customFormat="1" ht="20.25" customHeight="1">
      <c r="R474" s="2099"/>
      <c r="S474" s="2099"/>
      <c r="T474" s="2099"/>
      <c r="U474" s="2099"/>
      <c r="V474" s="2099"/>
      <c r="W474" s="2099"/>
      <c r="X474" s="2099"/>
      <c r="Y474" s="2099"/>
      <c r="Z474" s="2099"/>
      <c r="AA474" s="2099"/>
      <c r="AB474" s="2099"/>
    </row>
    <row r="475" spans="18:28" s="2030" customFormat="1" ht="20.25" customHeight="1">
      <c r="R475" s="2099"/>
      <c r="S475" s="2099"/>
      <c r="T475" s="2099"/>
      <c r="U475" s="2099"/>
      <c r="V475" s="2099"/>
      <c r="W475" s="2099"/>
      <c r="X475" s="2099"/>
      <c r="Y475" s="2099"/>
      <c r="Z475" s="2099"/>
      <c r="AA475" s="2099"/>
      <c r="AB475" s="2099"/>
    </row>
    <row r="476" spans="18:28" s="2030" customFormat="1" ht="20.25" customHeight="1">
      <c r="R476" s="2099"/>
      <c r="S476" s="2099"/>
      <c r="T476" s="2099"/>
      <c r="U476" s="2099"/>
      <c r="V476" s="2099"/>
      <c r="W476" s="2099"/>
      <c r="X476" s="2099"/>
      <c r="Y476" s="2099"/>
      <c r="Z476" s="2099"/>
      <c r="AA476" s="2099"/>
      <c r="AB476" s="2099"/>
    </row>
    <row r="477" spans="18:28" s="2030" customFormat="1" ht="20.25" customHeight="1">
      <c r="R477" s="2099"/>
      <c r="S477" s="2099"/>
      <c r="T477" s="2099"/>
      <c r="U477" s="2099"/>
      <c r="V477" s="2099"/>
      <c r="W477" s="2099"/>
      <c r="X477" s="2099"/>
      <c r="Y477" s="2099"/>
      <c r="Z477" s="2099"/>
      <c r="AA477" s="2099"/>
      <c r="AB477" s="2099"/>
    </row>
    <row r="478" spans="18:28" s="2030" customFormat="1" ht="20.25" customHeight="1">
      <c r="R478" s="2099"/>
      <c r="S478" s="2099"/>
      <c r="T478" s="2099"/>
      <c r="U478" s="2099"/>
      <c r="V478" s="2099"/>
      <c r="W478" s="2099"/>
      <c r="X478" s="2099"/>
      <c r="Y478" s="2099"/>
      <c r="Z478" s="2099"/>
      <c r="AA478" s="2099"/>
      <c r="AB478" s="2099"/>
    </row>
    <row r="479" spans="18:28" s="2030" customFormat="1" ht="20.25" customHeight="1">
      <c r="R479" s="2099"/>
      <c r="S479" s="2099"/>
      <c r="T479" s="2099"/>
      <c r="U479" s="2099"/>
      <c r="V479" s="2099"/>
      <c r="W479" s="2099"/>
      <c r="X479" s="2099"/>
      <c r="Y479" s="2099"/>
      <c r="Z479" s="2099"/>
      <c r="AA479" s="2099"/>
      <c r="AB479" s="2099"/>
    </row>
    <row r="480" spans="18:28" s="2030" customFormat="1" ht="20.25" customHeight="1">
      <c r="R480" s="2099"/>
      <c r="S480" s="2099"/>
      <c r="T480" s="2099"/>
      <c r="U480" s="2099"/>
      <c r="V480" s="2099"/>
      <c r="W480" s="2099"/>
      <c r="X480" s="2099"/>
      <c r="Y480" s="2099"/>
      <c r="Z480" s="2099"/>
      <c r="AA480" s="2099"/>
      <c r="AB480" s="2099"/>
    </row>
    <row r="481" spans="18:28" s="2030" customFormat="1" ht="20.25" customHeight="1">
      <c r="R481" s="2099"/>
      <c r="S481" s="2099"/>
      <c r="T481" s="2099"/>
      <c r="U481" s="2099"/>
      <c r="V481" s="2099"/>
      <c r="W481" s="2099"/>
      <c r="X481" s="2099"/>
      <c r="Y481" s="2099"/>
      <c r="Z481" s="2099"/>
      <c r="AA481" s="2099"/>
      <c r="AB481" s="2099"/>
    </row>
    <row r="482" spans="18:28" s="2030" customFormat="1" ht="20.25" customHeight="1">
      <c r="R482" s="2099"/>
      <c r="S482" s="2099"/>
      <c r="T482" s="2099"/>
      <c r="U482" s="2099"/>
      <c r="V482" s="2099"/>
      <c r="W482" s="2099"/>
      <c r="X482" s="2099"/>
      <c r="Y482" s="2099"/>
      <c r="Z482" s="2099"/>
      <c r="AA482" s="2099"/>
      <c r="AB482" s="2099"/>
    </row>
    <row r="483" spans="18:28" s="2030" customFormat="1" ht="20.25" customHeight="1">
      <c r="R483" s="2099"/>
      <c r="S483" s="2099"/>
      <c r="T483" s="2099"/>
      <c r="U483" s="2099"/>
      <c r="V483" s="2099"/>
      <c r="W483" s="2099"/>
      <c r="X483" s="2099"/>
      <c r="Y483" s="2099"/>
      <c r="Z483" s="2099"/>
      <c r="AA483" s="2099"/>
      <c r="AB483" s="2099"/>
    </row>
    <row r="484" spans="18:28" s="2030" customFormat="1" ht="20.25" customHeight="1">
      <c r="R484" s="2099"/>
      <c r="S484" s="2099"/>
      <c r="T484" s="2099"/>
      <c r="U484" s="2099"/>
      <c r="V484" s="2099"/>
      <c r="W484" s="2099"/>
      <c r="X484" s="2099"/>
      <c r="Y484" s="2099"/>
      <c r="Z484" s="2099"/>
      <c r="AA484" s="2099"/>
      <c r="AB484" s="2099"/>
    </row>
    <row r="485" spans="18:28" s="2030" customFormat="1" ht="20.25" customHeight="1">
      <c r="R485" s="2099"/>
      <c r="S485" s="2099"/>
      <c r="T485" s="2099"/>
      <c r="U485" s="2099"/>
      <c r="V485" s="2099"/>
      <c r="W485" s="2099"/>
      <c r="X485" s="2099"/>
      <c r="Y485" s="2099"/>
      <c r="Z485" s="2099"/>
      <c r="AA485" s="2099"/>
      <c r="AB485" s="2099"/>
    </row>
    <row r="486" spans="18:28" s="2030" customFormat="1" ht="20.25" customHeight="1">
      <c r="R486" s="2099"/>
      <c r="S486" s="2099"/>
      <c r="T486" s="2099"/>
      <c r="U486" s="2099"/>
      <c r="V486" s="2099"/>
      <c r="W486" s="2099"/>
      <c r="X486" s="2099"/>
      <c r="Y486" s="2099"/>
      <c r="Z486" s="2099"/>
      <c r="AA486" s="2099"/>
      <c r="AB486" s="2099"/>
    </row>
    <row r="487" spans="18:28" s="2030" customFormat="1" ht="20.25" customHeight="1">
      <c r="R487" s="2099"/>
      <c r="S487" s="2099"/>
      <c r="T487" s="2099"/>
      <c r="U487" s="2099"/>
      <c r="V487" s="2099"/>
      <c r="W487" s="2099"/>
      <c r="X487" s="2099"/>
      <c r="Y487" s="2099"/>
      <c r="Z487" s="2099"/>
      <c r="AA487" s="2099"/>
      <c r="AB487" s="2099"/>
    </row>
    <row r="488" spans="18:28" s="2030" customFormat="1" ht="20.25" customHeight="1">
      <c r="R488" s="2099"/>
      <c r="S488" s="2099"/>
      <c r="T488" s="2099"/>
      <c r="U488" s="2099"/>
      <c r="V488" s="2099"/>
      <c r="W488" s="2099"/>
      <c r="X488" s="2099"/>
      <c r="Y488" s="2099"/>
      <c r="Z488" s="2099"/>
      <c r="AA488" s="2099"/>
      <c r="AB488" s="2099"/>
    </row>
    <row r="489" spans="18:28" s="2030" customFormat="1" ht="20.25" customHeight="1">
      <c r="R489" s="2099"/>
      <c r="S489" s="2099"/>
      <c r="T489" s="2099"/>
      <c r="U489" s="2099"/>
      <c r="V489" s="2099"/>
      <c r="W489" s="2099"/>
      <c r="X489" s="2099"/>
      <c r="Y489" s="2099"/>
      <c r="Z489" s="2099"/>
      <c r="AA489" s="2099"/>
      <c r="AB489" s="2099"/>
    </row>
    <row r="490" spans="18:28" s="2030" customFormat="1" ht="20.25" customHeight="1">
      <c r="R490" s="2099"/>
      <c r="S490" s="2099"/>
      <c r="T490" s="2099"/>
      <c r="U490" s="2099"/>
      <c r="V490" s="2099"/>
      <c r="W490" s="2099"/>
      <c r="X490" s="2099"/>
      <c r="Y490" s="2099"/>
      <c r="Z490" s="2099"/>
      <c r="AA490" s="2099"/>
      <c r="AB490" s="2099"/>
    </row>
    <row r="491" spans="18:28" s="2030" customFormat="1" ht="20.25" customHeight="1">
      <c r="R491" s="2099"/>
      <c r="S491" s="2099"/>
      <c r="T491" s="2099"/>
      <c r="U491" s="2099"/>
      <c r="V491" s="2099"/>
      <c r="W491" s="2099"/>
      <c r="X491" s="2099"/>
      <c r="Y491" s="2099"/>
      <c r="Z491" s="2099"/>
      <c r="AA491" s="2099"/>
      <c r="AB491" s="2099"/>
    </row>
    <row r="492" spans="18:28" s="2030" customFormat="1" ht="20.25" customHeight="1">
      <c r="R492" s="2099"/>
      <c r="S492" s="2099"/>
      <c r="T492" s="2099"/>
      <c r="U492" s="2099"/>
      <c r="V492" s="2099"/>
      <c r="W492" s="2099"/>
      <c r="X492" s="2099"/>
      <c r="Y492" s="2099"/>
      <c r="Z492" s="2099"/>
      <c r="AA492" s="2099"/>
      <c r="AB492" s="2099"/>
    </row>
    <row r="493" spans="18:28" s="2030" customFormat="1" ht="20.25" customHeight="1">
      <c r="R493" s="2099"/>
      <c r="S493" s="2099"/>
      <c r="T493" s="2099"/>
      <c r="U493" s="2099"/>
      <c r="V493" s="2099"/>
      <c r="W493" s="2099"/>
      <c r="X493" s="2099"/>
      <c r="Y493" s="2099"/>
      <c r="Z493" s="2099"/>
      <c r="AA493" s="2099"/>
      <c r="AB493" s="2099"/>
    </row>
    <row r="494" spans="18:28" s="2030" customFormat="1" ht="20.25" customHeight="1">
      <c r="R494" s="2099"/>
      <c r="S494" s="2099"/>
      <c r="T494" s="2099"/>
      <c r="U494" s="2099"/>
      <c r="V494" s="2099"/>
      <c r="W494" s="2099"/>
      <c r="X494" s="2099"/>
      <c r="Y494" s="2099"/>
      <c r="Z494" s="2099"/>
      <c r="AA494" s="2099"/>
      <c r="AB494" s="2099"/>
    </row>
    <row r="495" spans="18:28" s="2030" customFormat="1" ht="20.25" customHeight="1">
      <c r="R495" s="2099"/>
      <c r="S495" s="2099"/>
      <c r="T495" s="2099"/>
      <c r="U495" s="2099"/>
      <c r="V495" s="2099"/>
      <c r="W495" s="2099"/>
      <c r="X495" s="2099"/>
      <c r="Y495" s="2099"/>
      <c r="Z495" s="2099"/>
      <c r="AA495" s="2099"/>
      <c r="AB495" s="2099"/>
    </row>
    <row r="496" spans="18:28" s="2030" customFormat="1" ht="20.25" customHeight="1">
      <c r="R496" s="2099"/>
      <c r="S496" s="2099"/>
      <c r="T496" s="2099"/>
      <c r="U496" s="2099"/>
      <c r="V496" s="2099"/>
      <c r="W496" s="2099"/>
      <c r="X496" s="2099"/>
      <c r="Y496" s="2099"/>
      <c r="Z496" s="2099"/>
      <c r="AA496" s="2099"/>
      <c r="AB496" s="2099"/>
    </row>
    <row r="497" spans="18:28" s="2030" customFormat="1" ht="20.25" customHeight="1">
      <c r="R497" s="2099"/>
      <c r="S497" s="2099"/>
      <c r="T497" s="2099"/>
      <c r="U497" s="2099"/>
      <c r="V497" s="2099"/>
      <c r="W497" s="2099"/>
      <c r="X497" s="2099"/>
      <c r="Y497" s="2099"/>
      <c r="Z497" s="2099"/>
      <c r="AA497" s="2099"/>
      <c r="AB497" s="2099"/>
    </row>
    <row r="498" spans="18:28" s="2030" customFormat="1" ht="20.25" customHeight="1">
      <c r="R498" s="2099"/>
      <c r="S498" s="2099"/>
      <c r="T498" s="2099"/>
      <c r="U498" s="2099"/>
      <c r="V498" s="2099"/>
      <c r="W498" s="2099"/>
      <c r="X498" s="2099"/>
      <c r="Y498" s="2099"/>
      <c r="Z498" s="2099"/>
      <c r="AA498" s="2099"/>
      <c r="AB498" s="2099"/>
    </row>
    <row r="499" spans="18:28" s="2030" customFormat="1" ht="20.25" customHeight="1">
      <c r="R499" s="2099"/>
      <c r="S499" s="2099"/>
      <c r="T499" s="2099"/>
      <c r="U499" s="2099"/>
      <c r="V499" s="2099"/>
      <c r="W499" s="2099"/>
      <c r="X499" s="2099"/>
      <c r="Y499" s="2099"/>
      <c r="Z499" s="2099"/>
      <c r="AA499" s="2099"/>
      <c r="AB499" s="2099"/>
    </row>
    <row r="500" spans="18:28" s="2030" customFormat="1" ht="20.25" customHeight="1">
      <c r="R500" s="2099"/>
      <c r="S500" s="2099"/>
      <c r="T500" s="2099"/>
      <c r="U500" s="2099"/>
      <c r="V500" s="2099"/>
      <c r="W500" s="2099"/>
      <c r="X500" s="2099"/>
      <c r="Y500" s="2099"/>
      <c r="Z500" s="2099"/>
      <c r="AA500" s="2099"/>
      <c r="AB500" s="2099"/>
    </row>
    <row r="501" spans="18:28" s="2030" customFormat="1" ht="20.25" customHeight="1">
      <c r="R501" s="2099"/>
      <c r="S501" s="2099"/>
      <c r="T501" s="2099"/>
      <c r="U501" s="2099"/>
      <c r="V501" s="2099"/>
      <c r="W501" s="2099"/>
      <c r="X501" s="2099"/>
      <c r="Y501" s="2099"/>
      <c r="Z501" s="2099"/>
      <c r="AA501" s="2099"/>
      <c r="AB501" s="2099"/>
    </row>
    <row r="502" spans="18:28" s="2030" customFormat="1" ht="20.25" customHeight="1">
      <c r="R502" s="2099"/>
      <c r="S502" s="2099"/>
      <c r="T502" s="2099"/>
      <c r="U502" s="2099"/>
      <c r="V502" s="2099"/>
      <c r="W502" s="2099"/>
      <c r="X502" s="2099"/>
      <c r="Y502" s="2099"/>
      <c r="Z502" s="2099"/>
      <c r="AA502" s="2099"/>
      <c r="AB502" s="2099"/>
    </row>
    <row r="503" spans="18:28" s="2030" customFormat="1" ht="20.25" customHeight="1">
      <c r="R503" s="2099"/>
      <c r="S503" s="2099"/>
      <c r="T503" s="2099"/>
      <c r="U503" s="2099"/>
      <c r="V503" s="2099"/>
      <c r="W503" s="2099"/>
      <c r="X503" s="2099"/>
      <c r="Y503" s="2099"/>
      <c r="Z503" s="2099"/>
      <c r="AA503" s="2099"/>
      <c r="AB503" s="2099"/>
    </row>
    <row r="504" spans="18:28" s="2030" customFormat="1" ht="20.25" customHeight="1">
      <c r="R504" s="2099"/>
      <c r="S504" s="2099"/>
      <c r="T504" s="2099"/>
      <c r="U504" s="2099"/>
      <c r="V504" s="2099"/>
      <c r="W504" s="2099"/>
      <c r="X504" s="2099"/>
      <c r="Y504" s="2099"/>
      <c r="Z504" s="2099"/>
      <c r="AA504" s="2099"/>
      <c r="AB504" s="2099"/>
    </row>
    <row r="505" spans="18:28" s="2030" customFormat="1" ht="20.25" customHeight="1">
      <c r="R505" s="2099"/>
      <c r="S505" s="2099"/>
      <c r="T505" s="2099"/>
      <c r="U505" s="2099"/>
      <c r="V505" s="2099"/>
      <c r="W505" s="2099"/>
      <c r="X505" s="2099"/>
      <c r="Y505" s="2099"/>
      <c r="Z505" s="2099"/>
      <c r="AA505" s="2099"/>
      <c r="AB505" s="2099"/>
    </row>
    <row r="506" spans="18:28" s="2030" customFormat="1" ht="20.25" customHeight="1">
      <c r="R506" s="2099"/>
      <c r="S506" s="2099"/>
      <c r="T506" s="2099"/>
      <c r="U506" s="2099"/>
      <c r="V506" s="2099"/>
      <c r="W506" s="2099"/>
      <c r="X506" s="2099"/>
      <c r="Y506" s="2099"/>
      <c r="Z506" s="2099"/>
      <c r="AA506" s="2099"/>
      <c r="AB506" s="2099"/>
    </row>
    <row r="507" spans="18:28" s="2030" customFormat="1" ht="20.25" customHeight="1">
      <c r="R507" s="2099"/>
      <c r="S507" s="2099"/>
      <c r="T507" s="2099"/>
      <c r="U507" s="2099"/>
      <c r="V507" s="2099"/>
      <c r="W507" s="2099"/>
      <c r="X507" s="2099"/>
      <c r="Y507" s="2099"/>
      <c r="Z507" s="2099"/>
      <c r="AA507" s="2099"/>
      <c r="AB507" s="2099"/>
    </row>
    <row r="508" spans="18:28" s="2030" customFormat="1" ht="20.25" customHeight="1">
      <c r="R508" s="2099"/>
      <c r="S508" s="2099"/>
      <c r="T508" s="2099"/>
      <c r="U508" s="2099"/>
      <c r="V508" s="2099"/>
      <c r="W508" s="2099"/>
      <c r="X508" s="2099"/>
      <c r="Y508" s="2099"/>
      <c r="Z508" s="2099"/>
      <c r="AA508" s="2099"/>
      <c r="AB508" s="2099"/>
    </row>
    <row r="509" spans="18:28" s="2030" customFormat="1" ht="20.25" customHeight="1">
      <c r="R509" s="2099"/>
      <c r="S509" s="2099"/>
      <c r="T509" s="2099"/>
      <c r="U509" s="2099"/>
      <c r="V509" s="2099"/>
      <c r="W509" s="2099"/>
      <c r="X509" s="2099"/>
      <c r="Y509" s="2099"/>
      <c r="Z509" s="2099"/>
      <c r="AA509" s="2099"/>
      <c r="AB509" s="2099"/>
    </row>
    <row r="510" spans="18:28" s="2030" customFormat="1" ht="20.25" customHeight="1">
      <c r="R510" s="2099"/>
      <c r="S510" s="2099"/>
      <c r="T510" s="2099"/>
      <c r="U510" s="2099"/>
      <c r="V510" s="2099"/>
      <c r="W510" s="2099"/>
      <c r="X510" s="2099"/>
      <c r="Y510" s="2099"/>
      <c r="Z510" s="2099"/>
      <c r="AA510" s="2099"/>
      <c r="AB510" s="2099"/>
    </row>
    <row r="511" spans="18:28" s="2030" customFormat="1" ht="20.25" customHeight="1">
      <c r="R511" s="2099"/>
      <c r="S511" s="2099"/>
      <c r="T511" s="2099"/>
      <c r="U511" s="2099"/>
      <c r="V511" s="2099"/>
      <c r="W511" s="2099"/>
      <c r="X511" s="2099"/>
      <c r="Y511" s="2099"/>
      <c r="Z511" s="2099"/>
      <c r="AA511" s="2099"/>
      <c r="AB511" s="2099"/>
    </row>
    <row r="512" spans="18:28" s="2030" customFormat="1" ht="20.25" customHeight="1">
      <c r="R512" s="2099"/>
      <c r="S512" s="2099"/>
      <c r="T512" s="2099"/>
      <c r="U512" s="2099"/>
      <c r="V512" s="2099"/>
      <c r="W512" s="2099"/>
      <c r="X512" s="2099"/>
      <c r="Y512" s="2099"/>
      <c r="Z512" s="2099"/>
      <c r="AA512" s="2099"/>
      <c r="AB512" s="2099"/>
    </row>
    <row r="513" spans="18:28" s="2030" customFormat="1" ht="20.25" customHeight="1">
      <c r="R513" s="2099"/>
      <c r="S513" s="2099"/>
      <c r="T513" s="2099"/>
      <c r="U513" s="2099"/>
      <c r="V513" s="2099"/>
      <c r="W513" s="2099"/>
      <c r="X513" s="2099"/>
      <c r="Y513" s="2099"/>
      <c r="Z513" s="2099"/>
      <c r="AA513" s="2099"/>
      <c r="AB513" s="2099"/>
    </row>
    <row r="514" spans="18:28" s="2030" customFormat="1" ht="20.25" customHeight="1">
      <c r="R514" s="2099"/>
      <c r="S514" s="2099"/>
      <c r="T514" s="2099"/>
      <c r="U514" s="2099"/>
      <c r="V514" s="2099"/>
      <c r="W514" s="2099"/>
      <c r="X514" s="2099"/>
      <c r="Y514" s="2099"/>
      <c r="Z514" s="2099"/>
      <c r="AA514" s="2099"/>
      <c r="AB514" s="2099"/>
    </row>
    <row r="515" spans="18:28" s="2030" customFormat="1" ht="20.25" customHeight="1">
      <c r="R515" s="2099"/>
      <c r="S515" s="2099"/>
      <c r="T515" s="2099"/>
      <c r="U515" s="2099"/>
      <c r="V515" s="2099"/>
      <c r="W515" s="2099"/>
      <c r="X515" s="2099"/>
      <c r="Y515" s="2099"/>
      <c r="Z515" s="2099"/>
      <c r="AA515" s="2099"/>
      <c r="AB515" s="2099"/>
    </row>
    <row r="516" spans="18:28" s="2030" customFormat="1" ht="20.25" customHeight="1">
      <c r="R516" s="2099"/>
      <c r="S516" s="2099"/>
      <c r="T516" s="2099"/>
      <c r="U516" s="2099"/>
      <c r="V516" s="2099"/>
      <c r="W516" s="2099"/>
      <c r="X516" s="2099"/>
      <c r="Y516" s="2099"/>
      <c r="Z516" s="2099"/>
      <c r="AA516" s="2099"/>
      <c r="AB516" s="2099"/>
    </row>
    <row r="517" spans="18:28" s="2030" customFormat="1" ht="20.25" customHeight="1">
      <c r="R517" s="2099"/>
      <c r="S517" s="2099"/>
      <c r="T517" s="2099"/>
      <c r="U517" s="2099"/>
      <c r="V517" s="2099"/>
      <c r="W517" s="2099"/>
      <c r="X517" s="2099"/>
      <c r="Y517" s="2099"/>
      <c r="Z517" s="2099"/>
      <c r="AA517" s="2099"/>
      <c r="AB517" s="2099"/>
    </row>
    <row r="518" spans="18:28" s="2030" customFormat="1" ht="20.25" customHeight="1">
      <c r="R518" s="2099"/>
      <c r="S518" s="2099"/>
      <c r="T518" s="2099"/>
      <c r="U518" s="2099"/>
      <c r="V518" s="2099"/>
      <c r="W518" s="2099"/>
      <c r="X518" s="2099"/>
      <c r="Y518" s="2099"/>
      <c r="Z518" s="2099"/>
      <c r="AA518" s="2099"/>
      <c r="AB518" s="2099"/>
    </row>
    <row r="519" spans="18:28" s="2030" customFormat="1" ht="20.25" customHeight="1">
      <c r="R519" s="2099"/>
      <c r="S519" s="2099"/>
      <c r="T519" s="2099"/>
      <c r="U519" s="2099"/>
      <c r="V519" s="2099"/>
      <c r="W519" s="2099"/>
      <c r="X519" s="2099"/>
      <c r="Y519" s="2099"/>
      <c r="Z519" s="2099"/>
      <c r="AA519" s="2099"/>
      <c r="AB519" s="2099"/>
    </row>
    <row r="520" spans="18:28" s="2030" customFormat="1" ht="20.25" customHeight="1">
      <c r="R520" s="2099"/>
      <c r="S520" s="2099"/>
      <c r="T520" s="2099"/>
      <c r="U520" s="2099"/>
      <c r="V520" s="2099"/>
      <c r="W520" s="2099"/>
      <c r="X520" s="2099"/>
      <c r="Y520" s="2099"/>
      <c r="Z520" s="2099"/>
      <c r="AA520" s="2099"/>
      <c r="AB520" s="2099"/>
    </row>
    <row r="521" spans="18:28" s="2030" customFormat="1" ht="20.25" customHeight="1">
      <c r="R521" s="2099"/>
      <c r="S521" s="2099"/>
      <c r="T521" s="2099"/>
      <c r="U521" s="2099"/>
      <c r="V521" s="2099"/>
      <c r="W521" s="2099"/>
      <c r="X521" s="2099"/>
      <c r="Y521" s="2099"/>
      <c r="Z521" s="2099"/>
      <c r="AA521" s="2099"/>
      <c r="AB521" s="2099"/>
    </row>
    <row r="522" spans="18:28" s="2030" customFormat="1" ht="20.25" customHeight="1">
      <c r="R522" s="2099"/>
      <c r="S522" s="2099"/>
      <c r="T522" s="2099"/>
      <c r="U522" s="2099"/>
      <c r="V522" s="2099"/>
      <c r="W522" s="2099"/>
      <c r="X522" s="2099"/>
      <c r="Y522" s="2099"/>
      <c r="Z522" s="2099"/>
      <c r="AA522" s="2099"/>
      <c r="AB522" s="2099"/>
    </row>
    <row r="523" spans="18:28" s="2030" customFormat="1" ht="20.25" customHeight="1">
      <c r="R523" s="2099"/>
      <c r="S523" s="2099"/>
      <c r="T523" s="2099"/>
      <c r="U523" s="2099"/>
      <c r="V523" s="2099"/>
      <c r="W523" s="2099"/>
      <c r="X523" s="2099"/>
      <c r="Y523" s="2099"/>
      <c r="Z523" s="2099"/>
      <c r="AA523" s="2099"/>
      <c r="AB523" s="2099"/>
    </row>
    <row r="524" spans="18:28" s="2030" customFormat="1" ht="20.25" customHeight="1">
      <c r="R524" s="2099"/>
      <c r="S524" s="2099"/>
      <c r="T524" s="2099"/>
      <c r="U524" s="2099"/>
      <c r="V524" s="2099"/>
      <c r="W524" s="2099"/>
      <c r="X524" s="2099"/>
      <c r="Y524" s="2099"/>
      <c r="Z524" s="2099"/>
      <c r="AA524" s="2099"/>
      <c r="AB524" s="2099"/>
    </row>
    <row r="525" spans="18:28" s="2030" customFormat="1" ht="20.25" customHeight="1">
      <c r="R525" s="2099"/>
      <c r="S525" s="2099"/>
      <c r="T525" s="2099"/>
      <c r="U525" s="2099"/>
      <c r="V525" s="2099"/>
      <c r="W525" s="2099"/>
      <c r="X525" s="2099"/>
      <c r="Y525" s="2099"/>
      <c r="Z525" s="2099"/>
      <c r="AA525" s="2099"/>
      <c r="AB525" s="2099"/>
    </row>
    <row r="526" spans="18:28" s="2030" customFormat="1" ht="20.25" customHeight="1">
      <c r="R526" s="2099"/>
      <c r="S526" s="2099"/>
      <c r="T526" s="2099"/>
      <c r="U526" s="2099"/>
      <c r="V526" s="2099"/>
      <c r="W526" s="2099"/>
      <c r="X526" s="2099"/>
      <c r="Y526" s="2099"/>
      <c r="Z526" s="2099"/>
      <c r="AA526" s="2099"/>
      <c r="AB526" s="2099"/>
    </row>
    <row r="527" spans="18:28" s="2030" customFormat="1" ht="20.25" customHeight="1">
      <c r="R527" s="2099"/>
      <c r="S527" s="2099"/>
      <c r="T527" s="2099"/>
      <c r="U527" s="2099"/>
      <c r="V527" s="2099"/>
      <c r="W527" s="2099"/>
      <c r="X527" s="2099"/>
      <c r="Y527" s="2099"/>
      <c r="Z527" s="2099"/>
      <c r="AA527" s="2099"/>
      <c r="AB527" s="2099"/>
    </row>
    <row r="528" spans="18:28" s="2030" customFormat="1" ht="20.25" customHeight="1">
      <c r="R528" s="2099"/>
      <c r="S528" s="2099"/>
      <c r="T528" s="2099"/>
      <c r="U528" s="2099"/>
      <c r="V528" s="2099"/>
      <c r="W528" s="2099"/>
      <c r="X528" s="2099"/>
      <c r="Y528" s="2099"/>
      <c r="Z528" s="2099"/>
      <c r="AA528" s="2099"/>
      <c r="AB528" s="2099"/>
    </row>
    <row r="529" spans="1:28" s="2030" customFormat="1" ht="20.25" customHeight="1">
      <c r="R529" s="2099"/>
      <c r="S529" s="2099"/>
      <c r="T529" s="2099"/>
      <c r="U529" s="2099"/>
      <c r="V529" s="2099"/>
      <c r="W529" s="2099"/>
      <c r="X529" s="2099"/>
      <c r="Y529" s="2099"/>
      <c r="Z529" s="2099"/>
      <c r="AA529" s="2099"/>
      <c r="AB529" s="2099"/>
    </row>
    <row r="530" spans="1:28" s="2030" customFormat="1" ht="20.25" customHeight="1">
      <c r="R530" s="2099"/>
      <c r="S530" s="2099"/>
      <c r="T530" s="2099"/>
      <c r="U530" s="2099"/>
      <c r="V530" s="2099"/>
      <c r="W530" s="2099"/>
      <c r="X530" s="2099"/>
      <c r="Y530" s="2099"/>
      <c r="Z530" s="2099"/>
      <c r="AA530" s="2099"/>
      <c r="AB530" s="2099"/>
    </row>
    <row r="531" spans="1:28" s="2030" customFormat="1" ht="20.25" customHeight="1">
      <c r="J531" s="2043"/>
      <c r="R531" s="2099"/>
      <c r="S531" s="2099"/>
      <c r="T531" s="2099"/>
      <c r="U531" s="2099"/>
      <c r="V531" s="2099"/>
      <c r="W531" s="2099"/>
      <c r="X531" s="2099"/>
      <c r="Y531" s="2099"/>
      <c r="Z531" s="2099"/>
      <c r="AA531" s="2099"/>
      <c r="AB531" s="2099"/>
    </row>
    <row r="532" spans="1:28" s="2030" customFormat="1" ht="20.25" customHeight="1">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c r="A534" s="2043"/>
      <c r="B534" s="2043"/>
      <c r="C534" s="2043"/>
      <c r="G534" s="2043"/>
      <c r="H534" s="2043"/>
      <c r="I534" s="2043"/>
      <c r="J534" s="2043"/>
      <c r="K534" s="2043"/>
      <c r="L534" s="2043"/>
      <c r="M534" s="2043"/>
      <c r="O534" s="2043"/>
      <c r="P534" s="2043"/>
      <c r="Q534" s="2043"/>
    </row>
    <row r="535" spans="1:28" ht="20.25" customHeight="1">
      <c r="A535" s="2043"/>
      <c r="B535" s="2043"/>
      <c r="C535" s="2043"/>
      <c r="G535" s="2043"/>
      <c r="H535" s="2043"/>
      <c r="I535" s="2043"/>
      <c r="J535" s="2043"/>
      <c r="K535" s="2043"/>
      <c r="L535" s="2043"/>
      <c r="M535" s="2043"/>
      <c r="O535" s="2043"/>
      <c r="P535" s="2043"/>
      <c r="Q535" s="2043"/>
    </row>
    <row r="536" spans="1:28" ht="20.25" customHeight="1">
      <c r="A536" s="2043"/>
      <c r="B536" s="2043"/>
      <c r="C536" s="2043"/>
      <c r="I536" s="2043"/>
      <c r="K536" s="2043"/>
      <c r="L536" s="2043"/>
      <c r="M536" s="2043"/>
      <c r="O536" s="2043"/>
      <c r="Q536" s="2043"/>
    </row>
    <row r="537" spans="1:28" ht="20.25" customHeight="1">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zoomScaleNormal="100" workbookViewId="0">
      <selection activeCell="A390" sqref="A390"/>
    </sheetView>
  </sheetViews>
  <sheetFormatPr defaultColWidth="9.33203125" defaultRowHeight="13.8"/>
  <cols>
    <col min="1" max="1" width="6" style="2118" customWidth="1"/>
    <col min="2" max="2" width="3.44140625" style="2118" customWidth="1"/>
    <col min="3" max="3" width="12.44140625" style="2118" customWidth="1"/>
    <col min="4" max="4" width="12.109375" style="2118" customWidth="1"/>
    <col min="5" max="5" width="7.44140625" style="2118" customWidth="1"/>
    <col min="6" max="6" width="13.5546875" style="2118" customWidth="1"/>
    <col min="7" max="9" width="14.109375" style="2118" customWidth="1"/>
    <col min="10" max="10" width="10.5546875" style="2118" customWidth="1"/>
    <col min="11" max="11" width="13.44140625" style="2118" customWidth="1"/>
    <col min="12" max="12" width="14.6640625" style="2118" customWidth="1"/>
    <col min="13" max="13" width="6.6640625" style="2118" customWidth="1"/>
    <col min="14" max="14" width="2.6640625" style="2137" customWidth="1"/>
    <col min="15" max="15" width="7.6640625" style="2130" customWidth="1"/>
    <col min="16" max="16" width="8" style="2130" customWidth="1"/>
    <col min="17" max="17" width="6" style="2118" customWidth="1"/>
    <col min="18" max="20" width="9.33203125" style="2118" customWidth="1"/>
    <col min="21" max="21" width="10" style="2118" customWidth="1"/>
    <col min="22" max="22" width="10.88671875" style="2118" customWidth="1"/>
    <col min="23" max="23" width="10" style="2118" customWidth="1"/>
    <col min="24" max="24" width="12.44140625" style="2118" customWidth="1"/>
    <col min="25" max="25" width="10.44140625" style="2118" customWidth="1"/>
    <col min="26" max="16384" width="9.33203125" style="2118"/>
  </cols>
  <sheetData>
    <row r="1" spans="1:25" ht="14.1" customHeight="1">
      <c r="A1" s="3923" t="str">
        <f>CONCATENATE("PART EIGHT - SCORING CRITERIA","  -  ",'Part I-Project Identification'!$O$7," ",'Part I-Project Identification'!$F$25,", ",'Part I-Project Identification'!F26,", ",'Part I-Project Identification'!J26," County")</f>
        <v>PART EIGHT - SCORING CRITERIA  -  2023-5 Brightwood Lane Apartments, Washington, Wilkes County</v>
      </c>
      <c r="B1" s="3924"/>
      <c r="C1" s="3924"/>
      <c r="D1" s="3924"/>
      <c r="E1" s="3924"/>
      <c r="F1" s="3924"/>
      <c r="G1" s="3924"/>
      <c r="H1" s="3924"/>
      <c r="I1" s="3924"/>
      <c r="J1" s="3924"/>
      <c r="K1" s="3924"/>
      <c r="L1" s="3924"/>
      <c r="M1" s="3924"/>
      <c r="N1" s="3924"/>
      <c r="O1" s="3924"/>
      <c r="P1" s="3925"/>
      <c r="Q1" s="2116"/>
      <c r="R1" s="2116"/>
      <c r="S1" s="2116"/>
      <c r="T1" s="2116"/>
      <c r="U1" s="2116"/>
      <c r="V1" s="2116"/>
      <c r="W1" s="2116"/>
      <c r="X1" s="2117"/>
    </row>
    <row r="2" spans="1:25" ht="4.3499999999999996"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399999999999999" customHeight="1">
      <c r="A3" s="3926" t="s">
        <v>6842</v>
      </c>
      <c r="B3" s="3926"/>
      <c r="C3" s="3926"/>
      <c r="D3" s="3926"/>
      <c r="E3" s="3926"/>
      <c r="F3" s="3926"/>
      <c r="G3" s="3926"/>
      <c r="H3" s="3926"/>
      <c r="I3" s="3926"/>
      <c r="J3" s="3926"/>
      <c r="K3" s="3926"/>
      <c r="L3" s="3926"/>
      <c r="M3" s="2123"/>
      <c r="N3" s="2121"/>
      <c r="O3" s="2124" t="s">
        <v>2050</v>
      </c>
      <c r="P3" s="2125" t="s">
        <v>245</v>
      </c>
      <c r="Q3" s="2116"/>
      <c r="R3" s="2116"/>
      <c r="S3" s="2116"/>
      <c r="T3" s="2116"/>
      <c r="U3" s="2116"/>
      <c r="V3" s="2116"/>
      <c r="W3" s="2116"/>
      <c r="X3" s="2117"/>
    </row>
    <row r="4" spans="1:25" s="2119" customFormat="1" ht="16.5" customHeight="1">
      <c r="A4" s="3926"/>
      <c r="B4" s="3926"/>
      <c r="C4" s="3926"/>
      <c r="D4" s="3926"/>
      <c r="E4" s="3926"/>
      <c r="F4" s="3926"/>
      <c r="G4" s="3926"/>
      <c r="H4" s="3926"/>
      <c r="I4" s="3926"/>
      <c r="J4" s="3926"/>
      <c r="K4" s="3926"/>
      <c r="L4" s="3926"/>
      <c r="M4" s="2123"/>
      <c r="N4" s="2126"/>
      <c r="O4" s="2127" t="s">
        <v>2051</v>
      </c>
      <c r="P4" s="2127" t="s">
        <v>2051</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3927" t="str">
        <f>'Part I-Project Identification'!$A$6</f>
        <v>Sept 2023</v>
      </c>
      <c r="C6" s="3927"/>
      <c r="D6" s="3927"/>
      <c r="E6" s="3927"/>
      <c r="F6" s="3927"/>
      <c r="L6" s="2122" t="s">
        <v>1152</v>
      </c>
      <c r="M6" s="2131"/>
      <c r="N6" s="2132"/>
      <c r="O6" s="2133">
        <f>O404</f>
        <v>44</v>
      </c>
      <c r="P6" s="2133">
        <f>P404</f>
        <v>22</v>
      </c>
      <c r="Q6" s="2134" t="s">
        <v>6843</v>
      </c>
      <c r="R6" s="2135"/>
      <c r="S6" s="2135"/>
      <c r="T6" s="2135"/>
      <c r="U6" s="2135"/>
      <c r="V6" s="2135"/>
      <c r="W6" s="2135"/>
      <c r="X6" s="2135"/>
      <c r="Y6" s="2135"/>
    </row>
    <row r="7" spans="1:25" ht="3.6"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 customHeight="1" thickBot="1">
      <c r="A9" s="2140" t="s">
        <v>573</v>
      </c>
      <c r="B9" s="2141" t="s">
        <v>6135</v>
      </c>
      <c r="C9" s="2129"/>
      <c r="G9" s="2139"/>
      <c r="I9" s="2139"/>
      <c r="J9" s="2139"/>
      <c r="K9" s="2139"/>
      <c r="L9" s="2139"/>
      <c r="M9" s="2139"/>
      <c r="N9" s="2139"/>
      <c r="O9" s="2139"/>
      <c r="P9" s="2139"/>
      <c r="Q9" s="2135"/>
      <c r="R9" s="2135"/>
      <c r="S9" s="2135"/>
      <c r="T9" s="2135"/>
      <c r="U9" s="2135"/>
      <c r="V9" s="2135"/>
      <c r="W9" s="2135"/>
      <c r="X9" s="2135"/>
      <c r="Y9" s="2135"/>
    </row>
    <row r="10" spans="1:25" s="2119" customFormat="1" ht="15.6" customHeight="1" thickBot="1">
      <c r="A10" s="2138" t="s">
        <v>6136</v>
      </c>
      <c r="G10" s="2139"/>
      <c r="I10" s="2139"/>
      <c r="J10" s="2139"/>
      <c r="K10" s="2139"/>
      <c r="L10" s="2139"/>
      <c r="M10" s="2142" t="s">
        <v>6844</v>
      </c>
      <c r="N10" s="2139"/>
      <c r="O10" s="2139"/>
      <c r="P10" s="2143">
        <f>IF(P12&lt;2,0,IF(AND(P12&gt;1,P12&lt;5),1,IF(P12&gt;4,P12-3)))</f>
        <v>0</v>
      </c>
      <c r="Q10" s="2135"/>
      <c r="R10" s="2135"/>
      <c r="S10" s="2135"/>
      <c r="T10" s="2135"/>
      <c r="U10" s="2135"/>
      <c r="V10" s="2135"/>
      <c r="W10" s="2135"/>
      <c r="X10" s="2135"/>
      <c r="Y10" s="2135"/>
    </row>
    <row r="11" spans="1:25" ht="15.6"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4" customHeight="1">
      <c r="A12" s="2144" t="s">
        <v>3392</v>
      </c>
      <c r="B12" s="2144" t="s">
        <v>3393</v>
      </c>
      <c r="C12" s="2145"/>
      <c r="D12" s="2145"/>
      <c r="E12" s="2118" t="s">
        <v>3400</v>
      </c>
      <c r="F12" s="3928" t="s">
        <v>6496</v>
      </c>
      <c r="G12" s="3928"/>
      <c r="H12" s="3928"/>
      <c r="I12" s="3928"/>
      <c r="J12" s="3928"/>
      <c r="K12" s="3928"/>
      <c r="L12" s="3928"/>
      <c r="M12" s="3928"/>
      <c r="N12" s="3928"/>
      <c r="O12" s="2146" t="s">
        <v>3810</v>
      </c>
      <c r="P12" s="2147">
        <f>SUM(P13:P31)</f>
        <v>0</v>
      </c>
      <c r="Q12" s="3929"/>
      <c r="R12" s="3929"/>
      <c r="S12" s="3929"/>
      <c r="T12" s="3929"/>
      <c r="U12" s="3929"/>
      <c r="V12" s="2148"/>
    </row>
    <row r="13" spans="1:25" s="2119" customFormat="1" ht="14.4" customHeight="1">
      <c r="A13" s="2149" t="s">
        <v>1668</v>
      </c>
      <c r="B13" s="2150" t="s">
        <v>3394</v>
      </c>
      <c r="C13" s="2151"/>
      <c r="D13" s="2152"/>
      <c r="E13" s="2153">
        <f>$O$77</f>
        <v>0</v>
      </c>
      <c r="F13" s="3930" t="str">
        <f>$A$81</f>
        <v>Does not apply to preservation projects.</v>
      </c>
      <c r="G13" s="3931"/>
      <c r="H13" s="3931"/>
      <c r="I13" s="3931"/>
      <c r="J13" s="3931"/>
      <c r="K13" s="3931"/>
      <c r="L13" s="3931"/>
      <c r="M13" s="3931"/>
      <c r="N13" s="3931"/>
      <c r="O13" s="3931"/>
      <c r="P13" s="2154"/>
      <c r="Q13" s="3929"/>
      <c r="R13" s="3929"/>
      <c r="S13" s="3929"/>
      <c r="T13" s="3929"/>
      <c r="U13" s="3929"/>
      <c r="V13" s="2148"/>
    </row>
    <row r="14" spans="1:25" s="2119" customFormat="1" ht="14.4" customHeight="1">
      <c r="A14" s="2149" t="s">
        <v>496</v>
      </c>
      <c r="B14" s="2155" t="s">
        <v>4038</v>
      </c>
      <c r="C14" s="2156"/>
      <c r="D14" s="2157"/>
      <c r="E14" s="2158">
        <f>$O$86</f>
        <v>0</v>
      </c>
      <c r="F14" s="3871" t="str">
        <f>$A$102</f>
        <v>Does not apply to preservation projects.</v>
      </c>
      <c r="G14" s="3872"/>
      <c r="H14" s="3872"/>
      <c r="I14" s="3872"/>
      <c r="J14" s="3872"/>
      <c r="K14" s="3872"/>
      <c r="L14" s="3872"/>
      <c r="M14" s="3872"/>
      <c r="N14" s="3872"/>
      <c r="O14" s="3873"/>
      <c r="P14" s="2160"/>
      <c r="Q14" s="3929"/>
      <c r="R14" s="3929"/>
      <c r="S14" s="3929"/>
      <c r="T14" s="3929"/>
      <c r="U14" s="3929"/>
    </row>
    <row r="15" spans="1:25" s="2119" customFormat="1" ht="14.4" customHeight="1">
      <c r="A15" s="2149" t="s">
        <v>720</v>
      </c>
      <c r="B15" s="2155" t="s">
        <v>3339</v>
      </c>
      <c r="C15" s="2156"/>
      <c r="D15" s="2157"/>
      <c r="E15" s="2158">
        <f>$O$106</f>
        <v>0</v>
      </c>
      <c r="F15" s="3871" t="str">
        <f>$A$117</f>
        <v>Does not apply to preservation projects.</v>
      </c>
      <c r="G15" s="3872"/>
      <c r="H15" s="3872"/>
      <c r="I15" s="3872"/>
      <c r="J15" s="3872"/>
      <c r="K15" s="3872"/>
      <c r="L15" s="3872"/>
      <c r="M15" s="3872"/>
      <c r="N15" s="3872"/>
      <c r="O15" s="3873"/>
      <c r="P15" s="2160"/>
      <c r="Q15" s="2161"/>
      <c r="R15" s="2161"/>
      <c r="S15" s="2161"/>
      <c r="T15" s="2161"/>
      <c r="U15" s="2161"/>
    </row>
    <row r="16" spans="1:25" s="2119" customFormat="1" ht="14.4" customHeight="1">
      <c r="A16" s="2162" t="s">
        <v>280</v>
      </c>
      <c r="B16" s="2155" t="s">
        <v>3395</v>
      </c>
      <c r="C16" s="2156"/>
      <c r="D16" s="2157"/>
      <c r="E16" s="2450">
        <f>$O$122</f>
        <v>0</v>
      </c>
      <c r="F16" s="3871" t="str">
        <f>$A$137</f>
        <v>Does not apply to preservation projects.</v>
      </c>
      <c r="G16" s="3872"/>
      <c r="H16" s="3872"/>
      <c r="I16" s="3872"/>
      <c r="J16" s="3872"/>
      <c r="K16" s="3872"/>
      <c r="L16" s="3872"/>
      <c r="M16" s="3872"/>
      <c r="N16" s="3872"/>
      <c r="O16" s="3873"/>
      <c r="P16" s="2160"/>
      <c r="Q16" s="2161"/>
      <c r="R16" s="2161"/>
      <c r="S16" s="2161"/>
      <c r="T16" s="2161"/>
      <c r="U16" s="2161"/>
    </row>
    <row r="17" spans="1:35" s="2119" customFormat="1" ht="14.4" customHeight="1">
      <c r="A17" s="2149" t="s">
        <v>401</v>
      </c>
      <c r="B17" s="2164" t="s">
        <v>3396</v>
      </c>
      <c r="C17" s="2165"/>
      <c r="D17" s="2166"/>
      <c r="E17" s="2167" t="s">
        <v>1610</v>
      </c>
      <c r="F17" s="3935">
        <f>$A$147</f>
        <v>0</v>
      </c>
      <c r="G17" s="3936"/>
      <c r="H17" s="3936"/>
      <c r="I17" s="3936"/>
      <c r="J17" s="3936"/>
      <c r="K17" s="3936"/>
      <c r="L17" s="3936"/>
      <c r="M17" s="3936"/>
      <c r="N17" s="3936"/>
      <c r="O17" s="3937"/>
      <c r="P17" s="2160"/>
      <c r="Q17" s="2161"/>
      <c r="R17" s="2161"/>
      <c r="S17" s="2161"/>
      <c r="T17" s="2161"/>
      <c r="U17" s="2161"/>
    </row>
    <row r="18" spans="1:35" s="2119" customFormat="1" ht="14.4" customHeight="1">
      <c r="A18" s="2149" t="s">
        <v>342</v>
      </c>
      <c r="B18" s="2155" t="s">
        <v>4039</v>
      </c>
      <c r="C18" s="2156"/>
      <c r="D18" s="2157"/>
      <c r="E18" s="2168">
        <f>$O$152</f>
        <v>0</v>
      </c>
      <c r="F18" s="3871" t="str">
        <f>$A$165</f>
        <v>Does not apply to preservation projects.</v>
      </c>
      <c r="G18" s="3872"/>
      <c r="H18" s="3872"/>
      <c r="I18" s="3872"/>
      <c r="J18" s="3872"/>
      <c r="K18" s="3872"/>
      <c r="L18" s="3872"/>
      <c r="M18" s="3872"/>
      <c r="N18" s="3872"/>
      <c r="O18" s="3873"/>
      <c r="P18" s="2160"/>
      <c r="Q18" s="3938" t="str">
        <f>IF(OR($A$81="",$A$102="",$A$117="",$A$137="",$A$147="",$A$165="",$A$184="",$A$195="",$A$205="",$A$228="",$A$248="",$A$257="",$A$275="",$A$307="",$A$318="",$A$340="",$A$347="",$A$360="",$A$389=""),"Some Applicant Scoring Justification boxes are empty! Check to see if points claimed.","")</f>
        <v>Some Applicant Scoring Justification boxes are empty! Check to see if points claimed.</v>
      </c>
      <c r="R18" s="3939"/>
      <c r="S18" s="3939"/>
    </row>
    <row r="19" spans="1:35" s="2119" customFormat="1" ht="14.4" customHeight="1">
      <c r="A19" s="2149" t="s">
        <v>4041</v>
      </c>
      <c r="B19" s="2155" t="s">
        <v>3262</v>
      </c>
      <c r="C19" s="2156"/>
      <c r="D19" s="2157"/>
      <c r="E19" s="2168">
        <f>$O$179</f>
        <v>0</v>
      </c>
      <c r="F19" s="3871" t="str">
        <f>$A$184</f>
        <v>Does not apply to preservation projects.</v>
      </c>
      <c r="G19" s="3872"/>
      <c r="H19" s="3872"/>
      <c r="I19" s="3872"/>
      <c r="J19" s="3872"/>
      <c r="K19" s="3872"/>
      <c r="L19" s="3872"/>
      <c r="M19" s="3872"/>
      <c r="N19" s="3872"/>
      <c r="O19" s="3873"/>
      <c r="P19" s="2160"/>
      <c r="Q19" s="3938"/>
      <c r="R19" s="3939"/>
      <c r="S19" s="3939"/>
    </row>
    <row r="20" spans="1:35" s="2119" customFormat="1" ht="14.4" customHeight="1">
      <c r="A20" s="2149" t="s">
        <v>4053</v>
      </c>
      <c r="B20" s="2155" t="s">
        <v>4042</v>
      </c>
      <c r="C20" s="2156"/>
      <c r="D20" s="2157"/>
      <c r="E20" s="2167">
        <f>$O$189</f>
        <v>0</v>
      </c>
      <c r="F20" s="3871">
        <f>$A$195</f>
        <v>0</v>
      </c>
      <c r="G20" s="3872"/>
      <c r="H20" s="3872"/>
      <c r="I20" s="3872"/>
      <c r="J20" s="3872"/>
      <c r="K20" s="3872"/>
      <c r="L20" s="3872"/>
      <c r="M20" s="3872"/>
      <c r="N20" s="3872"/>
      <c r="O20" s="3873"/>
      <c r="P20" s="2160"/>
      <c r="Q20" s="3938"/>
      <c r="R20" s="3939"/>
      <c r="S20" s="3939"/>
    </row>
    <row r="21" spans="1:35" s="2119" customFormat="1" ht="14.4" customHeight="1">
      <c r="A21" s="2169" t="s">
        <v>6243</v>
      </c>
      <c r="B21" s="2164" t="s">
        <v>4043</v>
      </c>
      <c r="C21" s="2165"/>
      <c r="D21" s="2166"/>
      <c r="E21" s="2170">
        <f>$O$200</f>
        <v>0</v>
      </c>
      <c r="F21" s="3935">
        <f>$A$205</f>
        <v>0</v>
      </c>
      <c r="G21" s="3936"/>
      <c r="H21" s="3936"/>
      <c r="I21" s="3936"/>
      <c r="J21" s="3936"/>
      <c r="K21" s="3936"/>
      <c r="L21" s="3936"/>
      <c r="M21" s="3936"/>
      <c r="N21" s="3936"/>
      <c r="O21" s="3937"/>
      <c r="P21" s="2160"/>
      <c r="Q21" s="3938"/>
      <c r="R21" s="3939"/>
      <c r="S21" s="3939"/>
    </row>
    <row r="22" spans="1:35" s="2119" customFormat="1" ht="14.4" customHeight="1">
      <c r="A22" s="2149" t="s">
        <v>6637</v>
      </c>
      <c r="B22" s="2155" t="s">
        <v>6549</v>
      </c>
      <c r="C22" s="2156"/>
      <c r="D22" s="2157"/>
      <c r="E22" s="2168">
        <f>$O$223</f>
        <v>0</v>
      </c>
      <c r="F22" s="3871">
        <f>$A$228</f>
        <v>0</v>
      </c>
      <c r="G22" s="3872"/>
      <c r="H22" s="3872"/>
      <c r="I22" s="3872"/>
      <c r="J22" s="3872"/>
      <c r="K22" s="3872"/>
      <c r="L22" s="3872"/>
      <c r="M22" s="3872"/>
      <c r="N22" s="3872"/>
      <c r="O22" s="3873"/>
      <c r="P22" s="2160"/>
      <c r="Q22" s="3938"/>
      <c r="R22" s="3939"/>
      <c r="S22" s="3939"/>
    </row>
    <row r="23" spans="1:35" s="2119" customFormat="1" ht="14.4" customHeight="1">
      <c r="A23" s="2149" t="s">
        <v>6639</v>
      </c>
      <c r="B23" s="2155" t="s">
        <v>6638</v>
      </c>
      <c r="C23" s="2156"/>
      <c r="D23" s="2157"/>
      <c r="E23" s="2168">
        <f>$O$233</f>
        <v>0</v>
      </c>
      <c r="F23" s="3871" t="str">
        <f>$A$248</f>
        <v>There is no minority- and women-owned business engagement expected for this project.</v>
      </c>
      <c r="G23" s="3872"/>
      <c r="H23" s="3872"/>
      <c r="I23" s="3872"/>
      <c r="J23" s="3872"/>
      <c r="K23" s="3872"/>
      <c r="L23" s="3872"/>
      <c r="M23" s="3872"/>
      <c r="N23" s="3872"/>
      <c r="O23" s="3873"/>
      <c r="P23" s="2160"/>
      <c r="Q23" s="3938"/>
      <c r="R23" s="3939"/>
      <c r="S23" s="3939"/>
    </row>
    <row r="24" spans="1:35" s="2119" customFormat="1" ht="14.4" customHeight="1">
      <c r="A24" s="2162" t="s">
        <v>3369</v>
      </c>
      <c r="B24" s="2171" t="s">
        <v>6555</v>
      </c>
      <c r="C24" s="2172"/>
      <c r="D24" s="2173"/>
      <c r="E24" s="2163">
        <f>$O$253</f>
        <v>0</v>
      </c>
      <c r="F24" s="3932">
        <f>$A$257</f>
        <v>0</v>
      </c>
      <c r="G24" s="3933"/>
      <c r="H24" s="3933"/>
      <c r="I24" s="3933"/>
      <c r="J24" s="3933"/>
      <c r="K24" s="3933"/>
      <c r="L24" s="3933"/>
      <c r="M24" s="3933"/>
      <c r="N24" s="3933"/>
      <c r="O24" s="3934"/>
      <c r="P24" s="2160"/>
      <c r="Q24" s="3938"/>
      <c r="R24" s="3939"/>
      <c r="S24" s="3939"/>
    </row>
    <row r="25" spans="1:35" s="2119" customFormat="1" ht="14.4" customHeight="1">
      <c r="A25" s="2149" t="s">
        <v>3373</v>
      </c>
      <c r="B25" s="2155" t="s">
        <v>3397</v>
      </c>
      <c r="C25" s="2156"/>
      <c r="D25" s="2157"/>
      <c r="E25" s="2168">
        <f>$O$271</f>
        <v>0</v>
      </c>
      <c r="F25" s="3871">
        <f>$A$275</f>
        <v>0</v>
      </c>
      <c r="G25" s="3872"/>
      <c r="H25" s="3872"/>
      <c r="I25" s="3872"/>
      <c r="J25" s="3872"/>
      <c r="K25" s="3872"/>
      <c r="L25" s="3872"/>
      <c r="M25" s="3872"/>
      <c r="N25" s="3872"/>
      <c r="O25" s="3873"/>
      <c r="P25" s="2160"/>
      <c r="Q25" s="3938"/>
      <c r="R25" s="3939"/>
      <c r="S25" s="3939"/>
    </row>
    <row r="26" spans="1:35" s="2119" customFormat="1" ht="14.4" customHeight="1">
      <c r="A26" s="2149" t="s">
        <v>3376</v>
      </c>
      <c r="B26" s="2155" t="s">
        <v>3398</v>
      </c>
      <c r="C26" s="2156"/>
      <c r="D26" s="2157"/>
      <c r="E26" s="2168">
        <f>$O$280</f>
        <v>0</v>
      </c>
      <c r="F26" s="3871" t="str">
        <f>$A$307</f>
        <v>The project does not involve any new favorable financing sources.</v>
      </c>
      <c r="G26" s="3872"/>
      <c r="H26" s="3872"/>
      <c r="I26" s="3872"/>
      <c r="J26" s="3872"/>
      <c r="K26" s="3872"/>
      <c r="L26" s="3872"/>
      <c r="M26" s="3872"/>
      <c r="N26" s="3872"/>
      <c r="O26" s="3873"/>
      <c r="P26" s="2160"/>
      <c r="Q26" s="3938"/>
      <c r="R26" s="3939"/>
      <c r="S26" s="3939"/>
    </row>
    <row r="27" spans="1:35" s="2119" customFormat="1" ht="14.4" customHeight="1">
      <c r="A27" s="2149" t="s">
        <v>3377</v>
      </c>
      <c r="B27" s="2155" t="s">
        <v>3399</v>
      </c>
      <c r="C27" s="2156"/>
      <c r="D27" s="2157"/>
      <c r="E27" s="2167">
        <f>$O$312</f>
        <v>0</v>
      </c>
      <c r="F27" s="3871">
        <f>$A$318</f>
        <v>0</v>
      </c>
      <c r="G27" s="3872"/>
      <c r="H27" s="3872"/>
      <c r="I27" s="3872"/>
      <c r="J27" s="3872"/>
      <c r="K27" s="3872"/>
      <c r="L27" s="3872"/>
      <c r="M27" s="3872"/>
      <c r="N27" s="3872"/>
      <c r="O27" s="3873"/>
      <c r="P27" s="2160"/>
      <c r="Q27" s="2174"/>
      <c r="R27" s="2116"/>
      <c r="S27" s="2116"/>
      <c r="AA27" s="2129"/>
      <c r="AB27" s="2129"/>
      <c r="AC27" s="2129"/>
      <c r="AD27" s="2129"/>
      <c r="AE27" s="2129"/>
      <c r="AF27" s="2129"/>
    </row>
    <row r="28" spans="1:35" s="2119" customFormat="1" ht="14.4" customHeight="1">
      <c r="A28" s="2175" t="s">
        <v>3379</v>
      </c>
      <c r="B28" s="2176" t="s">
        <v>6636</v>
      </c>
      <c r="C28" s="2177"/>
      <c r="D28" s="2178"/>
      <c r="E28" s="2179">
        <f>$O$332</f>
        <v>2</v>
      </c>
      <c r="F28" s="3874">
        <f>$A$340</f>
        <v>0</v>
      </c>
      <c r="G28" s="3875"/>
      <c r="H28" s="3875"/>
      <c r="I28" s="3875"/>
      <c r="J28" s="3875"/>
      <c r="K28" s="3875"/>
      <c r="L28" s="3875"/>
      <c r="M28" s="3875"/>
      <c r="N28" s="3875"/>
      <c r="O28" s="3876"/>
      <c r="P28" s="2181"/>
      <c r="Q28" s="2174"/>
      <c r="R28" s="2116"/>
      <c r="S28" s="2116"/>
      <c r="X28" s="2129"/>
      <c r="Y28" s="2129"/>
      <c r="Z28" s="2129"/>
      <c r="AA28" s="2129"/>
      <c r="AB28" s="2129"/>
      <c r="AC28" s="2129"/>
      <c r="AD28" s="2129"/>
      <c r="AE28" s="2129"/>
      <c r="AF28" s="2129"/>
      <c r="AG28" s="2129"/>
      <c r="AH28" s="2129"/>
      <c r="AI28" s="2129"/>
    </row>
    <row r="29" spans="1:35" s="2119" customFormat="1" ht="14.4" customHeight="1">
      <c r="A29" s="2149" t="s">
        <v>3380</v>
      </c>
      <c r="B29" s="2155" t="s">
        <v>6132</v>
      </c>
      <c r="C29" s="2156"/>
      <c r="D29" s="2157"/>
      <c r="E29" s="2168">
        <f>$O$345</f>
        <v>6</v>
      </c>
      <c r="F29" s="3871" t="str">
        <f>$A$347</f>
        <v>Brightwood Lane Apartments has an average occupancy over the last 24 months of approximately 98.8% (rent rolls provided as support)</v>
      </c>
      <c r="G29" s="3872"/>
      <c r="H29" s="3872"/>
      <c r="I29" s="3872"/>
      <c r="J29" s="3872"/>
      <c r="K29" s="3872"/>
      <c r="L29" s="3872"/>
      <c r="M29" s="3872"/>
      <c r="N29" s="3872"/>
      <c r="O29" s="3873"/>
      <c r="P29" s="2160"/>
      <c r="Q29" s="2174"/>
      <c r="R29" s="2116"/>
      <c r="S29" s="2116"/>
    </row>
    <row r="30" spans="1:35" s="2119" customFormat="1" ht="14.4" customHeight="1">
      <c r="A30" s="2149" t="s">
        <v>3803</v>
      </c>
      <c r="B30" s="2155" t="s">
        <v>6553</v>
      </c>
      <c r="C30" s="2156"/>
      <c r="D30" s="2157"/>
      <c r="E30" s="2168">
        <f>$O$358</f>
        <v>0</v>
      </c>
      <c r="F30" s="3871" t="str">
        <f>$A$360</f>
        <v>Brighwood Lane Apartments has 37 units of PBRA which represents 92.5% of the total units. The minimum for points in this section is 40 units of PBRA. A copy of the Rental Assistance Agreement is provided under Tab 48.</v>
      </c>
      <c r="G30" s="3872"/>
      <c r="H30" s="3872"/>
      <c r="I30" s="3872"/>
      <c r="J30" s="3872"/>
      <c r="K30" s="3872"/>
      <c r="L30" s="3872"/>
      <c r="M30" s="3872"/>
      <c r="N30" s="3872"/>
      <c r="O30" s="3873"/>
      <c r="P30" s="2160"/>
      <c r="Q30" s="2174"/>
    </row>
    <row r="31" spans="1:35" s="2119" customFormat="1" ht="14.4" customHeight="1">
      <c r="A31" s="2149" t="s">
        <v>6556</v>
      </c>
      <c r="B31" s="2155" t="s">
        <v>6554</v>
      </c>
      <c r="C31" s="2156"/>
      <c r="D31" s="2157"/>
      <c r="E31" s="2168">
        <f>$O$365</f>
        <v>6</v>
      </c>
      <c r="F31" s="3871" t="str">
        <f>$A$369</f>
        <v>The LURC dated December 9, 1996 is included in tab 49 of the application.</v>
      </c>
      <c r="G31" s="3872"/>
      <c r="H31" s="3872"/>
      <c r="I31" s="3872"/>
      <c r="J31" s="3872"/>
      <c r="K31" s="3872"/>
      <c r="L31" s="3872"/>
      <c r="M31" s="3872"/>
      <c r="N31" s="3872"/>
      <c r="O31" s="3873"/>
      <c r="P31" s="2448"/>
      <c r="Q31" s="2174"/>
    </row>
    <row r="32" spans="1:35" s="2119" customFormat="1" ht="14.4" customHeight="1">
      <c r="A32" s="2449" t="s">
        <v>6917</v>
      </c>
      <c r="B32" s="2176" t="s">
        <v>6933</v>
      </c>
      <c r="C32" s="2177"/>
      <c r="D32" s="2177"/>
      <c r="E32" s="2447">
        <f>$O$373</f>
        <v>0</v>
      </c>
      <c r="F32" s="3874">
        <f>$A$388</f>
        <v>0</v>
      </c>
      <c r="G32" s="3875"/>
      <c r="H32" s="3875"/>
      <c r="I32" s="3875"/>
      <c r="J32" s="3875"/>
      <c r="K32" s="3875"/>
      <c r="L32" s="3875"/>
      <c r="M32" s="3875"/>
      <c r="N32" s="3875"/>
      <c r="O32" s="3876"/>
      <c r="P32" s="2181"/>
      <c r="Q32" s="2116"/>
    </row>
    <row r="33" spans="1:35" ht="12.75" customHeight="1">
      <c r="Q33" s="2183"/>
    </row>
    <row r="34" spans="1:35" ht="13.5" customHeight="1">
      <c r="A34" s="3915" t="s">
        <v>6947</v>
      </c>
      <c r="B34" s="3915"/>
      <c r="C34" s="3915"/>
      <c r="D34" s="3915"/>
      <c r="E34" s="3898" t="str">
        <f>IF(OR((C36-A36&gt;0),(D36-A36&gt;0)),"Points Exceed Max!","")</f>
        <v/>
      </c>
      <c r="F34" s="4080" t="s">
        <v>6882</v>
      </c>
      <c r="G34" s="4081"/>
      <c r="H34" s="4081"/>
      <c r="I34" s="4082"/>
      <c r="J34" s="3879" t="s">
        <v>6140</v>
      </c>
      <c r="K34" s="3880"/>
      <c r="L34" s="3880"/>
      <c r="M34" s="3881"/>
      <c r="O34" s="4085" t="s">
        <v>6883</v>
      </c>
      <c r="P34" s="4085"/>
      <c r="Q34" s="2183"/>
    </row>
    <row r="35" spans="1:35" ht="13.5" customHeight="1">
      <c r="A35" s="3903" t="s">
        <v>6908</v>
      </c>
      <c r="B35" s="3904"/>
      <c r="C35" s="2454" t="s">
        <v>2889</v>
      </c>
      <c r="D35" s="2453" t="s">
        <v>245</v>
      </c>
      <c r="E35" s="3898"/>
      <c r="F35" s="4083"/>
      <c r="G35" s="3894"/>
      <c r="H35" s="3894"/>
      <c r="I35" s="4084"/>
      <c r="J35" s="3882"/>
      <c r="K35" s="3883"/>
      <c r="L35" s="3883"/>
      <c r="M35" s="3884"/>
      <c r="O35" s="4086"/>
      <c r="P35" s="4086"/>
    </row>
    <row r="36" spans="1:35" ht="10.5" customHeight="1">
      <c r="A36" s="3899">
        <v>33</v>
      </c>
      <c r="B36" s="3900"/>
      <c r="C36" s="3916">
        <f>IF($O$36="4%",O77+O86+O106+O122+O152+O179,0)</f>
        <v>0</v>
      </c>
      <c r="D36" s="3913">
        <f>IF($O$36="4%",P77+P86+P106+P122+P152+P179,0)</f>
        <v>0</v>
      </c>
      <c r="E36" s="3898"/>
      <c r="F36" s="3945" t="s">
        <v>6506</v>
      </c>
      <c r="G36" s="3946"/>
      <c r="H36" s="3946"/>
      <c r="I36" s="3947"/>
      <c r="J36" s="3885" t="s">
        <v>2392</v>
      </c>
      <c r="K36" s="3886"/>
      <c r="L36" s="3886"/>
      <c r="M36" s="3887"/>
      <c r="O36" s="4087"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4088"/>
    </row>
    <row r="37" spans="1:35" ht="10.5" customHeight="1">
      <c r="A37" s="3901"/>
      <c r="B37" s="3902"/>
      <c r="C37" s="3917"/>
      <c r="D37" s="3914"/>
      <c r="E37" s="3898"/>
      <c r="F37" s="3948"/>
      <c r="G37" s="3949"/>
      <c r="H37" s="3949"/>
      <c r="I37" s="3950"/>
      <c r="J37" s="3888"/>
      <c r="K37" s="3889"/>
      <c r="L37" s="3889"/>
      <c r="M37" s="3890"/>
      <c r="O37" s="4087"/>
      <c r="P37" s="4088"/>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2496</v>
      </c>
      <c r="C40" s="2129"/>
      <c r="D40" s="2129"/>
      <c r="E40" s="2129"/>
      <c r="M40" s="2122">
        <v>10</v>
      </c>
      <c r="N40" s="2121"/>
      <c r="O40" s="2200">
        <v>10</v>
      </c>
      <c r="P40" s="2200">
        <f>MIN($M40, $M40-P43-P48-P44)</f>
        <v>10</v>
      </c>
      <c r="Q40" s="2201" t="s">
        <v>416</v>
      </c>
    </row>
    <row r="41" spans="1:35" ht="3.6"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1841</v>
      </c>
      <c r="B42" s="2129" t="s">
        <v>3805</v>
      </c>
      <c r="F42" s="2121"/>
      <c r="N42" s="2252"/>
      <c r="P42" s="2202">
        <f>SUM(P43:P45)</f>
        <v>0</v>
      </c>
    </row>
    <row r="43" spans="1:35" ht="14.4">
      <c r="A43" s="2136"/>
      <c r="B43" s="2203" t="s">
        <v>1844</v>
      </c>
      <c r="C43" s="2119" t="s">
        <v>3808</v>
      </c>
      <c r="D43" s="2119"/>
      <c r="E43" s="2119"/>
      <c r="F43" s="2121"/>
      <c r="H43" s="2119"/>
      <c r="J43" s="2139"/>
      <c r="N43" s="2212"/>
      <c r="O43" s="2118"/>
      <c r="P43" s="2204">
        <f>F51</f>
        <v>0</v>
      </c>
    </row>
    <row r="44" spans="1:35" ht="14.4">
      <c r="A44" s="2136"/>
      <c r="B44" s="2203" t="s">
        <v>1846</v>
      </c>
      <c r="C44" s="2119" t="s">
        <v>6874</v>
      </c>
      <c r="D44" s="2119"/>
      <c r="E44" s="2119"/>
      <c r="F44" s="2121"/>
      <c r="H44" s="2119"/>
      <c r="J44" s="2139"/>
      <c r="N44" s="2212"/>
      <c r="O44" s="2118"/>
      <c r="P44" s="2205">
        <f>J51</f>
        <v>0</v>
      </c>
    </row>
    <row r="45" spans="1:35" ht="14.4">
      <c r="A45" s="2136"/>
      <c r="B45" s="2203" t="s">
        <v>2332</v>
      </c>
      <c r="C45" s="2119" t="s">
        <v>3807</v>
      </c>
      <c r="D45" s="2119"/>
      <c r="E45" s="2119"/>
      <c r="F45" s="2121"/>
      <c r="H45" s="2119"/>
      <c r="J45" s="2139"/>
      <c r="N45" s="2212"/>
      <c r="O45" s="2118"/>
      <c r="P45" s="2206"/>
    </row>
    <row r="46" spans="1:35">
      <c r="C46" s="3891" t="s">
        <v>6845</v>
      </c>
      <c r="D46" s="3892"/>
      <c r="E46" s="3892"/>
      <c r="F46" s="3892"/>
      <c r="G46" s="3892"/>
      <c r="H46" s="3892"/>
      <c r="I46" s="3892"/>
      <c r="J46" s="3892"/>
      <c r="K46" s="3892"/>
      <c r="L46" s="3892"/>
      <c r="M46" s="3892"/>
      <c r="N46" s="3892"/>
      <c r="O46" s="3892"/>
      <c r="P46" s="3893"/>
      <c r="Q46" s="2207"/>
      <c r="R46" s="2207"/>
    </row>
    <row r="47" spans="1:35" ht="3" customHeight="1">
      <c r="A47" s="2208"/>
      <c r="B47" s="2209"/>
      <c r="C47" s="2210"/>
      <c r="D47" s="2155"/>
      <c r="K47" s="2211"/>
      <c r="L47" s="2211"/>
      <c r="M47" s="2121"/>
      <c r="N47" s="2212"/>
      <c r="O47" s="2132"/>
      <c r="P47" s="2132"/>
    </row>
    <row r="48" spans="1:35" s="2119" customFormat="1" ht="12.75" customHeight="1">
      <c r="A48" s="2136" t="s">
        <v>1843</v>
      </c>
      <c r="B48" s="2129" t="s">
        <v>679</v>
      </c>
      <c r="F48" s="2121"/>
      <c r="J48" s="2139"/>
      <c r="M48" s="2121"/>
      <c r="N48" s="2252" t="s">
        <v>1843</v>
      </c>
      <c r="P48" s="2213">
        <f>O51</f>
        <v>0</v>
      </c>
    </row>
    <row r="49" spans="1:20" ht="3" customHeight="1">
      <c r="A49" s="2208"/>
      <c r="B49" s="2209"/>
      <c r="C49" s="2210"/>
      <c r="D49" s="2155"/>
      <c r="K49" s="2211"/>
      <c r="L49" s="2211"/>
      <c r="M49" s="2121"/>
      <c r="N49" s="2212"/>
      <c r="O49" s="2132"/>
      <c r="P49" s="2132"/>
    </row>
    <row r="50" spans="1:20" s="2119" customFormat="1" ht="16.5" customHeight="1">
      <c r="A50" s="3894" t="s">
        <v>6875</v>
      </c>
      <c r="B50" s="3894"/>
      <c r="C50" s="3894"/>
      <c r="D50" s="3894"/>
      <c r="E50" s="3894"/>
      <c r="F50" s="2214" t="s">
        <v>3178</v>
      </c>
      <c r="G50" s="3894" t="s">
        <v>6876</v>
      </c>
      <c r="H50" s="3894"/>
      <c r="I50" s="3894"/>
      <c r="J50" s="2214" t="s">
        <v>3178</v>
      </c>
      <c r="K50" s="3905" t="s">
        <v>6877</v>
      </c>
      <c r="L50" s="3905"/>
      <c r="M50" s="3905"/>
      <c r="N50" s="3905"/>
      <c r="O50" s="3909" t="s">
        <v>3178</v>
      </c>
      <c r="P50" s="3910"/>
      <c r="R50" s="2207"/>
      <c r="S50" s="2215"/>
    </row>
    <row r="51" spans="1:20" s="2119" customFormat="1" ht="12.75" customHeight="1">
      <c r="A51" s="3895"/>
      <c r="B51" s="3895"/>
      <c r="C51" s="3895"/>
      <c r="D51" s="3895"/>
      <c r="E51" s="3895"/>
      <c r="F51" s="2216">
        <f>SUM(F52:F63)</f>
        <v>0</v>
      </c>
      <c r="G51" s="3896"/>
      <c r="H51" s="3895"/>
      <c r="I51" s="3897"/>
      <c r="J51" s="2216">
        <f>SUM(J52:J63)</f>
        <v>0</v>
      </c>
      <c r="K51" s="3906"/>
      <c r="L51" s="3907"/>
      <c r="M51" s="3907"/>
      <c r="N51" s="3908"/>
      <c r="O51" s="3911">
        <f>SUM(O52:O63)</f>
        <v>0</v>
      </c>
      <c r="P51" s="3912"/>
      <c r="Q51" s="2207"/>
      <c r="R51" s="2215"/>
    </row>
    <row r="52" spans="1:20" s="2119" customFormat="1" ht="29.25" customHeight="1">
      <c r="A52" s="3959">
        <v>1</v>
      </c>
      <c r="B52" s="3960"/>
      <c r="C52" s="3960"/>
      <c r="D52" s="3960"/>
      <c r="E52" s="3961"/>
      <c r="F52" s="2217"/>
      <c r="G52" s="3959">
        <v>1</v>
      </c>
      <c r="H52" s="3960"/>
      <c r="I52" s="3961"/>
      <c r="J52" s="2218" t="s">
        <v>1610</v>
      </c>
      <c r="K52" s="3962">
        <v>1</v>
      </c>
      <c r="L52" s="3963"/>
      <c r="M52" s="3963"/>
      <c r="N52" s="3963"/>
      <c r="O52" s="3964" t="s">
        <v>1610</v>
      </c>
      <c r="P52" s="3965"/>
      <c r="Q52" s="2250"/>
      <c r="R52" s="2215"/>
    </row>
    <row r="53" spans="1:20" s="2119" customFormat="1" ht="29.25" customHeight="1">
      <c r="A53" s="3918">
        <v>2</v>
      </c>
      <c r="B53" s="3919"/>
      <c r="C53" s="3919"/>
      <c r="D53" s="3919"/>
      <c r="E53" s="3920"/>
      <c r="F53" s="2219"/>
      <c r="G53" s="3918">
        <v>2</v>
      </c>
      <c r="H53" s="3919"/>
      <c r="I53" s="3920"/>
      <c r="J53" s="2219"/>
      <c r="K53" s="3921">
        <v>2</v>
      </c>
      <c r="L53" s="3922"/>
      <c r="M53" s="3922"/>
      <c r="N53" s="3922"/>
      <c r="O53" s="3877"/>
      <c r="P53" s="3878"/>
      <c r="Q53" s="2207"/>
      <c r="R53" s="2215"/>
    </row>
    <row r="54" spans="1:20" s="2119" customFormat="1" ht="29.25" customHeight="1">
      <c r="A54" s="3918">
        <v>3</v>
      </c>
      <c r="B54" s="3919"/>
      <c r="C54" s="3919"/>
      <c r="D54" s="3919"/>
      <c r="E54" s="3920"/>
      <c r="F54" s="2219"/>
      <c r="G54" s="3918">
        <v>3</v>
      </c>
      <c r="H54" s="3919"/>
      <c r="I54" s="3920"/>
      <c r="J54" s="2220"/>
      <c r="K54" s="3921">
        <v>3</v>
      </c>
      <c r="L54" s="3922"/>
      <c r="M54" s="3922"/>
      <c r="N54" s="3922"/>
      <c r="O54" s="3877"/>
      <c r="P54" s="3878"/>
      <c r="Q54" s="2402"/>
      <c r="R54" s="2148"/>
      <c r="S54" s="2148"/>
      <c r="T54" s="2148"/>
    </row>
    <row r="55" spans="1:20" s="2119" customFormat="1" ht="29.25" customHeight="1">
      <c r="A55" s="3918">
        <v>4</v>
      </c>
      <c r="B55" s="3919"/>
      <c r="C55" s="3919"/>
      <c r="D55" s="3919"/>
      <c r="E55" s="3920"/>
      <c r="F55" s="2219"/>
      <c r="G55" s="3918">
        <v>4</v>
      </c>
      <c r="H55" s="3919"/>
      <c r="I55" s="3920"/>
      <c r="J55" s="2219"/>
      <c r="K55" s="3921">
        <v>4</v>
      </c>
      <c r="L55" s="3922"/>
      <c r="M55" s="3922"/>
      <c r="N55" s="3922"/>
      <c r="O55" s="3877"/>
      <c r="P55" s="3878"/>
      <c r="Q55" s="2402"/>
      <c r="R55" s="2148"/>
      <c r="S55" s="2148"/>
      <c r="T55" s="2148"/>
    </row>
    <row r="56" spans="1:20" s="2119" customFormat="1" ht="29.25" customHeight="1">
      <c r="A56" s="3918">
        <v>5</v>
      </c>
      <c r="B56" s="3919"/>
      <c r="C56" s="3919"/>
      <c r="D56" s="3919"/>
      <c r="E56" s="3920"/>
      <c r="F56" s="2219"/>
      <c r="G56" s="3918">
        <v>5</v>
      </c>
      <c r="H56" s="3919"/>
      <c r="I56" s="3920"/>
      <c r="J56" s="2220"/>
      <c r="K56" s="3921">
        <v>5</v>
      </c>
      <c r="L56" s="3922"/>
      <c r="M56" s="3922"/>
      <c r="N56" s="3922"/>
      <c r="O56" s="3877"/>
      <c r="P56" s="3878"/>
      <c r="Q56" s="2402"/>
      <c r="R56" s="2148"/>
      <c r="S56" s="2148"/>
      <c r="T56" s="2148"/>
    </row>
    <row r="57" spans="1:20" s="2119" customFormat="1" ht="29.25" customHeight="1">
      <c r="A57" s="3918">
        <v>6</v>
      </c>
      <c r="B57" s="3919"/>
      <c r="C57" s="3919"/>
      <c r="D57" s="3919"/>
      <c r="E57" s="3920"/>
      <c r="F57" s="2219"/>
      <c r="G57" s="3918">
        <v>6</v>
      </c>
      <c r="H57" s="3919"/>
      <c r="I57" s="3920"/>
      <c r="J57" s="2219"/>
      <c r="K57" s="3921">
        <v>6</v>
      </c>
      <c r="L57" s="3922"/>
      <c r="M57" s="3922"/>
      <c r="N57" s="3922"/>
      <c r="O57" s="3877"/>
      <c r="P57" s="3878"/>
      <c r="Q57" s="2402"/>
      <c r="R57" s="2148"/>
    </row>
    <row r="58" spans="1:20" s="2119" customFormat="1" ht="29.25" customHeight="1">
      <c r="A58" s="3918">
        <v>7</v>
      </c>
      <c r="B58" s="3919"/>
      <c r="C58" s="3919"/>
      <c r="D58" s="3919"/>
      <c r="E58" s="3920"/>
      <c r="F58" s="2219"/>
      <c r="G58" s="3918">
        <v>7</v>
      </c>
      <c r="H58" s="3919"/>
      <c r="I58" s="3920"/>
      <c r="J58" s="2220"/>
      <c r="K58" s="3921">
        <v>7</v>
      </c>
      <c r="L58" s="3922"/>
      <c r="M58" s="3922"/>
      <c r="N58" s="3922"/>
      <c r="O58" s="3877"/>
      <c r="P58" s="3878"/>
      <c r="Q58" s="2215"/>
      <c r="R58" s="2215"/>
    </row>
    <row r="59" spans="1:20" s="2119" customFormat="1" ht="29.25" customHeight="1">
      <c r="A59" s="3918">
        <v>8</v>
      </c>
      <c r="B59" s="3919"/>
      <c r="C59" s="3919"/>
      <c r="D59" s="3919"/>
      <c r="E59" s="3920"/>
      <c r="F59" s="2219"/>
      <c r="G59" s="3918">
        <v>8</v>
      </c>
      <c r="H59" s="3919"/>
      <c r="I59" s="3920"/>
      <c r="J59" s="2219"/>
      <c r="K59" s="3921">
        <v>8</v>
      </c>
      <c r="L59" s="3922"/>
      <c r="M59" s="3922"/>
      <c r="N59" s="3922"/>
      <c r="O59" s="3877"/>
      <c r="P59" s="3878"/>
      <c r="Q59" s="2215"/>
      <c r="R59" s="2215"/>
    </row>
    <row r="60" spans="1:20" s="2119" customFormat="1" ht="29.25" customHeight="1">
      <c r="A60" s="3918">
        <v>9</v>
      </c>
      <c r="B60" s="3919"/>
      <c r="C60" s="3919"/>
      <c r="D60" s="3919"/>
      <c r="E60" s="3920"/>
      <c r="F60" s="2219"/>
      <c r="G60" s="3918">
        <v>9</v>
      </c>
      <c r="H60" s="3919"/>
      <c r="I60" s="3920"/>
      <c r="J60" s="2220"/>
      <c r="K60" s="3921">
        <v>9</v>
      </c>
      <c r="L60" s="3922"/>
      <c r="M60" s="3922"/>
      <c r="N60" s="3922"/>
      <c r="O60" s="3877"/>
      <c r="P60" s="3878"/>
      <c r="Q60" s="2215"/>
      <c r="R60" s="2215"/>
    </row>
    <row r="61" spans="1:20" s="2119" customFormat="1" ht="29.25" customHeight="1">
      <c r="A61" s="3918">
        <v>10</v>
      </c>
      <c r="B61" s="3919"/>
      <c r="C61" s="3919"/>
      <c r="D61" s="3919"/>
      <c r="E61" s="3920"/>
      <c r="F61" s="2219"/>
      <c r="G61" s="3918">
        <v>10</v>
      </c>
      <c r="H61" s="3919"/>
      <c r="I61" s="3920"/>
      <c r="J61" s="2219"/>
      <c r="K61" s="3921">
        <v>10</v>
      </c>
      <c r="L61" s="3922"/>
      <c r="M61" s="3922"/>
      <c r="N61" s="3922"/>
      <c r="O61" s="3877"/>
      <c r="P61" s="3878"/>
      <c r="Q61" s="2215"/>
    </row>
    <row r="62" spans="1:20" s="2119" customFormat="1" ht="29.25" customHeight="1">
      <c r="A62" s="3918">
        <v>11</v>
      </c>
      <c r="B62" s="3919"/>
      <c r="C62" s="3919"/>
      <c r="D62" s="3919"/>
      <c r="E62" s="3920"/>
      <c r="F62" s="2219"/>
      <c r="G62" s="3918">
        <v>11</v>
      </c>
      <c r="H62" s="3919"/>
      <c r="I62" s="3920"/>
      <c r="J62" s="2220"/>
      <c r="K62" s="3918">
        <v>11</v>
      </c>
      <c r="L62" s="3919"/>
      <c r="M62" s="3919"/>
      <c r="N62" s="3920"/>
      <c r="O62" s="3877"/>
      <c r="P62" s="3878"/>
      <c r="Q62" s="2215"/>
      <c r="R62" s="2215"/>
    </row>
    <row r="63" spans="1:20" s="2119" customFormat="1" ht="29.25" customHeight="1">
      <c r="A63" s="3970">
        <v>12</v>
      </c>
      <c r="B63" s="3971"/>
      <c r="C63" s="3971"/>
      <c r="D63" s="3971"/>
      <c r="E63" s="3972"/>
      <c r="F63" s="2221"/>
      <c r="G63" s="3970">
        <v>12</v>
      </c>
      <c r="H63" s="3971"/>
      <c r="I63" s="3972"/>
      <c r="J63" s="2221"/>
      <c r="K63" s="3970">
        <v>12</v>
      </c>
      <c r="L63" s="3971"/>
      <c r="M63" s="3971"/>
      <c r="N63" s="3972"/>
      <c r="O63" s="3973"/>
      <c r="P63" s="3974"/>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5.9" customHeight="1" thickBot="1">
      <c r="A66" s="2140" t="s">
        <v>1666</v>
      </c>
      <c r="B66" s="2141" t="s">
        <v>3148</v>
      </c>
      <c r="G66" s="2129"/>
      <c r="I66" s="2129"/>
      <c r="J66" s="2208"/>
      <c r="K66" s="2122"/>
      <c r="L66" s="2208"/>
      <c r="M66" s="2122">
        <v>3</v>
      </c>
      <c r="N66" s="2121"/>
      <c r="O66" s="2200">
        <f>IF($F$36="New Supply",MIN($M$66,O68+O72),0)</f>
        <v>0</v>
      </c>
      <c r="P66" s="2200">
        <f>IF($F$36="New Supply",MIN($M$66,P68+P72),0)</f>
        <v>0</v>
      </c>
      <c r="Q66" s="2201" t="s">
        <v>416</v>
      </c>
      <c r="S66" s="2225"/>
    </row>
    <row r="67" spans="1:19" ht="15.9" hidden="1" customHeight="1">
      <c r="A67" s="2226"/>
      <c r="B67" s="2227"/>
      <c r="E67" s="2119"/>
      <c r="F67" s="2118" t="s">
        <v>3818</v>
      </c>
      <c r="G67" s="2225"/>
      <c r="H67" s="2119"/>
      <c r="I67" s="2141"/>
      <c r="K67" s="2228"/>
      <c r="L67" s="2229"/>
      <c r="M67" s="2122"/>
      <c r="N67" s="2121"/>
      <c r="O67" s="2131"/>
      <c r="P67" s="2131"/>
      <c r="Q67" s="2201"/>
      <c r="R67" s="2230"/>
    </row>
    <row r="68" spans="1:19" s="2119" customFormat="1" ht="15.9" customHeight="1">
      <c r="A68" s="2136" t="s">
        <v>1841</v>
      </c>
      <c r="B68" s="2231" t="s">
        <v>6878</v>
      </c>
      <c r="C68" s="2253"/>
      <c r="D68" s="2253"/>
      <c r="E68" s="2253"/>
      <c r="F68" s="2253"/>
      <c r="G68" s="2118" t="s">
        <v>6646</v>
      </c>
      <c r="J68" s="2232" t="str">
        <f>'Part V-Revenues &amp; Expenses'!$O$53</f>
        <v>40% of Units at 60% of AMI</v>
      </c>
      <c r="L68" s="2253"/>
      <c r="M68" s="2122">
        <v>2</v>
      </c>
      <c r="N68" s="2212"/>
      <c r="O68" s="2234">
        <f>IF($F$36="New Supply",MIN($M68,O69+O70),0)</f>
        <v>0</v>
      </c>
      <c r="P68" s="2234">
        <f>IF($F$36="New Supply",MIN($M68,P69+P70),0)</f>
        <v>0</v>
      </c>
    </row>
    <row r="69" spans="1:19" s="2119" customFormat="1" ht="15.9" customHeight="1">
      <c r="A69" s="2136"/>
      <c r="B69" s="2330"/>
      <c r="C69" s="2235" t="s">
        <v>3813</v>
      </c>
      <c r="G69" s="2119" t="s">
        <v>3814</v>
      </c>
      <c r="I69" s="2236"/>
      <c r="J69" s="2237">
        <f>'Part V-Revenues &amp; Expenses'!$B$50</f>
        <v>60</v>
      </c>
      <c r="L69" s="2183"/>
      <c r="M69" s="2121">
        <v>2</v>
      </c>
      <c r="N69" s="2370"/>
      <c r="O69" s="2238"/>
      <c r="P69" s="2239"/>
      <c r="Q69" s="2240" t="str">
        <f>IF(OR($O69=$M69,$O69=0,$O69=""),"","*CHECK!*")</f>
        <v/>
      </c>
      <c r="R69" s="2303"/>
    </row>
    <row r="70" spans="1:19" s="2119" customFormat="1" ht="15.9" customHeight="1">
      <c r="A70" s="2233"/>
      <c r="B70" s="2330"/>
      <c r="C70" s="2235" t="s">
        <v>3815</v>
      </c>
      <c r="I70" s="2236"/>
      <c r="K70" s="2183"/>
      <c r="L70" s="2183"/>
      <c r="M70" s="2121">
        <v>2</v>
      </c>
      <c r="N70" s="2370"/>
      <c r="O70" s="2241"/>
      <c r="P70" s="2242"/>
      <c r="Q70" s="2240" t="str">
        <f>IF(OR($O70=$M70,$O70=0,$O70=""),"","*CHECK!*")</f>
        <v/>
      </c>
      <c r="R70" s="2303"/>
    </row>
    <row r="71" spans="1:19" ht="15.9" hidden="1" customHeight="1">
      <c r="A71" s="2208"/>
      <c r="B71" s="2209"/>
      <c r="C71" s="2210"/>
      <c r="D71" s="2155"/>
      <c r="K71" s="2211"/>
      <c r="L71" s="2211"/>
      <c r="M71" s="2121"/>
      <c r="N71" s="2212"/>
      <c r="O71" s="2132"/>
      <c r="P71" s="2132"/>
    </row>
    <row r="72" spans="1:19" ht="15.9" customHeight="1">
      <c r="A72" s="2136" t="s">
        <v>1843</v>
      </c>
      <c r="B72" s="2231" t="s">
        <v>6881</v>
      </c>
      <c r="G72" s="2184" t="s">
        <v>6846</v>
      </c>
      <c r="I72" s="2403"/>
      <c r="J72" s="2243">
        <f>IF(OR('Part V-Revenues &amp; Expenses'!$P$65="", 'Part V-Revenues &amp; Expenses'!$P$65=0),0,'Part V-Revenues &amp; Expenses'!$P$100/'Part V-Revenues &amp; Expenses'!$P$65)</f>
        <v>0.9</v>
      </c>
      <c r="M72" s="2122">
        <v>3</v>
      </c>
      <c r="N72" s="2308"/>
      <c r="O72" s="2306"/>
      <c r="P72" s="2307"/>
    </row>
    <row r="73" spans="1:19" ht="15.9" customHeight="1">
      <c r="A73" s="2119"/>
      <c r="B73" s="2246" t="s">
        <v>1730</v>
      </c>
      <c r="D73" s="2247"/>
      <c r="E73" s="2159"/>
      <c r="F73" s="2159"/>
      <c r="G73" s="2159"/>
      <c r="H73" s="2159"/>
      <c r="I73" s="2159"/>
      <c r="J73" s="2159"/>
      <c r="K73" s="2159"/>
      <c r="L73" s="2159"/>
      <c r="M73" s="2159"/>
      <c r="N73" s="2248"/>
      <c r="O73" s="2249"/>
      <c r="P73" s="2122"/>
    </row>
    <row r="74" spans="1:19" ht="15.9" customHeight="1">
      <c r="A74" s="3891"/>
      <c r="B74" s="3892"/>
      <c r="C74" s="3892"/>
      <c r="D74" s="3892"/>
      <c r="E74" s="3892"/>
      <c r="F74" s="3892"/>
      <c r="G74" s="3892"/>
      <c r="H74" s="3892"/>
      <c r="I74" s="3892"/>
      <c r="J74" s="3892"/>
      <c r="K74" s="3892"/>
      <c r="L74" s="3892"/>
      <c r="M74" s="3892"/>
      <c r="N74" s="3892"/>
      <c r="O74" s="3892"/>
      <c r="P74" s="3893"/>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5.9" customHeight="1" thickBot="1">
      <c r="A77" s="2140" t="s">
        <v>1668</v>
      </c>
      <c r="B77" s="2141" t="s">
        <v>3368</v>
      </c>
      <c r="M77" s="2122">
        <f>IF(AND($AQ$422="4%",$F$36="New Supply"),$AH$423,IF(AND($AQ$422="4%",$F$36="Preservation"),$AI$423,$AG$423))</f>
        <v>0</v>
      </c>
      <c r="N77" s="2252"/>
      <c r="O77" s="2200">
        <f>IF(NOT($F$36="New Supply"),0,IF(OR($M78-O79&lt;0,O78-O79&lt;0),0,IF(O78&lt;=$M78,O78-O79,IF(O78&gt;$M78,$M78-O79,0))))</f>
        <v>0</v>
      </c>
      <c r="P77" s="2200">
        <f>IF(NOT($F$36="New Supply"),0,IF(OR($M78-P79&lt;0,P78-P79&lt;0),0,IF(P78&lt;=$M78,P78-P79,IF(P78&gt;$M78,$M78-P79,0))))</f>
        <v>0</v>
      </c>
      <c r="Q77" s="2201" t="s">
        <v>416</v>
      </c>
    </row>
    <row r="78" spans="1:19" s="2119" customFormat="1" ht="15.9" customHeight="1">
      <c r="A78" s="2136" t="s">
        <v>1841</v>
      </c>
      <c r="B78" s="2129" t="s">
        <v>1737</v>
      </c>
      <c r="C78" s="2129"/>
      <c r="D78" s="2129"/>
      <c r="F78" s="2129"/>
      <c r="H78" s="2252"/>
      <c r="I78" s="2116"/>
      <c r="J78" s="2116"/>
      <c r="K78" s="2116"/>
      <c r="L78" s="2116"/>
      <c r="M78" s="2121">
        <v>20</v>
      </c>
      <c r="N78" s="2370"/>
      <c r="O78" s="2407"/>
      <c r="P78" s="2408"/>
      <c r="Q78" s="2240"/>
      <c r="R78" s="2303"/>
    </row>
    <row r="79" spans="1:19" s="2119" customFormat="1" ht="15.9" customHeight="1">
      <c r="A79" s="2136" t="s">
        <v>1843</v>
      </c>
      <c r="B79" s="2129" t="s">
        <v>3280</v>
      </c>
      <c r="H79" s="2252"/>
      <c r="I79" s="2116"/>
      <c r="J79" s="2116"/>
      <c r="K79" s="2116"/>
      <c r="L79" s="2116"/>
      <c r="M79" s="2121" t="s">
        <v>1164</v>
      </c>
      <c r="N79" s="2252"/>
      <c r="O79" s="2407"/>
      <c r="P79" s="2408"/>
      <c r="R79" s="2303"/>
    </row>
    <row r="80" spans="1:19" ht="15.9" customHeight="1" thickBot="1">
      <c r="A80" s="2119"/>
      <c r="B80" s="2258" t="s">
        <v>3241</v>
      </c>
      <c r="C80" s="2119"/>
      <c r="D80" s="2119"/>
      <c r="E80" s="2119"/>
      <c r="F80" s="2119"/>
      <c r="G80" s="2119"/>
      <c r="H80" s="2119"/>
      <c r="I80" s="2404"/>
      <c r="J80" s="2404"/>
      <c r="K80" s="2404"/>
      <c r="L80" s="2404"/>
      <c r="M80" s="2121"/>
      <c r="O80" s="2131"/>
    </row>
    <row r="81" spans="1:21" ht="15.9" customHeight="1" thickTop="1" thickBot="1">
      <c r="A81" s="3955" t="s">
        <v>7116</v>
      </c>
      <c r="B81" s="3956"/>
      <c r="C81" s="3956"/>
      <c r="D81" s="3956"/>
      <c r="E81" s="3956"/>
      <c r="F81" s="3956"/>
      <c r="G81" s="3956"/>
      <c r="H81" s="3956"/>
      <c r="I81" s="3956"/>
      <c r="J81" s="3956"/>
      <c r="K81" s="3956"/>
      <c r="L81" s="3956"/>
      <c r="M81" s="3956"/>
      <c r="N81" s="3956"/>
      <c r="O81" s="3956"/>
      <c r="P81" s="3957"/>
      <c r="Q81" s="2207"/>
      <c r="R81" s="2207"/>
    </row>
    <row r="82" spans="1:21" ht="15.9" customHeight="1" thickTop="1">
      <c r="A82" s="2119"/>
      <c r="B82" s="2139" t="s">
        <v>1730</v>
      </c>
      <c r="C82" s="2119"/>
      <c r="D82" s="2259"/>
      <c r="E82" s="2159"/>
      <c r="F82" s="2159"/>
      <c r="G82" s="2159"/>
      <c r="H82" s="2159"/>
      <c r="I82" s="2159"/>
      <c r="J82" s="2159"/>
      <c r="K82" s="2159"/>
      <c r="L82" s="2159"/>
      <c r="M82" s="2159"/>
      <c r="N82" s="2248"/>
      <c r="O82" s="2249"/>
      <c r="P82" s="2122"/>
    </row>
    <row r="83" spans="1:21" ht="15.9" customHeight="1">
      <c r="A83" s="3891"/>
      <c r="B83" s="3892"/>
      <c r="C83" s="3892"/>
      <c r="D83" s="3892"/>
      <c r="E83" s="3892"/>
      <c r="F83" s="3892"/>
      <c r="G83" s="3892"/>
      <c r="H83" s="3892"/>
      <c r="I83" s="3892"/>
      <c r="J83" s="3892"/>
      <c r="K83" s="3892"/>
      <c r="L83" s="3892"/>
      <c r="M83" s="3892"/>
      <c r="N83" s="3892"/>
      <c r="O83" s="3892"/>
      <c r="P83" s="3893"/>
      <c r="Q83" s="2250"/>
      <c r="R83" s="2207"/>
    </row>
    <row r="84" spans="1:21" ht="9" customHeight="1">
      <c r="M84" s="2119"/>
      <c r="N84" s="2121"/>
      <c r="O84" s="2122"/>
      <c r="P84" s="2122"/>
    </row>
    <row r="85" spans="1:21" s="2260" customFormat="1" ht="9" customHeight="1" thickBot="1">
      <c r="M85" s="2261"/>
      <c r="N85" s="2262"/>
      <c r="O85" s="2263"/>
      <c r="P85" s="2263"/>
    </row>
    <row r="86" spans="1:21" ht="15.9" customHeight="1" thickBot="1">
      <c r="A86" s="2140" t="s">
        <v>496</v>
      </c>
      <c r="B86" s="2141" t="s">
        <v>2414</v>
      </c>
      <c r="H86" s="2405"/>
      <c r="I86" s="2231"/>
      <c r="J86" s="2208"/>
      <c r="K86" s="2122"/>
      <c r="L86" s="2208"/>
      <c r="M86" s="2122">
        <v>6</v>
      </c>
      <c r="N86" s="2252"/>
      <c r="O86" s="2264">
        <f>IF($F$36="New Supply",MAX(O94,O97),0)</f>
        <v>0</v>
      </c>
      <c r="P86" s="2264">
        <f>IF($F$36="New Supply",MAX(P94,P97),0)</f>
        <v>0</v>
      </c>
      <c r="Q86" s="2201" t="s">
        <v>416</v>
      </c>
      <c r="R86" s="2265"/>
      <c r="S86" s="2269" t="s">
        <v>6264</v>
      </c>
      <c r="T86" s="2269" t="s">
        <v>6145</v>
      </c>
      <c r="U86" s="2265"/>
    </row>
    <row r="87" spans="1:21" ht="15.9" hidden="1" customHeight="1">
      <c r="A87" s="2140"/>
      <c r="B87" s="2141"/>
      <c r="H87" s="2141"/>
      <c r="I87" s="2139"/>
      <c r="J87" s="2119"/>
      <c r="K87" s="2119"/>
      <c r="M87" s="2122"/>
      <c r="N87" s="2252"/>
      <c r="O87" s="2131"/>
      <c r="P87" s="2131"/>
      <c r="Q87" s="2201"/>
      <c r="R87" s="2265"/>
      <c r="S87" s="2273">
        <v>0.25</v>
      </c>
      <c r="T87" s="2273">
        <v>5</v>
      </c>
      <c r="U87" s="2265"/>
    </row>
    <row r="88" spans="1:21" ht="15.9" customHeight="1">
      <c r="A88" s="2140"/>
      <c r="B88" s="2119" t="s">
        <v>3327</v>
      </c>
      <c r="F88" s="3958" t="s">
        <v>3215</v>
      </c>
      <c r="G88" s="3958"/>
      <c r="H88" s="3958"/>
      <c r="I88" s="3958"/>
      <c r="J88" s="3958" t="s">
        <v>3216</v>
      </c>
      <c r="K88" s="3958"/>
      <c r="L88" s="3958"/>
      <c r="M88" s="3958"/>
      <c r="N88" s="2252"/>
      <c r="O88" s="4129" t="s">
        <v>6847</v>
      </c>
      <c r="P88" s="4129"/>
      <c r="R88" s="2155"/>
      <c r="S88" s="2273">
        <v>0.5</v>
      </c>
      <c r="T88" s="2273">
        <v>4.5</v>
      </c>
      <c r="U88" s="2265"/>
    </row>
    <row r="89" spans="1:21" ht="15.9" customHeight="1">
      <c r="B89" s="2270"/>
      <c r="C89" s="2413" t="s">
        <v>6848</v>
      </c>
      <c r="F89" s="3966"/>
      <c r="G89" s="3967"/>
      <c r="H89" s="3968"/>
      <c r="I89" s="3969"/>
      <c r="J89" s="3966"/>
      <c r="K89" s="3967"/>
      <c r="L89" s="3968"/>
      <c r="M89" s="3969"/>
      <c r="N89" s="2118"/>
      <c r="O89" s="4130"/>
      <c r="P89" s="4130"/>
      <c r="R89" s="2272" t="s">
        <v>6671</v>
      </c>
      <c r="S89" s="2278">
        <v>1</v>
      </c>
      <c r="T89" s="2278">
        <v>4</v>
      </c>
      <c r="U89" s="2265"/>
    </row>
    <row r="90" spans="1:21" ht="15.9" customHeight="1">
      <c r="A90" s="2270"/>
      <c r="B90" s="2156"/>
      <c r="C90" s="2413" t="s">
        <v>6849</v>
      </c>
      <c r="F90" s="3977"/>
      <c r="G90" s="3978"/>
      <c r="H90" s="3979"/>
      <c r="I90" s="3980"/>
      <c r="J90" s="3977"/>
      <c r="K90" s="3978"/>
      <c r="L90" s="3979"/>
      <c r="M90" s="3980"/>
      <c r="N90" s="2252"/>
      <c r="O90" s="2274"/>
      <c r="P90" s="2275"/>
      <c r="R90" s="2276"/>
      <c r="S90" s="2279">
        <v>0.25</v>
      </c>
      <c r="T90" s="2279">
        <v>3</v>
      </c>
      <c r="U90" s="2265"/>
    </row>
    <row r="91" spans="1:21" ht="15.9" customHeight="1">
      <c r="A91" s="2156"/>
      <c r="B91" s="3975" t="s">
        <v>6887</v>
      </c>
      <c r="C91" s="3975"/>
      <c r="D91" s="3975"/>
      <c r="E91" s="3975"/>
      <c r="F91" s="2137" t="s">
        <v>6850</v>
      </c>
      <c r="G91" s="3951" t="s">
        <v>1672</v>
      </c>
      <c r="H91" s="3951"/>
      <c r="I91" s="3951"/>
      <c r="J91" s="3951" t="s">
        <v>6884</v>
      </c>
      <c r="K91" s="3951"/>
      <c r="L91" s="3951"/>
      <c r="M91" s="3951"/>
      <c r="N91" s="3951"/>
      <c r="O91" s="3951"/>
      <c r="P91" s="3951"/>
      <c r="R91" s="2277"/>
      <c r="S91" s="2273">
        <v>0.5</v>
      </c>
      <c r="T91" s="2273">
        <v>2</v>
      </c>
      <c r="U91" s="2265"/>
    </row>
    <row r="92" spans="1:21" ht="15.9" customHeight="1">
      <c r="A92" s="2156"/>
      <c r="B92" s="4089"/>
      <c r="C92" s="4089"/>
      <c r="D92" s="4089"/>
      <c r="E92" s="4089"/>
      <c r="F92" s="2409"/>
      <c r="G92" s="3976"/>
      <c r="H92" s="3976"/>
      <c r="I92" s="3976"/>
      <c r="J92" s="3976"/>
      <c r="K92" s="3976"/>
      <c r="L92" s="3976"/>
      <c r="M92" s="3976"/>
      <c r="N92" s="3976"/>
      <c r="O92" s="3976"/>
      <c r="P92" s="3976"/>
      <c r="R92" s="2272" t="s">
        <v>6672</v>
      </c>
      <c r="S92" s="2278">
        <v>1</v>
      </c>
      <c r="T92" s="2278">
        <v>1</v>
      </c>
      <c r="U92" s="2265"/>
    </row>
    <row r="93" spans="1:21" ht="15.9" hidden="1" customHeight="1">
      <c r="A93" s="2138"/>
      <c r="B93" s="2141"/>
      <c r="F93" s="2280"/>
      <c r="M93" s="2122"/>
      <c r="N93" s="2122"/>
      <c r="O93" s="2122"/>
      <c r="P93" s="2122"/>
      <c r="Q93" s="2201"/>
      <c r="R93" s="2265"/>
      <c r="S93" s="2265"/>
      <c r="T93" s="2265"/>
      <c r="U93" s="2265"/>
    </row>
    <row r="94" spans="1:21" ht="15.9" customHeight="1">
      <c r="A94" s="2281" t="s">
        <v>1841</v>
      </c>
      <c r="B94" s="2129" t="s">
        <v>3238</v>
      </c>
      <c r="F94" s="2258"/>
      <c r="M94" s="2122">
        <v>6</v>
      </c>
      <c r="N94" s="2212"/>
      <c r="O94" s="2282">
        <f>IF(OR($J$36="Atlanta Metro",$J$36="Other Metro",$J$36="N/A-4%"),MIN($M94,O95+O96),0)</f>
        <v>0</v>
      </c>
      <c r="P94" s="2282">
        <f>IF(OR($J$36="Atlanta Metro",$J$36="Other Metro",$J$36="N/A-4%"),MIN($M94,P95+P96),0)</f>
        <v>0</v>
      </c>
      <c r="Q94" s="2201"/>
    </row>
    <row r="95" spans="1:21" s="2155" customFormat="1" ht="32.1" customHeight="1">
      <c r="B95" s="2283" t="s">
        <v>1844</v>
      </c>
      <c r="C95" s="3872" t="s">
        <v>6879</v>
      </c>
      <c r="D95" s="3872"/>
      <c r="E95" s="3872"/>
      <c r="F95" s="3872"/>
      <c r="G95" s="3872"/>
      <c r="H95" s="3872"/>
      <c r="I95" s="3872"/>
      <c r="J95" s="3872"/>
      <c r="K95" s="3872"/>
      <c r="L95" s="3872"/>
      <c r="M95" s="2284">
        <v>6</v>
      </c>
      <c r="N95" s="2406"/>
      <c r="O95" s="2285"/>
      <c r="P95" s="2286"/>
      <c r="S95" s="2303"/>
    </row>
    <row r="96" spans="1:21" s="2155" customFormat="1" ht="15.9" customHeight="1">
      <c r="A96" s="2208" t="s">
        <v>1275</v>
      </c>
      <c r="B96" s="2283" t="s">
        <v>1846</v>
      </c>
      <c r="C96" s="2119" t="s">
        <v>6880</v>
      </c>
      <c r="D96" s="2119"/>
      <c r="E96" s="2119"/>
      <c r="F96" s="2119"/>
      <c r="G96" s="2119"/>
      <c r="H96" s="2119"/>
      <c r="I96" s="2119"/>
      <c r="J96" s="3939"/>
      <c r="K96" s="3939"/>
      <c r="L96" s="3939"/>
      <c r="M96" s="2121">
        <v>5</v>
      </c>
      <c r="N96" s="2142"/>
      <c r="O96" s="2256"/>
      <c r="P96" s="2257"/>
    </row>
    <row r="97" spans="1:21" s="2155" customFormat="1" ht="15.9" customHeight="1">
      <c r="A97" s="2281" t="s">
        <v>1843</v>
      </c>
      <c r="B97" s="2287" t="s">
        <v>3239</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0</v>
      </c>
      <c r="P97" s="2234">
        <f>IF(OR(AND(P98&gt;0,P99&gt;0,P100&gt;0), AND(P98&gt;0,P99&gt;0), AND(P99&gt;0,P100&gt;0), AND(P98&gt;0,P100&gt;0)),"Choose", IF(AND(OR($J$36="Atlanta Metro",$J$36="Other Metro",$J$36="N/A-4%"),SUM(P98,P99,P100)&gt;0), MIN($M97,P98+P99), IF(AND(OR($J$36="Rural"),SUM(P98,P99,P100)&gt;0), MIN($M97,P100),0)))</f>
        <v>0</v>
      </c>
    </row>
    <row r="98" spans="1:21" ht="15.9" customHeight="1">
      <c r="A98" s="2140"/>
      <c r="B98" s="2290" t="s">
        <v>1844</v>
      </c>
      <c r="C98" s="2119" t="s">
        <v>6851</v>
      </c>
      <c r="D98" s="2253"/>
      <c r="E98" s="2253"/>
      <c r="F98" s="2253"/>
      <c r="G98" s="2253"/>
      <c r="H98" s="2253"/>
      <c r="I98" s="2253"/>
      <c r="J98" s="2291"/>
      <c r="K98" s="2291"/>
      <c r="L98" s="2291"/>
      <c r="M98" s="2121">
        <v>3</v>
      </c>
      <c r="N98" s="2142"/>
      <c r="O98" s="2292"/>
      <c r="P98" s="2293"/>
      <c r="U98" s="2155"/>
    </row>
    <row r="99" spans="1:21" ht="15.9" customHeight="1">
      <c r="A99" s="2208" t="s">
        <v>1275</v>
      </c>
      <c r="B99" s="2290" t="s">
        <v>1846</v>
      </c>
      <c r="C99" s="2119" t="s">
        <v>6886</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2332</v>
      </c>
      <c r="C100" s="3872" t="s">
        <v>6885</v>
      </c>
      <c r="D100" s="3872"/>
      <c r="E100" s="3872"/>
      <c r="F100" s="3872"/>
      <c r="G100" s="3872"/>
      <c r="H100" s="3872"/>
      <c r="I100" s="3872"/>
      <c r="J100" s="3872"/>
      <c r="K100" s="3872"/>
      <c r="L100" s="3872"/>
      <c r="M100" s="2284">
        <v>2</v>
      </c>
      <c r="N100" s="2406"/>
      <c r="O100" s="2411"/>
      <c r="P100" s="2412"/>
    </row>
    <row r="101" spans="1:21" ht="15.9" customHeight="1" thickBot="1">
      <c r="A101" s="2119"/>
      <c r="B101" s="2258" t="s">
        <v>3241</v>
      </c>
      <c r="C101" s="2119"/>
      <c r="D101" s="2119"/>
      <c r="E101" s="2119"/>
      <c r="F101" s="2119"/>
      <c r="G101" s="2119"/>
      <c r="H101" s="2119"/>
      <c r="K101" s="2119"/>
      <c r="M101" s="2121"/>
      <c r="O101" s="2131"/>
    </row>
    <row r="102" spans="1:21" ht="15.9" customHeight="1" thickTop="1" thickBot="1">
      <c r="A102" s="3955" t="s">
        <v>7116</v>
      </c>
      <c r="B102" s="3956"/>
      <c r="C102" s="3956"/>
      <c r="D102" s="3956"/>
      <c r="E102" s="3956"/>
      <c r="F102" s="3956"/>
      <c r="G102" s="3956"/>
      <c r="H102" s="3956"/>
      <c r="I102" s="3956"/>
      <c r="J102" s="3956"/>
      <c r="K102" s="3956"/>
      <c r="L102" s="3956"/>
      <c r="M102" s="3956"/>
      <c r="N102" s="3956"/>
      <c r="O102" s="3956"/>
      <c r="P102" s="3957"/>
      <c r="Q102" s="2207"/>
      <c r="R102" s="2207"/>
    </row>
    <row r="103" spans="1:21" s="2119" customFormat="1" ht="15.9" customHeight="1" thickTop="1">
      <c r="B103" s="2246" t="s">
        <v>1730</v>
      </c>
      <c r="D103" s="2246"/>
      <c r="E103" s="2297"/>
      <c r="F103" s="2297"/>
      <c r="G103" s="2297"/>
      <c r="H103" s="2297"/>
      <c r="I103" s="2297"/>
      <c r="J103" s="2297"/>
      <c r="K103" s="2297"/>
      <c r="L103" s="2297"/>
      <c r="M103" s="2297"/>
      <c r="N103" s="2266"/>
      <c r="O103" s="2123"/>
      <c r="P103" s="2122"/>
      <c r="Q103" s="2118"/>
    </row>
    <row r="104" spans="1:21" ht="15.9" customHeight="1">
      <c r="A104" s="3891"/>
      <c r="B104" s="3892"/>
      <c r="C104" s="3892"/>
      <c r="D104" s="3892"/>
      <c r="E104" s="3892"/>
      <c r="F104" s="3892"/>
      <c r="G104" s="3892"/>
      <c r="H104" s="3892"/>
      <c r="I104" s="3892"/>
      <c r="J104" s="3892"/>
      <c r="K104" s="3892"/>
      <c r="L104" s="3892"/>
      <c r="M104" s="3892"/>
      <c r="N104" s="3892"/>
      <c r="O104" s="3892"/>
      <c r="P104" s="3893"/>
      <c r="Q104" s="2250"/>
    </row>
    <row r="105" spans="1:21" ht="9" customHeight="1" thickBot="1"/>
    <row r="106" spans="1:21" ht="15.9" customHeight="1" thickBot="1">
      <c r="A106" s="2140" t="s">
        <v>720</v>
      </c>
      <c r="B106" s="2141" t="s">
        <v>6149</v>
      </c>
      <c r="C106" s="2159"/>
      <c r="D106" s="2159"/>
      <c r="E106" s="2159"/>
      <c r="G106" s="2122"/>
      <c r="H106" s="2303"/>
      <c r="M106" s="2122">
        <v>3</v>
      </c>
      <c r="N106" s="2248"/>
      <c r="O106" s="2439"/>
      <c r="P106" s="2440"/>
      <c r="Q106" s="2240" t="str">
        <f>IF(OR($O106&lt;=$M106,$O106=0,$O106=""),"","*CHECK!*")</f>
        <v/>
      </c>
      <c r="R106" s="2301" t="s">
        <v>416</v>
      </c>
      <c r="S106" s="2303"/>
    </row>
    <row r="107" spans="1:21" ht="23.25" customHeight="1">
      <c r="B107" s="2427"/>
      <c r="C107" s="2427"/>
      <c r="D107" s="2427"/>
      <c r="E107" s="2426"/>
      <c r="F107" s="3988" t="s">
        <v>6910</v>
      </c>
      <c r="G107" s="3988"/>
      <c r="H107" s="3988" t="s">
        <v>6911</v>
      </c>
      <c r="I107" s="3988"/>
      <c r="J107" s="3990" t="s">
        <v>6934</v>
      </c>
      <c r="K107" s="3991"/>
      <c r="L107" s="4131" t="s">
        <v>6890</v>
      </c>
      <c r="M107" s="4131"/>
      <c r="N107" s="4131"/>
      <c r="O107" s="4132"/>
      <c r="P107" s="2302"/>
    </row>
    <row r="108" spans="1:21" ht="24.6" customHeight="1">
      <c r="B108" s="2427"/>
      <c r="C108" s="2427"/>
      <c r="D108" s="2427"/>
      <c r="E108" s="2426"/>
      <c r="F108" s="3988"/>
      <c r="G108" s="3988"/>
      <c r="H108" s="3988"/>
      <c r="I108" s="3988"/>
      <c r="J108" s="3992"/>
      <c r="K108" s="3993"/>
      <c r="L108" s="3988"/>
      <c r="M108" s="3988"/>
      <c r="N108" s="3988"/>
      <c r="O108" s="4132"/>
      <c r="P108" s="2302"/>
    </row>
    <row r="109" spans="1:21" ht="15.9" customHeight="1">
      <c r="B109" s="2428" t="s">
        <v>6630</v>
      </c>
      <c r="C109" s="2429"/>
      <c r="D109" s="2426"/>
      <c r="E109" s="2426"/>
      <c r="F109" s="3989"/>
      <c r="G109" s="3989"/>
      <c r="H109" s="3989"/>
      <c r="I109" s="3989"/>
      <c r="J109" s="3994"/>
      <c r="K109" s="3995"/>
      <c r="L109" s="3989"/>
      <c r="M109" s="3989"/>
      <c r="N109" s="3989"/>
      <c r="O109" s="4133"/>
      <c r="P109" s="2302"/>
    </row>
    <row r="110" spans="1:21" ht="15.9" customHeight="1">
      <c r="B110" s="3981"/>
      <c r="C110" s="3982"/>
      <c r="D110" s="3982"/>
      <c r="E110" s="3983"/>
      <c r="F110" s="3984"/>
      <c r="G110" s="3985"/>
      <c r="H110" s="3984"/>
      <c r="I110" s="3985"/>
      <c r="J110" s="3986"/>
      <c r="K110" s="3987"/>
      <c r="L110" s="3986"/>
      <c r="M110" s="4128"/>
      <c r="N110" s="4128"/>
      <c r="O110" s="3987"/>
      <c r="P110" s="2255"/>
    </row>
    <row r="111" spans="1:21" ht="15.9" customHeight="1">
      <c r="B111" s="3996"/>
      <c r="C111" s="3997"/>
      <c r="D111" s="3997"/>
      <c r="E111" s="3998"/>
      <c r="F111" s="3999"/>
      <c r="G111" s="4000"/>
      <c r="H111" s="3999"/>
      <c r="I111" s="4000"/>
      <c r="J111" s="4001"/>
      <c r="K111" s="4002"/>
      <c r="L111" s="4001"/>
      <c r="M111" s="4127"/>
      <c r="N111" s="4127"/>
      <c r="O111" s="4002"/>
      <c r="P111" s="2268"/>
    </row>
    <row r="112" spans="1:21" ht="15.9" customHeight="1">
      <c r="B112" s="3996"/>
      <c r="C112" s="3997"/>
      <c r="D112" s="3997"/>
      <c r="E112" s="3998"/>
      <c r="F112" s="3999"/>
      <c r="G112" s="4000"/>
      <c r="H112" s="3999"/>
      <c r="I112" s="4000"/>
      <c r="J112" s="4001"/>
      <c r="K112" s="4002"/>
      <c r="L112" s="4001"/>
      <c r="M112" s="4127"/>
      <c r="N112" s="4127"/>
      <c r="O112" s="4002"/>
      <c r="P112" s="2268"/>
    </row>
    <row r="113" spans="1:21" ht="15.9" customHeight="1">
      <c r="B113" s="3996"/>
      <c r="C113" s="3997"/>
      <c r="D113" s="3997"/>
      <c r="E113" s="3998"/>
      <c r="F113" s="3999"/>
      <c r="G113" s="4000"/>
      <c r="H113" s="3999"/>
      <c r="I113" s="4000"/>
      <c r="J113" s="4001"/>
      <c r="K113" s="4002"/>
      <c r="L113" s="4001"/>
      <c r="M113" s="4127"/>
      <c r="N113" s="4127"/>
      <c r="O113" s="4002"/>
      <c r="P113" s="2268"/>
    </row>
    <row r="114" spans="1:21" ht="15.9" customHeight="1">
      <c r="B114" s="3996"/>
      <c r="C114" s="3997"/>
      <c r="D114" s="3997"/>
      <c r="E114" s="3998"/>
      <c r="F114" s="3999"/>
      <c r="G114" s="4000"/>
      <c r="H114" s="3999"/>
      <c r="I114" s="4000"/>
      <c r="J114" s="4001"/>
      <c r="K114" s="4002"/>
      <c r="L114" s="4001"/>
      <c r="M114" s="4127"/>
      <c r="N114" s="4127"/>
      <c r="O114" s="4002"/>
      <c r="P114" s="2268"/>
    </row>
    <row r="115" spans="1:21" ht="15.9" customHeight="1">
      <c r="B115" s="4003"/>
      <c r="C115" s="4004"/>
      <c r="D115" s="4004"/>
      <c r="E115" s="4005"/>
      <c r="F115" s="4006"/>
      <c r="G115" s="4007"/>
      <c r="H115" s="4006"/>
      <c r="I115" s="4007"/>
      <c r="J115" s="4008"/>
      <c r="K115" s="4009"/>
      <c r="L115" s="4008"/>
      <c r="M115" s="4010"/>
      <c r="N115" s="4010"/>
      <c r="O115" s="4009"/>
      <c r="P115" s="2245"/>
    </row>
    <row r="116" spans="1:21" ht="15.9" customHeight="1" thickBot="1">
      <c r="A116" s="2119"/>
      <c r="B116" s="2258" t="s">
        <v>3241</v>
      </c>
      <c r="C116" s="2119"/>
      <c r="D116" s="2119"/>
      <c r="E116" s="2119"/>
      <c r="F116" s="2119"/>
      <c r="G116" s="2119"/>
      <c r="H116" s="2119"/>
      <c r="I116" s="2119"/>
      <c r="J116" s="2119"/>
      <c r="K116" s="2119"/>
      <c r="M116" s="2121"/>
      <c r="O116" s="2131"/>
    </row>
    <row r="117" spans="1:21" ht="15.9" customHeight="1" thickTop="1" thickBot="1">
      <c r="A117" s="3955" t="s">
        <v>7116</v>
      </c>
      <c r="B117" s="3956"/>
      <c r="C117" s="3956"/>
      <c r="D117" s="3956"/>
      <c r="E117" s="3956"/>
      <c r="F117" s="3956"/>
      <c r="G117" s="3956"/>
      <c r="H117" s="3956"/>
      <c r="I117" s="3956"/>
      <c r="J117" s="3956"/>
      <c r="K117" s="3956"/>
      <c r="L117" s="3956"/>
      <c r="M117" s="3956"/>
      <c r="N117" s="3956"/>
      <c r="O117" s="3956"/>
      <c r="P117" s="3957"/>
      <c r="Q117" s="2207"/>
    </row>
    <row r="118" spans="1:21" ht="15.9" customHeight="1" thickTop="1">
      <c r="A118" s="2119"/>
      <c r="B118" s="2247" t="s">
        <v>1730</v>
      </c>
      <c r="C118" s="2145"/>
      <c r="D118" s="2247"/>
      <c r="E118" s="2180"/>
      <c r="F118" s="2159"/>
      <c r="G118" s="2159"/>
      <c r="H118" s="2159"/>
      <c r="I118" s="2159"/>
      <c r="J118" s="2159"/>
      <c r="K118" s="2159"/>
      <c r="L118" s="2159"/>
      <c r="M118" s="2159"/>
      <c r="N118" s="2248"/>
      <c r="O118" s="2249"/>
      <c r="P118" s="2122"/>
    </row>
    <row r="119" spans="1:21" ht="15.9" customHeight="1">
      <c r="A119" s="3891"/>
      <c r="B119" s="3892"/>
      <c r="C119" s="3892"/>
      <c r="D119" s="3892"/>
      <c r="E119" s="3892"/>
      <c r="F119" s="3892"/>
      <c r="G119" s="3892"/>
      <c r="H119" s="3892"/>
      <c r="I119" s="3892"/>
      <c r="J119" s="3892"/>
      <c r="K119" s="3892"/>
      <c r="L119" s="3892"/>
      <c r="M119" s="3892"/>
      <c r="N119" s="3892"/>
      <c r="O119" s="3892"/>
      <c r="P119" s="3893"/>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5.9" customHeight="1" thickBot="1">
      <c r="A122" s="2140" t="s">
        <v>280</v>
      </c>
      <c r="B122" s="2141" t="s">
        <v>3340</v>
      </c>
      <c r="D122" s="2141"/>
      <c r="E122" s="2141"/>
      <c r="L122" s="2233" t="str">
        <f>IF(AND(O122&gt;0,O123="",O135=""),"Indicate subtotal score(s) in A or B below!","")</f>
        <v/>
      </c>
      <c r="M122" s="2122">
        <v>7</v>
      </c>
      <c r="N122" s="2121"/>
      <c r="O122" s="2264">
        <f>IF($F$36="New Supply",O123+O135,0)</f>
        <v>0</v>
      </c>
      <c r="P122" s="2264">
        <f>IF($F$36="New Supply",P123+P135,0)</f>
        <v>0</v>
      </c>
      <c r="Q122" s="2201" t="s">
        <v>416</v>
      </c>
      <c r="R122" s="2303" t="str">
        <f>IF(AND(O122&gt;0,NOT($F$36="New Supply")), "Ineligible to score in this section, not New Supply!","")</f>
        <v/>
      </c>
      <c r="S122" s="2116"/>
      <c r="T122" s="2116"/>
      <c r="U122" s="2116"/>
    </row>
    <row r="123" spans="1:21" ht="15.9" customHeight="1">
      <c r="A123" s="2136" t="s">
        <v>1841</v>
      </c>
      <c r="B123" s="2129" t="s">
        <v>6177</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0</v>
      </c>
      <c r="P123" s="2304">
        <f>P130+P132+P133+P134</f>
        <v>0</v>
      </c>
      <c r="Q123" s="2240" t="str">
        <f>IF(OR($O123&lt;=$M123,$O123=""),"","*CHECK!*")</f>
        <v/>
      </c>
      <c r="R123" s="2303"/>
      <c r="S123" s="2116"/>
      <c r="T123" s="2116"/>
      <c r="U123" s="2116"/>
    </row>
    <row r="124" spans="1:21" ht="15.9" customHeight="1">
      <c r="A124" s="2201"/>
      <c r="C124" s="2119" t="s">
        <v>6852</v>
      </c>
      <c r="D124" s="2129"/>
      <c r="E124" s="2129"/>
      <c r="F124" s="2129"/>
      <c r="G124" s="2129"/>
      <c r="H124" s="2129"/>
      <c r="I124" s="2129"/>
      <c r="J124" s="2129"/>
      <c r="K124" s="2129"/>
      <c r="L124" s="2129"/>
      <c r="Q124" s="2240" t="str">
        <f>IF(OR($O130=$M130,$O130=0,$O130=""),"","*CHECK!*")</f>
        <v/>
      </c>
      <c r="R124" s="2303"/>
      <c r="S124" s="2116"/>
      <c r="T124" s="2116"/>
      <c r="U124" s="2116"/>
    </row>
    <row r="125" spans="1:21" ht="15.9" customHeight="1">
      <c r="A125" s="2309"/>
      <c r="B125" s="2252"/>
      <c r="C125" s="2155" t="s">
        <v>6888</v>
      </c>
      <c r="D125" s="2155"/>
      <c r="E125" s="2155"/>
      <c r="F125" s="2155"/>
      <c r="G125" s="2155"/>
      <c r="H125" s="2155"/>
      <c r="I125" s="2155"/>
      <c r="J125" s="2155"/>
      <c r="K125" s="2155"/>
      <c r="L125" s="2308"/>
      <c r="M125" s="3981" t="s">
        <v>6853</v>
      </c>
      <c r="N125" s="3982"/>
      <c r="O125" s="3982"/>
      <c r="P125" s="3983"/>
      <c r="S125" s="2116"/>
      <c r="T125" s="2116"/>
      <c r="U125" s="2116"/>
    </row>
    <row r="126" spans="1:21" s="2119" customFormat="1" ht="15.9" customHeight="1">
      <c r="B126" s="2252"/>
      <c r="C126" s="2119" t="s">
        <v>6854</v>
      </c>
      <c r="L126" s="2252"/>
      <c r="M126" s="3996" t="s">
        <v>6853</v>
      </c>
      <c r="N126" s="3997"/>
      <c r="O126" s="3997"/>
      <c r="P126" s="3998"/>
      <c r="S126" s="2116"/>
      <c r="T126" s="2116"/>
      <c r="U126" s="2116"/>
    </row>
    <row r="127" spans="1:21" s="2119" customFormat="1" ht="15.9" customHeight="1">
      <c r="B127" s="2252"/>
      <c r="C127" s="2119" t="s">
        <v>6855</v>
      </c>
      <c r="L127" s="2252"/>
      <c r="M127" s="3996" t="s">
        <v>6853</v>
      </c>
      <c r="N127" s="3997"/>
      <c r="O127" s="3997"/>
      <c r="P127" s="3998"/>
      <c r="Q127" s="2310">
        <f>IF(K127="Yes",1,0)</f>
        <v>0</v>
      </c>
      <c r="S127" s="2116"/>
      <c r="T127" s="2116"/>
      <c r="U127" s="2116"/>
    </row>
    <row r="128" spans="1:21" s="2119" customFormat="1" ht="15.9" customHeight="1">
      <c r="A128" s="2252"/>
      <c r="B128" s="2252"/>
      <c r="C128" s="2119" t="s">
        <v>6856</v>
      </c>
      <c r="L128" s="2252"/>
      <c r="M128" s="3996" t="s">
        <v>6853</v>
      </c>
      <c r="N128" s="3997"/>
      <c r="O128" s="3997"/>
      <c r="P128" s="3998"/>
      <c r="Q128" s="2310">
        <f>IF(K128="Yes",1,0)</f>
        <v>0</v>
      </c>
      <c r="S128" s="2116"/>
      <c r="T128" s="2116"/>
      <c r="U128" s="2116"/>
    </row>
    <row r="129" spans="1:22" s="2119" customFormat="1" ht="15.9" customHeight="1">
      <c r="A129" s="2252"/>
      <c r="B129" s="2252"/>
      <c r="C129" s="2119" t="s">
        <v>6893</v>
      </c>
      <c r="L129" s="2252"/>
      <c r="M129" s="4003" t="s">
        <v>6853</v>
      </c>
      <c r="N129" s="4004"/>
      <c r="O129" s="4004"/>
      <c r="P129" s="4005"/>
      <c r="Q129" s="2310"/>
      <c r="S129" s="2116"/>
      <c r="T129" s="2116"/>
      <c r="U129" s="2116"/>
      <c r="V129" s="2310"/>
    </row>
    <row r="130" spans="1:22" ht="15.9" customHeight="1">
      <c r="A130" s="2309"/>
      <c r="B130" s="2305" t="s">
        <v>1844</v>
      </c>
      <c r="C130" s="2231" t="s">
        <v>6892</v>
      </c>
      <c r="D130" s="2155"/>
      <c r="E130" s="2155"/>
      <c r="F130" s="2155"/>
      <c r="G130" s="2155"/>
      <c r="H130" s="2155"/>
      <c r="I130" s="2155"/>
      <c r="K130" s="2121"/>
      <c r="L130" s="2121"/>
      <c r="M130" s="2121">
        <v>2</v>
      </c>
      <c r="N130" s="2308"/>
      <c r="O130" s="2306"/>
      <c r="P130" s="2307"/>
      <c r="R130" s="2116"/>
      <c r="S130" s="2116"/>
      <c r="T130" s="2116"/>
      <c r="U130" s="2116"/>
    </row>
    <row r="131" spans="1:22" ht="15.9" customHeight="1">
      <c r="A131" s="2309"/>
      <c r="B131" s="2311" t="s">
        <v>1846</v>
      </c>
      <c r="C131" s="2231" t="s">
        <v>6252</v>
      </c>
      <c r="D131" s="2155"/>
      <c r="E131" s="2155"/>
      <c r="F131" s="2155"/>
      <c r="G131" s="2155"/>
      <c r="H131" s="2155"/>
      <c r="I131" s="2155"/>
      <c r="K131" s="2121"/>
      <c r="L131" s="2121"/>
      <c r="N131" s="2118"/>
      <c r="O131" s="2118"/>
      <c r="P131" s="2118"/>
      <c r="R131" s="2116"/>
      <c r="S131" s="2116"/>
      <c r="T131" s="2116"/>
      <c r="U131" s="2116"/>
    </row>
    <row r="132" spans="1:22" ht="15.9" customHeight="1">
      <c r="A132" s="2233"/>
      <c r="B132" s="2308"/>
      <c r="C132" s="3872" t="s">
        <v>6857</v>
      </c>
      <c r="D132" s="3872"/>
      <c r="E132" s="3872"/>
      <c r="F132" s="3872"/>
      <c r="G132" s="3872"/>
      <c r="H132" s="3872"/>
      <c r="I132" s="3872"/>
      <c r="J132" s="3872"/>
      <c r="K132" s="3872"/>
      <c r="L132" s="3872"/>
      <c r="M132" s="2284">
        <v>1</v>
      </c>
      <c r="N132" s="2308"/>
      <c r="O132" s="2312"/>
      <c r="P132" s="2313"/>
      <c r="Q132" s="2240" t="str">
        <f>IF(OR($O132=$M132,$O132=0,$O132=""),"","*CHECK!*")</f>
        <v/>
      </c>
      <c r="R132" s="2303"/>
    </row>
    <row r="133" spans="1:22" ht="30.75" customHeight="1">
      <c r="A133" s="2233"/>
      <c r="B133" s="2308"/>
      <c r="C133" s="3872" t="s">
        <v>6901</v>
      </c>
      <c r="D133" s="3872"/>
      <c r="E133" s="3872"/>
      <c r="F133" s="3872"/>
      <c r="G133" s="3872"/>
      <c r="H133" s="3872"/>
      <c r="I133" s="3872"/>
      <c r="J133" s="3872"/>
      <c r="K133" s="3872"/>
      <c r="L133" s="3872"/>
      <c r="M133" s="2284">
        <v>1</v>
      </c>
      <c r="N133" s="2308"/>
      <c r="O133" s="2314"/>
      <c r="P133" s="2315"/>
      <c r="Q133" s="2240" t="str">
        <f>IF(OR($O133=$M133,$O133=0,$O133=""),"","*CHECK!*")</f>
        <v/>
      </c>
      <c r="R133" s="2303"/>
    </row>
    <row r="134" spans="1:22" ht="15.9" customHeight="1">
      <c r="A134" s="2233"/>
      <c r="B134" s="2228"/>
      <c r="C134" s="2118" t="s">
        <v>6858</v>
      </c>
      <c r="D134" s="2287"/>
      <c r="E134" s="2287"/>
      <c r="F134" s="2287"/>
      <c r="G134" s="2287"/>
      <c r="H134" s="2287"/>
      <c r="I134" s="2287"/>
      <c r="J134" s="2287"/>
      <c r="K134" s="2287"/>
      <c r="L134" s="2287"/>
      <c r="M134" s="2121">
        <v>1</v>
      </c>
      <c r="N134" s="2252"/>
      <c r="O134" s="2241"/>
      <c r="P134" s="2242"/>
      <c r="Q134" s="2240" t="str">
        <f>IF(OR($O134=$M134,$O134=0,$O134=""),"","*CHECK!*")</f>
        <v/>
      </c>
      <c r="R134" s="2303"/>
    </row>
    <row r="135" spans="1:22" ht="15.9" customHeight="1">
      <c r="A135" s="2136" t="s">
        <v>1843</v>
      </c>
      <c r="B135" s="2129" t="s">
        <v>3822</v>
      </c>
      <c r="D135" s="2119"/>
      <c r="F135" s="2316"/>
      <c r="K135" s="2317"/>
      <c r="L135" s="2230" t="str">
        <f>IF(OR($O135=$M135,$O135=0,$O135=1,$O135=""),"","* * Check Score! * *")</f>
        <v/>
      </c>
      <c r="M135" s="2121">
        <v>2</v>
      </c>
      <c r="N135" s="2252"/>
      <c r="O135" s="2407"/>
      <c r="P135" s="2408"/>
      <c r="Q135" s="2318"/>
      <c r="R135" s="2303"/>
    </row>
    <row r="136" spans="1:22" s="2119" customFormat="1" ht="15.9" customHeight="1" thickBot="1">
      <c r="B136" s="2258" t="s">
        <v>3241</v>
      </c>
      <c r="M136" s="2121"/>
      <c r="N136" s="2121"/>
      <c r="O136" s="2131"/>
      <c r="P136" s="2122"/>
    </row>
    <row r="137" spans="1:22" ht="15.9" customHeight="1" thickTop="1" thickBot="1">
      <c r="A137" s="3955" t="s">
        <v>7116</v>
      </c>
      <c r="B137" s="3956"/>
      <c r="C137" s="3956"/>
      <c r="D137" s="3956"/>
      <c r="E137" s="3956"/>
      <c r="F137" s="3956"/>
      <c r="G137" s="3956"/>
      <c r="H137" s="3956"/>
      <c r="I137" s="3956"/>
      <c r="J137" s="3956"/>
      <c r="K137" s="3956"/>
      <c r="L137" s="3956"/>
      <c r="M137" s="3956"/>
      <c r="N137" s="3956"/>
      <c r="O137" s="3956"/>
      <c r="P137" s="3957"/>
      <c r="Q137" s="2207"/>
    </row>
    <row r="138" spans="1:22" s="2119" customFormat="1" ht="15.9" customHeight="1" thickTop="1">
      <c r="B138" s="2246" t="s">
        <v>1730</v>
      </c>
      <c r="D138" s="2246"/>
      <c r="E138" s="2297"/>
      <c r="F138" s="2297"/>
      <c r="G138" s="2297"/>
      <c r="H138" s="2297"/>
      <c r="I138" s="2297"/>
      <c r="J138" s="2297"/>
      <c r="K138" s="2297"/>
      <c r="L138" s="2297"/>
      <c r="M138" s="2297"/>
      <c r="N138" s="2266"/>
      <c r="O138" s="2123"/>
      <c r="P138" s="2122"/>
      <c r="Q138" s="2118"/>
    </row>
    <row r="139" spans="1:22" ht="15.9" customHeight="1">
      <c r="A139" s="3891"/>
      <c r="B139" s="3892"/>
      <c r="C139" s="3892"/>
      <c r="D139" s="3892"/>
      <c r="E139" s="3892"/>
      <c r="F139" s="3892"/>
      <c r="G139" s="3892"/>
      <c r="H139" s="3892"/>
      <c r="I139" s="3892"/>
      <c r="J139" s="3892"/>
      <c r="K139" s="3892"/>
      <c r="L139" s="3892"/>
      <c r="M139" s="3892"/>
      <c r="N139" s="3892"/>
      <c r="O139" s="3892"/>
      <c r="P139" s="3893"/>
      <c r="Q139" s="2250"/>
    </row>
    <row r="140" spans="1:22" ht="15.9" customHeight="1">
      <c r="A140" s="2119"/>
      <c r="C140" s="2159"/>
      <c r="D140" s="2159"/>
      <c r="E140" s="2159"/>
      <c r="F140" s="2159"/>
      <c r="G140" s="2159"/>
      <c r="H140" s="2159"/>
      <c r="I140" s="2159"/>
      <c r="J140" s="2159"/>
      <c r="K140" s="2159"/>
      <c r="L140" s="2159"/>
      <c r="M140" s="2159"/>
      <c r="N140" s="2248"/>
      <c r="O140" s="2249"/>
      <c r="P140" s="2122"/>
    </row>
    <row r="141" spans="1:22" s="2260" customFormat="1" ht="15.9" customHeight="1" thickBot="1">
      <c r="A141" s="2261"/>
      <c r="C141" s="2298"/>
      <c r="D141" s="2298"/>
      <c r="E141" s="2298"/>
      <c r="F141" s="2298"/>
      <c r="G141" s="2298"/>
      <c r="H141" s="2298"/>
      <c r="I141" s="2298"/>
      <c r="J141" s="2298"/>
      <c r="K141" s="2298"/>
      <c r="L141" s="2298"/>
      <c r="M141" s="2298"/>
      <c r="N141" s="2299"/>
      <c r="O141" s="2300"/>
      <c r="P141" s="2263"/>
    </row>
    <row r="142" spans="1:22" ht="15.9" customHeight="1" thickBot="1">
      <c r="A142" s="2140" t="s">
        <v>401</v>
      </c>
      <c r="B142" s="2141" t="s">
        <v>3341</v>
      </c>
      <c r="C142" s="2159"/>
      <c r="D142" s="2159"/>
      <c r="E142" s="2159"/>
      <c r="F142" s="2159"/>
      <c r="G142" s="2943"/>
      <c r="H142" s="2159"/>
      <c r="I142" s="2159"/>
      <c r="J142" s="2159"/>
      <c r="K142" s="2159"/>
      <c r="L142" s="2159"/>
      <c r="M142" s="2122">
        <v>3</v>
      </c>
      <c r="N142" s="2248"/>
      <c r="O142" s="2249"/>
      <c r="P142" s="2319"/>
      <c r="Q142" s="2201" t="s">
        <v>416</v>
      </c>
      <c r="R142" s="3015" t="s">
        <v>7036</v>
      </c>
    </row>
    <row r="143" spans="1:22" ht="15.9" customHeight="1">
      <c r="A143" s="2140"/>
      <c r="B143" s="2139" t="s">
        <v>6253</v>
      </c>
      <c r="C143" s="2159"/>
      <c r="D143" s="2159"/>
      <c r="E143" s="2159"/>
      <c r="F143" s="2159"/>
      <c r="G143" s="2159"/>
      <c r="H143" s="2159"/>
      <c r="L143" s="2320"/>
      <c r="M143" s="2122"/>
      <c r="N143" s="2248"/>
      <c r="O143" s="2249"/>
      <c r="P143" s="2321"/>
      <c r="Q143" s="2201"/>
      <c r="R143" s="2303"/>
    </row>
    <row r="144" spans="1:22" ht="15.9" customHeight="1">
      <c r="A144" s="2140"/>
      <c r="B144" s="2119" t="s">
        <v>3674</v>
      </c>
      <c r="C144" s="2159"/>
      <c r="D144" s="2159"/>
      <c r="E144" s="2159"/>
      <c r="F144" s="2159"/>
      <c r="G144" s="2159"/>
      <c r="H144" s="2159"/>
      <c r="N144" s="2455" t="str">
        <f>IF(OR(O$179&gt;0,O$152&gt;0),"Applicant is ineligible for points in this section!  Points claimed in Stable Communities or Community Designations.","")</f>
        <v/>
      </c>
      <c r="O144" s="2941"/>
      <c r="P144" s="2255"/>
      <c r="Q144" s="2201"/>
      <c r="R144" s="2116"/>
      <c r="S144" s="2116"/>
      <c r="T144" s="2116"/>
      <c r="U144" s="2116"/>
    </row>
    <row r="145" spans="1:27" ht="33.9" customHeight="1">
      <c r="A145" s="2140"/>
      <c r="B145" s="4011" t="s">
        <v>6900</v>
      </c>
      <c r="C145" s="4011"/>
      <c r="D145" s="4011"/>
      <c r="E145" s="4011"/>
      <c r="F145" s="4011"/>
      <c r="G145" s="4011"/>
      <c r="H145" s="4011"/>
      <c r="I145" s="4011"/>
      <c r="J145" s="4011"/>
      <c r="K145" s="4011"/>
      <c r="L145" s="4011"/>
      <c r="M145" s="4011"/>
      <c r="N145" s="2122"/>
      <c r="O145" s="2942"/>
      <c r="P145" s="2324"/>
      <c r="Q145" s="2201"/>
      <c r="R145" s="2116"/>
      <c r="S145" s="2116"/>
      <c r="T145" s="2116"/>
      <c r="U145" s="2116"/>
    </row>
    <row r="146" spans="1:27" ht="15.9" customHeight="1" thickBot="1">
      <c r="A146" s="2119"/>
      <c r="B146" s="2258" t="s">
        <v>3241</v>
      </c>
      <c r="C146" s="2119"/>
      <c r="D146" s="2119"/>
      <c r="E146" s="2119"/>
      <c r="F146" s="2119"/>
      <c r="G146" s="2119"/>
      <c r="H146" s="2119"/>
      <c r="I146" s="2119"/>
      <c r="M146" s="2121"/>
      <c r="O146" s="2131"/>
    </row>
    <row r="147" spans="1:27" ht="15.9" customHeight="1" thickTop="1" thickBot="1">
      <c r="A147" s="4012"/>
      <c r="B147" s="4013"/>
      <c r="C147" s="4013"/>
      <c r="D147" s="4013"/>
      <c r="E147" s="4013"/>
      <c r="F147" s="4013"/>
      <c r="G147" s="4013"/>
      <c r="H147" s="4013"/>
      <c r="I147" s="4013"/>
      <c r="J147" s="4013"/>
      <c r="K147" s="4013"/>
      <c r="L147" s="4013"/>
      <c r="M147" s="4013"/>
      <c r="N147" s="4013"/>
      <c r="O147" s="4013"/>
      <c r="P147" s="4014"/>
      <c r="Q147" s="2207"/>
    </row>
    <row r="148" spans="1:27" ht="15.9" customHeight="1" thickTop="1">
      <c r="A148" s="2119"/>
      <c r="B148" s="2247" t="s">
        <v>1730</v>
      </c>
      <c r="C148" s="2119"/>
      <c r="D148" s="2247"/>
      <c r="E148" s="2159"/>
      <c r="F148" s="2159"/>
      <c r="G148" s="2159"/>
      <c r="H148" s="2159"/>
      <c r="I148" s="2159"/>
      <c r="J148" s="2159"/>
      <c r="K148" s="2159"/>
      <c r="L148" s="2159"/>
      <c r="M148" s="2159"/>
      <c r="N148" s="2248"/>
      <c r="O148" s="2249"/>
      <c r="P148" s="2122"/>
    </row>
    <row r="149" spans="1:27" ht="15.9" customHeight="1">
      <c r="A149" s="3891"/>
      <c r="B149" s="3892"/>
      <c r="C149" s="3892"/>
      <c r="D149" s="3892"/>
      <c r="E149" s="3892"/>
      <c r="F149" s="3892"/>
      <c r="G149" s="3892"/>
      <c r="H149" s="3892"/>
      <c r="I149" s="3892"/>
      <c r="J149" s="3892"/>
      <c r="K149" s="3892"/>
      <c r="L149" s="3892"/>
      <c r="M149" s="3892"/>
      <c r="N149" s="3892"/>
      <c r="O149" s="3892"/>
      <c r="P149" s="3893"/>
      <c r="Q149" s="2250"/>
    </row>
    <row r="150" spans="1:27" ht="15.9" customHeight="1"/>
    <row r="151" spans="1:27" s="2260" customFormat="1" ht="15.9" customHeight="1" thickBot="1">
      <c r="N151" s="2325"/>
      <c r="O151" s="2326"/>
      <c r="P151" s="2326"/>
    </row>
    <row r="152" spans="1:27" s="2119" customFormat="1" ht="15.9" customHeight="1" thickBot="1">
      <c r="A152" s="2140" t="s">
        <v>342</v>
      </c>
      <c r="B152" s="2141" t="s">
        <v>2497</v>
      </c>
      <c r="D152" s="2141"/>
      <c r="E152" s="2141"/>
      <c r="L152" s="2233" t="str">
        <f>IF(AND(O152&gt;0,NOT($F$36="New Supply")), "Ineligible to score in this section, not New Supply!","")</f>
        <v/>
      </c>
      <c r="M152" s="2122">
        <v>9</v>
      </c>
      <c r="N152" s="2121"/>
      <c r="O152" s="2200">
        <f>IF($F$36="New Supply",MIN($M$152,O153+O157),0)</f>
        <v>0</v>
      </c>
      <c r="P152" s="2200">
        <f>IF($F$36="New Supply",MIN($M$152,P153+P157),0)</f>
        <v>0</v>
      </c>
      <c r="Q152" s="2201" t="s">
        <v>416</v>
      </c>
      <c r="R152" s="2303"/>
      <c r="S152" s="2116"/>
      <c r="T152" s="2116"/>
      <c r="U152" s="2116"/>
      <c r="V152" s="2118"/>
      <c r="W152" s="2118"/>
      <c r="X152" s="2118"/>
    </row>
    <row r="153" spans="1:27" s="2119" customFormat="1" ht="15.9" customHeight="1">
      <c r="A153" s="2327" t="s">
        <v>1841</v>
      </c>
      <c r="B153" s="2129" t="s">
        <v>3823</v>
      </c>
      <c r="D153" s="2141"/>
      <c r="E153" s="2141"/>
      <c r="K153" s="2328"/>
      <c r="M153" s="2121">
        <v>5</v>
      </c>
      <c r="N153" s="2252"/>
      <c r="O153" s="2306"/>
      <c r="P153" s="2307"/>
      <c r="Q153" s="2240" t="str">
        <f>IF(O153&lt;=M153,"","*CHECK!*")</f>
        <v/>
      </c>
      <c r="R153" s="2303"/>
      <c r="S153" s="2116"/>
      <c r="T153" s="2116"/>
      <c r="U153" s="2116"/>
    </row>
    <row r="154" spans="1:27" ht="15.9" customHeight="1">
      <c r="B154" s="2327"/>
      <c r="C154" s="2119" t="s">
        <v>6255</v>
      </c>
      <c r="D154" s="2119"/>
      <c r="E154" s="2141"/>
      <c r="F154" s="2141"/>
      <c r="G154" s="2119"/>
      <c r="H154" s="2119"/>
      <c r="I154" s="2119"/>
      <c r="J154" s="4021" t="s">
        <v>3204</v>
      </c>
      <c r="K154" s="4022"/>
      <c r="L154" s="4023" t="s">
        <v>3204</v>
      </c>
      <c r="M154" s="4024"/>
      <c r="N154" s="2121"/>
      <c r="R154" s="2201"/>
      <c r="S154" s="2119"/>
    </row>
    <row r="155" spans="1:27" ht="15.9" customHeight="1">
      <c r="C155" s="2329" t="s">
        <v>6894</v>
      </c>
      <c r="J155" s="4025"/>
      <c r="K155" s="4026"/>
      <c r="L155" s="4026"/>
      <c r="M155" s="4027"/>
      <c r="N155" s="2121"/>
      <c r="O155" s="2121"/>
      <c r="P155" s="2121"/>
      <c r="R155" s="2119"/>
      <c r="S155" s="2116"/>
    </row>
    <row r="156" spans="1:27" ht="15.9" hidden="1" customHeight="1">
      <c r="A156" s="2225"/>
      <c r="B156" s="2330"/>
      <c r="M156" s="2121"/>
      <c r="O156" s="2122"/>
      <c r="P156" s="2122"/>
      <c r="S156" s="2116"/>
      <c r="T156" s="2116"/>
      <c r="U156" s="2116"/>
    </row>
    <row r="157" spans="1:27" s="2119" customFormat="1" ht="15.9" customHeight="1">
      <c r="A157" s="2122" t="s">
        <v>1843</v>
      </c>
      <c r="B157" s="2330" t="s">
        <v>6214</v>
      </c>
      <c r="K157" s="2252"/>
      <c r="L157" s="2252"/>
      <c r="M157" s="2121">
        <v>4</v>
      </c>
      <c r="N157" s="2252"/>
      <c r="O157" s="2306"/>
      <c r="P157" s="2307"/>
      <c r="Q157" s="2240" t="str">
        <f>IF(O157&lt;=M157,"","*CHECK!*")</f>
        <v/>
      </c>
      <c r="R157" s="2303"/>
      <c r="S157" s="2116"/>
      <c r="T157" s="2116"/>
      <c r="U157" s="2116"/>
    </row>
    <row r="158" spans="1:27" ht="15.9" customHeight="1">
      <c r="C158" s="2331" t="s">
        <v>6220</v>
      </c>
      <c r="E158" s="4028" t="s">
        <v>6219</v>
      </c>
      <c r="F158" s="4028"/>
      <c r="G158" s="4028"/>
      <c r="H158" s="4028"/>
      <c r="I158" s="2137" t="s">
        <v>6895</v>
      </c>
      <c r="J158" s="4028" t="s">
        <v>6219</v>
      </c>
      <c r="K158" s="4028"/>
      <c r="L158" s="4028"/>
      <c r="M158" s="4028"/>
      <c r="N158" s="2118"/>
      <c r="O158" s="2118"/>
      <c r="P158" s="2118"/>
    </row>
    <row r="159" spans="1:27" ht="15.9" customHeight="1">
      <c r="C159" s="2119" t="s">
        <v>6218</v>
      </c>
      <c r="E159" s="4015"/>
      <c r="F159" s="4016"/>
      <c r="G159" s="4016"/>
      <c r="H159" s="4017"/>
      <c r="I159" s="2434"/>
      <c r="J159" s="4018"/>
      <c r="K159" s="4019"/>
      <c r="L159" s="4019"/>
      <c r="M159" s="4020"/>
      <c r="N159" s="2240" t="str">
        <f>IF(P157&lt;=N157,"","*CHECK!*")</f>
        <v/>
      </c>
      <c r="Q159" s="2130"/>
      <c r="R159" s="2130"/>
      <c r="S159" s="2130"/>
      <c r="T159" s="2130"/>
      <c r="U159" s="2130"/>
      <c r="V159" s="2130"/>
      <c r="W159" s="2130"/>
      <c r="X159" s="2130"/>
      <c r="Y159" s="2130"/>
      <c r="Z159" s="2130"/>
      <c r="AA159" s="2332"/>
    </row>
    <row r="160" spans="1:27" ht="15.9" customHeight="1">
      <c r="B160" s="2225"/>
      <c r="C160" s="2119" t="s">
        <v>6215</v>
      </c>
      <c r="E160" s="4015"/>
      <c r="F160" s="4016"/>
      <c r="G160" s="4016"/>
      <c r="H160" s="4017"/>
      <c r="I160" s="2435"/>
      <c r="J160" s="4018"/>
      <c r="K160" s="4019"/>
      <c r="L160" s="4019"/>
      <c r="M160" s="4020"/>
      <c r="N160" s="2118"/>
      <c r="Q160" s="2130"/>
      <c r="R160" s="2130"/>
      <c r="S160" s="2130"/>
      <c r="T160" s="2130"/>
      <c r="U160" s="2130"/>
      <c r="V160" s="2130"/>
      <c r="W160" s="2130"/>
      <c r="X160" s="2130"/>
      <c r="Y160" s="2130"/>
      <c r="Z160" s="2130"/>
      <c r="AA160" s="2332"/>
    </row>
    <row r="161" spans="1:27" ht="15.9" customHeight="1">
      <c r="C161" s="2119" t="s">
        <v>6216</v>
      </c>
      <c r="E161" s="4031"/>
      <c r="F161" s="4032"/>
      <c r="G161" s="4032"/>
      <c r="H161" s="4033"/>
      <c r="I161" s="2436"/>
      <c r="J161" s="4034"/>
      <c r="K161" s="4035"/>
      <c r="L161" s="4035"/>
      <c r="M161" s="4036"/>
      <c r="N161" s="2118"/>
      <c r="Q161" s="2130"/>
      <c r="R161" s="2130"/>
      <c r="S161" s="2130"/>
      <c r="T161" s="2130"/>
      <c r="U161" s="2130"/>
      <c r="V161" s="2130"/>
      <c r="W161" s="2130"/>
      <c r="X161" s="2130"/>
      <c r="Y161" s="2130"/>
      <c r="Z161" s="2130"/>
      <c r="AA161" s="2332"/>
    </row>
    <row r="162" spans="1:27" ht="15.9" hidden="1" customHeight="1">
      <c r="C162" s="2330"/>
      <c r="N162" s="2121"/>
      <c r="O162" s="2137"/>
      <c r="P162" s="2122"/>
      <c r="Q162" s="2122"/>
      <c r="R162" s="2122"/>
      <c r="S162" s="2122"/>
      <c r="T162" s="2122"/>
      <c r="U162" s="2122"/>
      <c r="V162" s="2122"/>
      <c r="W162" s="2122"/>
      <c r="X162" s="2122"/>
      <c r="Y162" s="2122"/>
      <c r="Z162" s="2122"/>
    </row>
    <row r="163" spans="1:27" ht="15.9" hidden="1" customHeight="1">
      <c r="A163" s="2225"/>
      <c r="B163" s="2330"/>
      <c r="M163" s="2121"/>
      <c r="O163" s="2122"/>
      <c r="P163" s="2122"/>
      <c r="S163" s="2333"/>
      <c r="T163" s="2333"/>
      <c r="U163" s="2333"/>
      <c r="V163" s="2333"/>
      <c r="W163" s="2333"/>
    </row>
    <row r="164" spans="1:27" ht="15.9" customHeight="1" thickBot="1">
      <c r="A164" s="2119"/>
      <c r="B164" s="2258" t="s">
        <v>3241</v>
      </c>
      <c r="C164" s="2119"/>
      <c r="D164" s="2119"/>
      <c r="E164" s="2119"/>
      <c r="F164" s="2119"/>
      <c r="G164" s="2119"/>
      <c r="H164" s="2119"/>
      <c r="I164" s="2119"/>
      <c r="J164" s="2119"/>
      <c r="K164" s="2119"/>
      <c r="M164" s="2121"/>
      <c r="O164" s="2131"/>
    </row>
    <row r="165" spans="1:27" ht="15.9" customHeight="1" thickTop="1" thickBot="1">
      <c r="A165" s="3955" t="s">
        <v>7116</v>
      </c>
      <c r="B165" s="3956"/>
      <c r="C165" s="3956"/>
      <c r="D165" s="3956"/>
      <c r="E165" s="3956"/>
      <c r="F165" s="3956"/>
      <c r="G165" s="3956"/>
      <c r="H165" s="3956"/>
      <c r="I165" s="3956"/>
      <c r="J165" s="3956"/>
      <c r="K165" s="3956"/>
      <c r="L165" s="3956"/>
      <c r="M165" s="3956"/>
      <c r="N165" s="3956"/>
      <c r="O165" s="3956"/>
      <c r="P165" s="3957"/>
      <c r="Q165" s="2207"/>
    </row>
    <row r="166" spans="1:27" ht="15.9" customHeight="1" thickTop="1">
      <c r="A166" s="2225"/>
      <c r="B166" s="2330"/>
      <c r="M166" s="2121"/>
      <c r="O166" s="2122"/>
      <c r="P166" s="2122"/>
    </row>
    <row r="167" spans="1:27" ht="15.9" customHeight="1">
      <c r="A167" s="2119"/>
      <c r="B167" s="2247" t="s">
        <v>1730</v>
      </c>
      <c r="C167" s="2119"/>
      <c r="D167" s="2247"/>
      <c r="E167" s="2159"/>
      <c r="F167" s="2159"/>
      <c r="G167" s="2159"/>
      <c r="H167" s="2159"/>
      <c r="I167" s="2159"/>
      <c r="J167" s="2159"/>
      <c r="K167" s="2159"/>
      <c r="L167" s="2159"/>
      <c r="M167" s="2159"/>
      <c r="N167" s="2248"/>
      <c r="O167" s="2249"/>
      <c r="P167" s="2122"/>
    </row>
    <row r="168" spans="1:27" ht="15.9" customHeight="1">
      <c r="A168" s="3891"/>
      <c r="B168" s="3892"/>
      <c r="C168" s="3892"/>
      <c r="D168" s="3892"/>
      <c r="E168" s="3892"/>
      <c r="F168" s="3892"/>
      <c r="G168" s="3892"/>
      <c r="H168" s="3892"/>
      <c r="I168" s="3892"/>
      <c r="J168" s="3892"/>
      <c r="K168" s="3892"/>
      <c r="L168" s="3892"/>
      <c r="M168" s="3892"/>
      <c r="N168" s="3892"/>
      <c r="O168" s="3892"/>
      <c r="P168" s="3893"/>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5.9" customHeight="1" thickBot="1">
      <c r="A171" s="2140" t="s">
        <v>343</v>
      </c>
      <c r="B171" s="2336" t="s">
        <v>4035</v>
      </c>
      <c r="G171" s="2121" t="s">
        <v>3152</v>
      </c>
      <c r="H171" s="2337">
        <f>IF('Part V-Revenues &amp; Expenses'!$P$67=0,0,'Part V-Revenues &amp; Expenses'!$P$64/'Part V-Revenues &amp; Expenses'!$P$67)</f>
        <v>0</v>
      </c>
      <c r="K171" s="4037" t="str">
        <f>'Part V-Revenues &amp; Expenses'!$O$53</f>
        <v>40% of Units at 60% of AMI</v>
      </c>
      <c r="L171" s="4038"/>
      <c r="M171" s="2122">
        <v>1</v>
      </c>
      <c r="O171" s="2200">
        <f>IF(AND($F$36="New Supply",$O$36="9%"),IF(O172+O173&gt;$M171,"Choose",MIN($M171,SUM(O172:O173))),0)</f>
        <v>0</v>
      </c>
      <c r="P171" s="2200">
        <f>IF(AND($F$36="New Supply",$O$36="9%"),IF(P172+P173&gt;$M171,"Choose",MIN($M171,SUM(P172:P173))),0)</f>
        <v>0</v>
      </c>
      <c r="Q171" s="2201" t="s">
        <v>416</v>
      </c>
      <c r="R171" s="2303" t="str">
        <f>IF(AND(O171&gt;0,NOT($F$36="New Supply")), "Ineligible to score in this section, not New Supply!","")</f>
        <v/>
      </c>
      <c r="S171" s="3015" t="s">
        <v>7036</v>
      </c>
    </row>
    <row r="172" spans="1:27" ht="15.9" customHeight="1">
      <c r="A172" s="2122" t="s">
        <v>1841</v>
      </c>
      <c r="B172" s="2225" t="s">
        <v>3958</v>
      </c>
      <c r="M172" s="2121">
        <v>1</v>
      </c>
      <c r="N172" s="2252"/>
      <c r="O172" s="3016"/>
      <c r="P172" s="2313"/>
      <c r="Q172" s="2318" t="str">
        <f>IF(OR($O172=$M172,$O172=0,$O172=""),"","*CHECK!*")</f>
        <v/>
      </c>
      <c r="R172" s="2303"/>
    </row>
    <row r="173" spans="1:27" ht="15.9" customHeight="1">
      <c r="A173" s="2122" t="s">
        <v>1843</v>
      </c>
      <c r="B173" s="2225" t="s">
        <v>3813</v>
      </c>
      <c r="M173" s="2137">
        <v>1</v>
      </c>
      <c r="N173" s="2252"/>
      <c r="O173" s="3017"/>
      <c r="P173" s="2242"/>
      <c r="Q173" s="2318" t="str">
        <f>IF(OR($O173=$M173,$O173=0,$O173=""),"","*CHECK!*")</f>
        <v/>
      </c>
      <c r="R173" s="2303"/>
    </row>
    <row r="174" spans="1:27" ht="15.9" hidden="1" customHeight="1">
      <c r="A174" s="2225"/>
      <c r="B174" s="2330"/>
      <c r="M174" s="2121"/>
      <c r="O174" s="2122"/>
      <c r="P174" s="2122"/>
    </row>
    <row r="175" spans="1:27" ht="15.9" customHeight="1">
      <c r="A175" s="2119"/>
      <c r="B175" s="2247" t="s">
        <v>1730</v>
      </c>
      <c r="C175" s="2119"/>
      <c r="D175" s="2247"/>
      <c r="E175" s="2159"/>
      <c r="F175" s="2159"/>
      <c r="G175" s="2159"/>
      <c r="H175" s="2159"/>
      <c r="I175" s="2159"/>
      <c r="J175" s="2159"/>
      <c r="K175" s="2159"/>
      <c r="L175" s="2159"/>
      <c r="M175" s="2159"/>
      <c r="N175" s="2248"/>
      <c r="O175" s="2249"/>
      <c r="P175" s="2122"/>
    </row>
    <row r="176" spans="1:27" ht="15.9" customHeight="1">
      <c r="A176" s="3891"/>
      <c r="B176" s="3892"/>
      <c r="C176" s="3892"/>
      <c r="D176" s="3892"/>
      <c r="E176" s="3892"/>
      <c r="F176" s="3892"/>
      <c r="G176" s="3892"/>
      <c r="H176" s="3892"/>
      <c r="I176" s="3892"/>
      <c r="J176" s="3892"/>
      <c r="K176" s="3892"/>
      <c r="L176" s="3892"/>
      <c r="M176" s="3892"/>
      <c r="N176" s="3892"/>
      <c r="O176" s="3892"/>
      <c r="P176" s="3893"/>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5.9" customHeight="1" thickBot="1">
      <c r="A179" s="2140" t="s">
        <v>344</v>
      </c>
      <c r="B179" s="2141" t="s">
        <v>3342</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5.9" hidden="1" customHeight="1">
      <c r="A180" s="2140"/>
      <c r="B180" s="2141"/>
      <c r="D180" s="2141"/>
      <c r="E180" s="2141"/>
      <c r="M180" s="2208"/>
      <c r="Q180" s="2201"/>
      <c r="R180" s="2116"/>
      <c r="S180" s="2116"/>
      <c r="T180" s="2116"/>
      <c r="U180" s="2116"/>
      <c r="V180" s="2116"/>
      <c r="W180" s="2118"/>
      <c r="X180" s="2118"/>
    </row>
    <row r="181" spans="1:27" ht="15.9" customHeight="1">
      <c r="A181" s="2122" t="s">
        <v>1841</v>
      </c>
      <c r="B181" s="2339" t="s">
        <v>3263</v>
      </c>
      <c r="D181" s="2182"/>
      <c r="E181" s="2182"/>
      <c r="F181" s="2182"/>
      <c r="G181" s="2182"/>
      <c r="H181" s="2182"/>
      <c r="L181" s="2182"/>
      <c r="M181" s="4029" t="str">
        <f>IF(AND(O181="Yes",O182="Yes"),"Only one category can be selected!","")</f>
        <v/>
      </c>
      <c r="N181" s="2252"/>
      <c r="O181" s="2254"/>
      <c r="P181" s="2255"/>
      <c r="Q181" s="2340"/>
      <c r="R181" s="2116"/>
      <c r="S181" s="2116"/>
      <c r="T181" s="2116"/>
      <c r="U181" s="2116"/>
      <c r="V181" s="2116"/>
    </row>
    <row r="182" spans="1:27" ht="15.9" customHeight="1">
      <c r="A182" s="2122" t="s">
        <v>1843</v>
      </c>
      <c r="B182" s="2339" t="s">
        <v>3264</v>
      </c>
      <c r="D182" s="2182"/>
      <c r="L182" s="2182"/>
      <c r="M182" s="4029"/>
      <c r="N182" s="2252"/>
      <c r="O182" s="2244"/>
      <c r="P182" s="2245"/>
      <c r="Q182" s="2340"/>
      <c r="R182" s="2116"/>
      <c r="S182" s="2116"/>
      <c r="T182" s="2116"/>
      <c r="U182" s="2116"/>
      <c r="V182" s="2116"/>
    </row>
    <row r="183" spans="1:27" ht="15.9" customHeight="1" thickBot="1">
      <c r="A183" s="2119"/>
      <c r="B183" s="2258" t="s">
        <v>3241</v>
      </c>
      <c r="C183" s="2119"/>
      <c r="D183" s="2119"/>
      <c r="E183" s="2119"/>
      <c r="F183" s="2119"/>
      <c r="G183" s="2119"/>
      <c r="H183" s="2119"/>
      <c r="I183" s="2119"/>
      <c r="J183" s="2119"/>
      <c r="K183" s="2119"/>
      <c r="M183" s="2121"/>
      <c r="O183" s="2131"/>
      <c r="R183" s="2116"/>
      <c r="S183" s="2116"/>
      <c r="T183" s="2116"/>
      <c r="U183" s="2116"/>
      <c r="V183" s="2116"/>
    </row>
    <row r="184" spans="1:27" ht="15.9" customHeight="1" thickTop="1" thickBot="1">
      <c r="A184" s="3955" t="s">
        <v>7116</v>
      </c>
      <c r="B184" s="3956"/>
      <c r="C184" s="3956"/>
      <c r="D184" s="3956"/>
      <c r="E184" s="3956"/>
      <c r="F184" s="3956"/>
      <c r="G184" s="3956"/>
      <c r="H184" s="3956"/>
      <c r="I184" s="3956"/>
      <c r="J184" s="3956"/>
      <c r="K184" s="3956"/>
      <c r="L184" s="3956"/>
      <c r="M184" s="3956"/>
      <c r="N184" s="3956"/>
      <c r="O184" s="3956"/>
      <c r="P184" s="3957"/>
      <c r="Q184" s="2207"/>
    </row>
    <row r="185" spans="1:27" ht="15.9" customHeight="1" thickTop="1">
      <c r="A185" s="2119"/>
      <c r="B185" s="2247" t="s">
        <v>1730</v>
      </c>
      <c r="C185" s="2119"/>
      <c r="D185" s="2247"/>
      <c r="E185" s="2159"/>
      <c r="F185" s="2159"/>
      <c r="G185" s="2159"/>
      <c r="H185" s="2159"/>
      <c r="I185" s="2159"/>
      <c r="J185" s="2159"/>
      <c r="K185" s="2159"/>
      <c r="L185" s="2159"/>
      <c r="M185" s="2159"/>
      <c r="N185" s="2248"/>
      <c r="O185" s="2249"/>
      <c r="P185" s="2122"/>
    </row>
    <row r="186" spans="1:27" ht="15.9" customHeight="1">
      <c r="A186" s="3891"/>
      <c r="B186" s="3892"/>
      <c r="C186" s="3892"/>
      <c r="D186" s="3892"/>
      <c r="E186" s="3892"/>
      <c r="F186" s="3892"/>
      <c r="G186" s="3892"/>
      <c r="H186" s="3892"/>
      <c r="I186" s="3892"/>
      <c r="J186" s="3892"/>
      <c r="K186" s="3892"/>
      <c r="L186" s="3892"/>
      <c r="M186" s="3892"/>
      <c r="N186" s="3892"/>
      <c r="O186" s="3892"/>
      <c r="P186" s="3893"/>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5.9" customHeight="1" thickBot="1">
      <c r="A189" s="2140" t="s">
        <v>1604</v>
      </c>
      <c r="B189" s="2141" t="s">
        <v>4037</v>
      </c>
      <c r="E189" s="2303" t="str">
        <f>IF(AND(O189&gt;0,NOT($F$36="New Supply"),NOT($O$36="9%")), "Ineligible, not New Supply and 9%!","")</f>
        <v/>
      </c>
      <c r="L189" s="2341" t="str">
        <f>IF(AND(O189&gt;0, NOT(O190="Yes")), "These points are only available to Phased Developments!", "")</f>
        <v/>
      </c>
      <c r="M189" s="2122">
        <v>3</v>
      </c>
      <c r="N189" s="2121"/>
      <c r="O189" s="2200"/>
      <c r="P189" s="2319"/>
      <c r="Q189" s="2201" t="s">
        <v>416</v>
      </c>
      <c r="R189" s="3015" t="s">
        <v>7036</v>
      </c>
      <c r="S189" s="2116"/>
      <c r="T189" s="2116"/>
      <c r="U189" s="2116"/>
      <c r="V189" s="2116"/>
      <c r="W189" s="2342"/>
      <c r="X189" s="2342"/>
    </row>
    <row r="190" spans="1:27" ht="15.9" customHeight="1">
      <c r="A190" s="2283"/>
      <c r="B190" s="2155" t="s">
        <v>6257</v>
      </c>
      <c r="C190" s="2155"/>
      <c r="D190" s="2155"/>
      <c r="E190" s="2155"/>
      <c r="F190" s="2155"/>
      <c r="G190" s="2137" t="s">
        <v>6859</v>
      </c>
      <c r="H190" s="3915" t="s">
        <v>574</v>
      </c>
      <c r="I190" s="3915"/>
      <c r="J190" s="3915"/>
      <c r="K190" s="4030" t="s">
        <v>6930</v>
      </c>
      <c r="L190" s="4030"/>
      <c r="M190" s="4030"/>
      <c r="N190" s="2308"/>
      <c r="O190" s="3018"/>
      <c r="P190" s="2343"/>
      <c r="Q190" s="2344"/>
      <c r="R190" s="2156"/>
      <c r="S190" s="2156"/>
      <c r="T190" s="2156"/>
      <c r="W190" s="2156"/>
      <c r="X190" s="2156"/>
      <c r="Y190" s="2156"/>
      <c r="Z190" s="2156"/>
      <c r="AA190" s="2156"/>
    </row>
    <row r="191" spans="1:27" ht="15.9" customHeight="1">
      <c r="A191" s="2283"/>
      <c r="B191" s="2283"/>
      <c r="D191" s="2184" t="s">
        <v>6258</v>
      </c>
      <c r="G191" s="3019"/>
      <c r="H191" s="4048"/>
      <c r="I191" s="4049"/>
      <c r="J191" s="4050"/>
      <c r="K191" s="4042"/>
      <c r="L191" s="4043"/>
      <c r="M191" s="4044"/>
      <c r="N191" s="2308"/>
      <c r="O191" s="2345"/>
      <c r="P191" s="2346"/>
      <c r="Q191" s="2156"/>
      <c r="R191" s="2156"/>
      <c r="S191" s="2156"/>
      <c r="T191" s="2156"/>
      <c r="W191" s="2156"/>
      <c r="X191" s="2156"/>
      <c r="Y191" s="2156"/>
      <c r="Z191" s="2156"/>
      <c r="AA191" s="2156"/>
    </row>
    <row r="192" spans="1:27" s="2119" customFormat="1" ht="15.9" customHeight="1">
      <c r="A192" s="2311"/>
      <c r="B192" s="2283"/>
      <c r="D192" s="2224" t="s">
        <v>6259</v>
      </c>
      <c r="G192" s="3020"/>
      <c r="H192" s="4045"/>
      <c r="I192" s="4046"/>
      <c r="J192" s="4047"/>
      <c r="K192" s="4039"/>
      <c r="L192" s="4040"/>
      <c r="M192" s="4041"/>
    </row>
    <row r="193" spans="1:24" ht="15.9" hidden="1" customHeight="1">
      <c r="A193" s="2119"/>
      <c r="D193" s="2119"/>
      <c r="E193" s="2119"/>
      <c r="F193" s="2122"/>
      <c r="G193" s="2122"/>
      <c r="H193" s="2122"/>
      <c r="I193" s="2122"/>
      <c r="J193" s="2224"/>
      <c r="K193" s="2224"/>
      <c r="L193" s="2224"/>
      <c r="M193" s="2121"/>
      <c r="N193" s="2122"/>
      <c r="P193" s="2131"/>
    </row>
    <row r="194" spans="1:24" ht="15.9" customHeight="1" thickBot="1">
      <c r="A194" s="2119"/>
      <c r="B194" s="2258" t="s">
        <v>3241</v>
      </c>
      <c r="C194" s="2119"/>
      <c r="D194" s="2119"/>
      <c r="E194" s="2119"/>
      <c r="F194" s="2119"/>
      <c r="G194" s="2119"/>
      <c r="H194" s="2119"/>
      <c r="I194" s="2119"/>
      <c r="J194" s="2119"/>
      <c r="K194" s="2119"/>
      <c r="M194" s="2121"/>
      <c r="O194" s="2131"/>
    </row>
    <row r="195" spans="1:24" ht="15.9" customHeight="1" thickTop="1" thickBot="1">
      <c r="A195" s="4012"/>
      <c r="B195" s="4013"/>
      <c r="C195" s="4013"/>
      <c r="D195" s="4013"/>
      <c r="E195" s="4013"/>
      <c r="F195" s="4013"/>
      <c r="G195" s="4013"/>
      <c r="H195" s="4013"/>
      <c r="I195" s="4013"/>
      <c r="J195" s="4013"/>
      <c r="K195" s="4013"/>
      <c r="L195" s="4013"/>
      <c r="M195" s="4013"/>
      <c r="N195" s="4013"/>
      <c r="O195" s="4013"/>
      <c r="P195" s="4014"/>
      <c r="Q195" s="2207"/>
    </row>
    <row r="196" spans="1:24" ht="15.9" customHeight="1" thickTop="1">
      <c r="B196" s="2247" t="s">
        <v>1730</v>
      </c>
      <c r="C196" s="2145"/>
      <c r="D196" s="2247"/>
      <c r="E196" s="2180"/>
      <c r="F196" s="2159"/>
      <c r="G196" s="2159"/>
      <c r="H196" s="2159"/>
      <c r="I196" s="2159"/>
      <c r="J196" s="2159"/>
      <c r="K196" s="2159"/>
      <c r="L196" s="2159"/>
      <c r="M196" s="2159"/>
      <c r="N196" s="2248"/>
      <c r="O196" s="2249"/>
      <c r="P196" s="2122"/>
    </row>
    <row r="197" spans="1:24" ht="15.9" customHeight="1">
      <c r="A197" s="3891"/>
      <c r="B197" s="3892"/>
      <c r="C197" s="3892"/>
      <c r="D197" s="3892"/>
      <c r="E197" s="3892"/>
      <c r="F197" s="3892"/>
      <c r="G197" s="3892"/>
      <c r="H197" s="3892"/>
      <c r="I197" s="3892"/>
      <c r="J197" s="3892"/>
      <c r="K197" s="3892"/>
      <c r="L197" s="3892"/>
      <c r="M197" s="3892"/>
      <c r="N197" s="3892"/>
      <c r="O197" s="3892"/>
      <c r="P197" s="3893"/>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5.9" customHeight="1" thickBot="1">
      <c r="A200" s="2140" t="s">
        <v>2495</v>
      </c>
      <c r="B200" s="2141" t="s">
        <v>3961</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3015" t="s">
        <v>7036</v>
      </c>
      <c r="S200" s="2116"/>
      <c r="T200" s="2116"/>
      <c r="U200" s="2116"/>
      <c r="V200" s="2116"/>
      <c r="W200" s="2342"/>
      <c r="X200" s="2342"/>
    </row>
    <row r="201" spans="1:24" s="2119" customFormat="1" ht="15.9" customHeight="1">
      <c r="A201" s="2136" t="s">
        <v>1841</v>
      </c>
      <c r="B201" s="2129" t="s">
        <v>6938</v>
      </c>
      <c r="M201" s="2121">
        <v>5</v>
      </c>
      <c r="N201" s="2252"/>
      <c r="O201" s="3021"/>
      <c r="P201" s="2347"/>
      <c r="Q201" s="2318" t="str">
        <f>IF(OR($O201=$M201,$O201=$M201-1,$O201=0,$O201=""),"","*CHECK!*")</f>
        <v/>
      </c>
      <c r="R201" s="2303"/>
      <c r="S201" s="2116"/>
      <c r="T201" s="2116"/>
      <c r="U201" s="2116"/>
      <c r="V201" s="2116"/>
    </row>
    <row r="202" spans="1:24" s="2119" customFormat="1" ht="15.9" customHeight="1">
      <c r="A202" s="2136" t="s">
        <v>1843</v>
      </c>
      <c r="B202" s="2129" t="s">
        <v>6936</v>
      </c>
      <c r="M202" s="2121">
        <v>3</v>
      </c>
      <c r="N202" s="2252"/>
      <c r="O202" s="3022"/>
      <c r="P202" s="2239"/>
      <c r="Q202" s="2318" t="str">
        <f>IF(OR($O202=$M202,$O202=$M202-1,$O202=0,$O202=""),"","*CHECK!*")</f>
        <v/>
      </c>
      <c r="R202" s="2303"/>
    </row>
    <row r="203" spans="1:24" ht="15.9" customHeight="1">
      <c r="A203" s="2136" t="s">
        <v>698</v>
      </c>
      <c r="B203" s="2129" t="s">
        <v>6937</v>
      </c>
      <c r="G203" s="2224" t="s">
        <v>6230</v>
      </c>
      <c r="I203" s="2280"/>
      <c r="L203" s="2116"/>
      <c r="M203" s="2121">
        <v>3</v>
      </c>
      <c r="N203" s="2252"/>
      <c r="O203" s="3017"/>
      <c r="P203" s="2242"/>
      <c r="Q203" s="2318" t="str">
        <f>IF(OR($O203=$M203,$O203=$M203-1,$O203=0,$O203=""),"","*CHECK!*")</f>
        <v/>
      </c>
      <c r="R203" s="2303"/>
    </row>
    <row r="204" spans="1:24" ht="15.9" customHeight="1" thickBot="1">
      <c r="A204" s="2119"/>
      <c r="B204" s="2258" t="s">
        <v>3241</v>
      </c>
      <c r="C204" s="2119"/>
      <c r="D204" s="2119"/>
      <c r="E204" s="2119"/>
      <c r="F204" s="2119"/>
      <c r="G204" s="2119"/>
      <c r="H204" s="2119"/>
      <c r="I204" s="2119"/>
      <c r="J204" s="2119"/>
      <c r="K204" s="2119"/>
      <c r="M204" s="2121"/>
      <c r="O204" s="2131"/>
    </row>
    <row r="205" spans="1:24" ht="15.9" customHeight="1" thickTop="1" thickBot="1">
      <c r="A205" s="4012"/>
      <c r="B205" s="4013"/>
      <c r="C205" s="4013"/>
      <c r="D205" s="4013"/>
      <c r="E205" s="4013"/>
      <c r="F205" s="4013"/>
      <c r="G205" s="4013"/>
      <c r="H205" s="4013"/>
      <c r="I205" s="4013"/>
      <c r="J205" s="4013"/>
      <c r="K205" s="4013"/>
      <c r="L205" s="4013"/>
      <c r="M205" s="4013"/>
      <c r="N205" s="4013"/>
      <c r="O205" s="4013"/>
      <c r="P205" s="4014"/>
      <c r="Q205" s="2207"/>
    </row>
    <row r="206" spans="1:24" ht="15.9" customHeight="1" thickTop="1">
      <c r="B206" s="2247" t="s">
        <v>1730</v>
      </c>
      <c r="C206" s="2145"/>
      <c r="D206" s="2247"/>
      <c r="E206" s="2180"/>
      <c r="F206" s="2159"/>
      <c r="G206" s="2159"/>
      <c r="H206" s="2159"/>
      <c r="I206" s="2159"/>
      <c r="J206" s="2159"/>
      <c r="K206" s="2159"/>
      <c r="L206" s="2159"/>
      <c r="M206" s="2159"/>
      <c r="N206" s="2248"/>
      <c r="O206" s="2249"/>
      <c r="P206" s="2122"/>
    </row>
    <row r="207" spans="1:24" ht="15.9" customHeight="1">
      <c r="A207" s="3891"/>
      <c r="B207" s="3892"/>
      <c r="C207" s="3892"/>
      <c r="D207" s="3892"/>
      <c r="E207" s="3892"/>
      <c r="F207" s="3892"/>
      <c r="G207" s="3892"/>
      <c r="H207" s="3892"/>
      <c r="I207" s="3892"/>
      <c r="J207" s="3892"/>
      <c r="K207" s="3892"/>
      <c r="L207" s="3892"/>
      <c r="M207" s="3892"/>
      <c r="N207" s="3892"/>
      <c r="O207" s="3892"/>
      <c r="P207" s="3893"/>
      <c r="Q207" s="2250"/>
    </row>
    <row r="208" spans="1:24" ht="10.5" customHeight="1">
      <c r="T208" s="2348"/>
      <c r="U208" s="2348"/>
    </row>
    <row r="209" spans="1:22" s="2260" customFormat="1" ht="9.75" customHeight="1" thickBot="1">
      <c r="N209" s="2325"/>
      <c r="O209" s="2326"/>
      <c r="P209" s="2326"/>
      <c r="T209" s="2349"/>
      <c r="U209" s="2349"/>
    </row>
    <row r="210" spans="1:22" ht="15.9" customHeight="1" thickBot="1">
      <c r="A210" s="2336" t="s">
        <v>2080</v>
      </c>
      <c r="B210" s="2141" t="s">
        <v>2515</v>
      </c>
      <c r="H210" s="2224"/>
      <c r="J210" s="2121"/>
      <c r="K210" s="2119"/>
      <c r="L210" s="2252"/>
      <c r="M210" s="2122">
        <v>4</v>
      </c>
      <c r="N210" s="2121"/>
      <c r="O210" s="2200">
        <f>IF(AND(O211&gt;0,O215&gt;0),"AorB?",MIN($M210,SUM(O211,O215,O217)))</f>
        <v>4</v>
      </c>
      <c r="P210" s="2200">
        <f>IF(AND(P211&gt;0,P215&gt;0),"AorB?",MIN($M210,SUM(P211,P215,P217)))</f>
        <v>0</v>
      </c>
      <c r="Q210" s="2201" t="s">
        <v>416</v>
      </c>
      <c r="T210" s="2348"/>
      <c r="U210" s="2348"/>
    </row>
    <row r="211" spans="1:22" s="2119" customFormat="1" ht="15.9" customHeight="1">
      <c r="A211" s="2136" t="s">
        <v>1841</v>
      </c>
      <c r="B211" s="2129" t="s">
        <v>2065</v>
      </c>
      <c r="D211" s="2280"/>
      <c r="E211" s="2280"/>
      <c r="G211" s="2118"/>
      <c r="L211" s="2230"/>
      <c r="M211" s="2121">
        <v>3</v>
      </c>
      <c r="N211" s="2252"/>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8"/>
      <c r="R211" s="2303"/>
      <c r="T211" s="2348"/>
      <c r="U211" s="2348"/>
    </row>
    <row r="212" spans="1:22" s="2119" customFormat="1" ht="15.9" customHeight="1">
      <c r="A212" s="2136"/>
      <c r="B212" s="2311" t="s">
        <v>1844</v>
      </c>
      <c r="C212" s="2224" t="s">
        <v>6613</v>
      </c>
      <c r="D212" s="2280"/>
      <c r="E212" s="2280"/>
      <c r="G212" s="2118"/>
      <c r="L212" s="2230"/>
      <c r="M212" s="2121">
        <v>3</v>
      </c>
      <c r="N212" s="2370"/>
      <c r="O212" s="2254" t="s">
        <v>2649</v>
      </c>
      <c r="P212" s="2255"/>
      <c r="Q212" s="2318"/>
      <c r="R212" s="2303"/>
      <c r="T212" s="2348"/>
      <c r="U212" s="2348"/>
    </row>
    <row r="213" spans="1:22" s="2119" customFormat="1" ht="15.9" customHeight="1">
      <c r="A213" s="2136"/>
      <c r="B213" s="2283" t="s">
        <v>1846</v>
      </c>
      <c r="C213" s="2224" t="s">
        <v>6614</v>
      </c>
      <c r="D213" s="2280"/>
      <c r="E213" s="2280"/>
      <c r="G213" s="2118"/>
      <c r="L213" s="2230"/>
      <c r="M213" s="2121">
        <v>2</v>
      </c>
      <c r="N213" s="2370"/>
      <c r="O213" s="2267"/>
      <c r="P213" s="2268"/>
      <c r="Q213" s="2318"/>
      <c r="R213" s="2303"/>
      <c r="T213" s="2348"/>
      <c r="U213" s="2348"/>
    </row>
    <row r="214" spans="1:22" s="2119" customFormat="1" ht="15.9" customHeight="1">
      <c r="A214" s="2136"/>
      <c r="B214" s="2283" t="s">
        <v>2332</v>
      </c>
      <c r="C214" s="2224" t="s">
        <v>6615</v>
      </c>
      <c r="D214" s="2280"/>
      <c r="E214" s="2280"/>
      <c r="G214" s="2118"/>
      <c r="K214" s="2252"/>
      <c r="M214" s="2121">
        <v>1</v>
      </c>
      <c r="N214" s="2370"/>
      <c r="O214" s="2244"/>
      <c r="P214" s="2245"/>
      <c r="R214" s="2118"/>
      <c r="T214" s="2348"/>
      <c r="U214" s="2348"/>
    </row>
    <row r="215" spans="1:22" ht="15.9" customHeight="1">
      <c r="A215" s="2136" t="s">
        <v>1843</v>
      </c>
      <c r="B215" s="2129" t="s">
        <v>3953</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c r="A216" s="2336"/>
      <c r="B216" s="4011" t="s">
        <v>6896</v>
      </c>
      <c r="C216" s="4011"/>
      <c r="D216" s="4011"/>
      <c r="E216" s="4011"/>
      <c r="F216" s="4011"/>
      <c r="G216" s="4011"/>
      <c r="H216" s="4011"/>
      <c r="I216" s="4011"/>
      <c r="J216" s="4011"/>
      <c r="K216" s="4011"/>
      <c r="L216" s="4011"/>
      <c r="M216" s="2121"/>
      <c r="N216" s="2252"/>
      <c r="O216" s="2351"/>
      <c r="P216" s="2352"/>
      <c r="R216" s="2230"/>
      <c r="T216" s="2348"/>
      <c r="U216" s="2348"/>
    </row>
    <row r="217" spans="1:22" ht="15.9" customHeight="1">
      <c r="A217" s="2136" t="s">
        <v>698</v>
      </c>
      <c r="B217" s="2129" t="s">
        <v>3825</v>
      </c>
      <c r="D217" s="2119"/>
      <c r="H217" s="2119"/>
      <c r="K217" s="2119"/>
      <c r="L217" s="2230"/>
      <c r="M217" s="2121">
        <v>1</v>
      </c>
      <c r="N217" s="2252"/>
      <c r="O217" s="2304">
        <f>IF(O211=0,0,IF(O218="Yes",$M$217,0))</f>
        <v>1</v>
      </c>
      <c r="P217" s="2304">
        <f>IF(P211=0,0,IF(P218="Yes",$M$217,0))</f>
        <v>0</v>
      </c>
      <c r="Q217" s="2318" t="str">
        <f>IF(OR($O217=$M217,$O217=0,$O217=""),"","*CHECK!*")</f>
        <v/>
      </c>
      <c r="R217" s="2303"/>
      <c r="T217" s="2348"/>
      <c r="U217" s="2348"/>
    </row>
    <row r="218" spans="1:22" ht="45.75" customHeight="1">
      <c r="B218" s="3872" t="s">
        <v>6939</v>
      </c>
      <c r="C218" s="3872"/>
      <c r="D218" s="3872"/>
      <c r="E218" s="3872"/>
      <c r="F218" s="3872"/>
      <c r="G218" s="3872"/>
      <c r="H218" s="3872"/>
      <c r="I218" s="3872"/>
      <c r="J218" s="3872"/>
      <c r="K218" s="3872"/>
      <c r="L218" s="3872"/>
      <c r="M218" s="2121"/>
      <c r="N218" s="2252"/>
      <c r="O218" s="2323" t="s">
        <v>2649</v>
      </c>
      <c r="P218" s="2324"/>
      <c r="R218" s="2230"/>
      <c r="T218" s="2348"/>
      <c r="U218" s="2348"/>
    </row>
    <row r="219" spans="1:22" ht="15.9" customHeight="1">
      <c r="A219" s="2119"/>
      <c r="B219" s="2247" t="s">
        <v>1730</v>
      </c>
      <c r="C219" s="2145"/>
      <c r="D219" s="2247"/>
      <c r="E219" s="2180"/>
      <c r="F219" s="2159"/>
      <c r="G219" s="2159"/>
      <c r="H219" s="2159"/>
      <c r="I219" s="2159"/>
      <c r="J219" s="2159"/>
      <c r="K219" s="2159"/>
      <c r="L219" s="2159"/>
      <c r="M219" s="2159"/>
      <c r="N219" s="2248"/>
      <c r="O219" s="2249"/>
      <c r="P219" s="2122"/>
    </row>
    <row r="220" spans="1:22" ht="15.9" customHeight="1">
      <c r="A220" s="3891"/>
      <c r="B220" s="3892"/>
      <c r="C220" s="3892"/>
      <c r="D220" s="3892"/>
      <c r="E220" s="3892"/>
      <c r="F220" s="3892"/>
      <c r="G220" s="3892"/>
      <c r="H220" s="3892"/>
      <c r="I220" s="3892"/>
      <c r="J220" s="3892"/>
      <c r="K220" s="3892"/>
      <c r="L220" s="3892"/>
      <c r="M220" s="3892"/>
      <c r="N220" s="3892"/>
      <c r="O220" s="3892"/>
      <c r="P220" s="3893"/>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5.9" customHeight="1" thickBot="1">
      <c r="A223" s="2140" t="s">
        <v>3370</v>
      </c>
      <c r="B223" s="2141" t="s">
        <v>6573</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3015" t="s">
        <v>7036</v>
      </c>
      <c r="S223" s="2116"/>
      <c r="T223" s="2116"/>
      <c r="U223" s="2116"/>
      <c r="V223" s="2116"/>
    </row>
    <row r="224" spans="1:22" ht="15.9" customHeight="1">
      <c r="A224" s="2122"/>
      <c r="B224" s="2182" t="s">
        <v>6860</v>
      </c>
      <c r="D224" s="2182"/>
      <c r="E224" s="2182"/>
      <c r="F224" s="2182"/>
      <c r="G224" s="2182"/>
      <c r="H224" s="2182"/>
      <c r="L224" s="2182"/>
      <c r="M224" s="2137"/>
      <c r="N224" s="2252"/>
      <c r="O224" s="3023"/>
      <c r="P224" s="2362"/>
      <c r="Q224" s="2340">
        <f>IF(L224="Yes",1,0)</f>
        <v>0</v>
      </c>
      <c r="R224" s="2116"/>
      <c r="S224" s="2116"/>
      <c r="T224" s="2116"/>
      <c r="U224" s="2116"/>
      <c r="V224" s="2116"/>
    </row>
    <row r="225" spans="1:24" ht="15.75" customHeight="1">
      <c r="B225" s="4058" t="s">
        <v>6897</v>
      </c>
      <c r="C225" s="4058"/>
      <c r="D225" s="4058"/>
      <c r="E225" s="4058"/>
      <c r="F225" s="4058"/>
      <c r="G225" s="4058"/>
      <c r="H225" s="4058"/>
      <c r="I225" s="4058"/>
      <c r="J225" s="4058"/>
      <c r="K225" s="4058"/>
      <c r="L225" s="4058"/>
      <c r="M225" s="2137"/>
      <c r="O225" s="2137"/>
      <c r="P225" s="2137"/>
      <c r="Q225" s="2340"/>
      <c r="R225" s="2116"/>
      <c r="S225" s="2116"/>
      <c r="T225" s="2116"/>
      <c r="U225" s="2116"/>
      <c r="V225" s="2116"/>
    </row>
    <row r="226" spans="1:24" ht="15.9" customHeight="1">
      <c r="B226" s="4059"/>
      <c r="C226" s="4060"/>
      <c r="D226" s="4060"/>
      <c r="E226" s="4060"/>
      <c r="F226" s="4060"/>
      <c r="G226" s="4060"/>
      <c r="H226" s="4060"/>
      <c r="I226" s="4060"/>
      <c r="J226" s="4060"/>
      <c r="K226" s="4060"/>
      <c r="L226" s="4060"/>
      <c r="M226" s="4060"/>
      <c r="N226" s="4060"/>
      <c r="O226" s="4060"/>
      <c r="P226" s="4061"/>
      <c r="Q226" s="2340"/>
      <c r="R226" s="2116"/>
      <c r="S226" s="2116"/>
      <c r="T226" s="2116"/>
      <c r="U226" s="2116"/>
      <c r="V226" s="2116"/>
    </row>
    <row r="227" spans="1:24" ht="15.9" customHeight="1" thickBot="1">
      <c r="A227" s="2119"/>
      <c r="B227" s="2258" t="s">
        <v>3241</v>
      </c>
      <c r="C227" s="2119"/>
      <c r="D227" s="2119"/>
      <c r="E227" s="2119"/>
      <c r="F227" s="2119"/>
      <c r="G227" s="2119"/>
      <c r="H227" s="2119"/>
      <c r="I227" s="2119"/>
      <c r="J227" s="2119"/>
      <c r="K227" s="2119"/>
      <c r="M227" s="2121"/>
      <c r="O227" s="2131"/>
      <c r="R227" s="2116"/>
      <c r="S227" s="2116"/>
      <c r="T227" s="2116"/>
      <c r="U227" s="2116"/>
      <c r="V227" s="2116"/>
    </row>
    <row r="228" spans="1:24" ht="15.9" customHeight="1" thickTop="1" thickBot="1">
      <c r="A228" s="4012"/>
      <c r="B228" s="4013"/>
      <c r="C228" s="4013"/>
      <c r="D228" s="4013"/>
      <c r="E228" s="4013"/>
      <c r="F228" s="4013"/>
      <c r="G228" s="4013"/>
      <c r="H228" s="4013"/>
      <c r="I228" s="4013"/>
      <c r="J228" s="4013"/>
      <c r="K228" s="4013"/>
      <c r="L228" s="4013"/>
      <c r="M228" s="4013"/>
      <c r="N228" s="4013"/>
      <c r="O228" s="4013"/>
      <c r="P228" s="4014"/>
      <c r="Q228" s="2207"/>
    </row>
    <row r="229" spans="1:24" ht="15.9" customHeight="1" thickTop="1">
      <c r="A229" s="2119"/>
      <c r="B229" s="2247" t="s">
        <v>1730</v>
      </c>
      <c r="C229" s="2119"/>
      <c r="D229" s="2247"/>
      <c r="E229" s="2159"/>
      <c r="F229" s="2159"/>
      <c r="G229" s="2159"/>
      <c r="H229" s="2159"/>
      <c r="I229" s="2159"/>
      <c r="J229" s="2159"/>
      <c r="K229" s="2159"/>
      <c r="L229" s="2159"/>
      <c r="M229" s="2159"/>
      <c r="N229" s="2248"/>
      <c r="O229" s="2249"/>
      <c r="P229" s="2122"/>
    </row>
    <row r="230" spans="1:24" ht="15.9" customHeight="1">
      <c r="A230" s="3891"/>
      <c r="B230" s="3892"/>
      <c r="C230" s="3892"/>
      <c r="D230" s="3892"/>
      <c r="E230" s="3892"/>
      <c r="F230" s="3892"/>
      <c r="G230" s="3892"/>
      <c r="H230" s="3892"/>
      <c r="I230" s="3892"/>
      <c r="J230" s="3892"/>
      <c r="K230" s="3892"/>
      <c r="L230" s="3892"/>
      <c r="M230" s="3892"/>
      <c r="N230" s="3892"/>
      <c r="O230" s="3892"/>
      <c r="P230" s="3893"/>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5.9" customHeight="1" thickBot="1">
      <c r="A233" s="2140" t="s">
        <v>3371</v>
      </c>
      <c r="B233" s="2141" t="s">
        <v>6578</v>
      </c>
      <c r="D233" s="2141"/>
      <c r="E233" s="2141"/>
      <c r="G233" s="2338"/>
      <c r="L233" s="2233" t="str">
        <f>IF(AND(O241&gt;0,O244&gt;0), "Choose only one option!","")</f>
        <v/>
      </c>
      <c r="M233" s="2122">
        <v>2</v>
      </c>
      <c r="N233" s="2121"/>
      <c r="O233" s="2200">
        <f>IF(O241=$M$241,$M$241,IF(O244=$M$244,$M$244,0))</f>
        <v>0</v>
      </c>
      <c r="P233" s="2200">
        <f>IF(P241=$M$241,$M$241,IF(P244=$M$244,$M$244,0))</f>
        <v>0</v>
      </c>
      <c r="Q233" s="2201" t="s">
        <v>416</v>
      </c>
      <c r="R233" s="2116"/>
      <c r="S233" s="2116"/>
      <c r="T233" s="2116"/>
      <c r="U233" s="2116"/>
      <c r="V233" s="2116"/>
    </row>
    <row r="234" spans="1:24" s="2119" customFormat="1" ht="15.9" customHeight="1">
      <c r="A234" s="2140"/>
      <c r="B234" s="2119" t="s">
        <v>6898</v>
      </c>
      <c r="D234" s="2141"/>
      <c r="E234" s="2141"/>
      <c r="J234" s="2354"/>
      <c r="M234" s="2208"/>
      <c r="O234" s="4073" t="s">
        <v>6899</v>
      </c>
      <c r="P234" s="4073" t="s">
        <v>3150</v>
      </c>
      <c r="Q234" s="2201"/>
      <c r="R234" s="2116"/>
      <c r="S234" s="2116"/>
      <c r="T234" s="2116"/>
      <c r="U234" s="2116"/>
      <c r="V234" s="2116"/>
      <c r="W234" s="2118"/>
      <c r="X234" s="2118"/>
    </row>
    <row r="235" spans="1:24" s="2119" customFormat="1" ht="15.9" customHeight="1">
      <c r="A235" s="2140"/>
      <c r="C235" s="2119" t="s">
        <v>6693</v>
      </c>
      <c r="I235" s="4062"/>
      <c r="J235" s="4063"/>
      <c r="K235" s="4064"/>
      <c r="L235" s="4065"/>
      <c r="M235" s="2208"/>
      <c r="O235" s="3988"/>
      <c r="P235" s="3988"/>
      <c r="Q235" s="2201"/>
      <c r="R235" s="2116"/>
      <c r="S235" s="2116"/>
      <c r="T235" s="2116"/>
      <c r="U235" s="2116"/>
      <c r="V235" s="2116"/>
      <c r="W235" s="2118"/>
      <c r="X235" s="2118"/>
    </row>
    <row r="236" spans="1:24" s="2119" customFormat="1" ht="15.9" customHeight="1">
      <c r="A236" s="2140"/>
      <c r="C236" s="2119" t="s">
        <v>6692</v>
      </c>
      <c r="I236" s="4066"/>
      <c r="J236" s="4067"/>
      <c r="M236" s="2208"/>
      <c r="O236" s="3988"/>
      <c r="P236" s="3988"/>
      <c r="Q236" s="2201"/>
      <c r="R236" s="2116"/>
      <c r="S236" s="2116"/>
      <c r="T236" s="2116"/>
      <c r="U236" s="2116"/>
      <c r="V236" s="2116"/>
      <c r="W236" s="2118"/>
      <c r="X236" s="2118"/>
    </row>
    <row r="237" spans="1:24" s="2119" customFormat="1" ht="15.9" customHeight="1">
      <c r="A237" s="2140"/>
      <c r="C237" s="2119" t="s">
        <v>6694</v>
      </c>
      <c r="I237" s="4071" t="s">
        <v>6695</v>
      </c>
      <c r="J237" s="4072"/>
      <c r="K237" s="4064"/>
      <c r="L237" s="4065"/>
      <c r="M237" s="2208"/>
      <c r="O237" s="3988"/>
      <c r="P237" s="3988"/>
      <c r="Q237" s="2201"/>
      <c r="R237" s="2116"/>
      <c r="S237" s="2116"/>
      <c r="T237" s="2116"/>
      <c r="U237" s="2116"/>
      <c r="V237" s="2116"/>
      <c r="W237" s="2118"/>
      <c r="X237" s="2118"/>
    </row>
    <row r="238" spans="1:24" ht="4.5" customHeight="1">
      <c r="A238" s="2140"/>
      <c r="B238" s="2119"/>
      <c r="H238" s="2129"/>
      <c r="M238" s="2122"/>
      <c r="N238" s="2252"/>
      <c r="O238" s="3989"/>
      <c r="P238" s="3989"/>
      <c r="Q238" s="2201"/>
      <c r="R238" s="2265"/>
      <c r="S238" s="2265"/>
      <c r="T238" s="2265"/>
      <c r="U238" s="2265"/>
    </row>
    <row r="239" spans="1:24" ht="30.75" customHeight="1" thickBot="1">
      <c r="A239" s="2355"/>
      <c r="B239" s="2252"/>
      <c r="C239" s="4011" t="s">
        <v>6861</v>
      </c>
      <c r="D239" s="4011"/>
      <c r="E239" s="4011"/>
      <c r="F239" s="4011"/>
      <c r="G239" s="4011"/>
      <c r="H239" s="4011"/>
      <c r="I239" s="4011"/>
      <c r="J239" s="4011"/>
      <c r="K239" s="4011"/>
      <c r="L239" s="4011"/>
      <c r="M239" s="2119"/>
      <c r="N239" s="2252"/>
      <c r="O239" s="2244"/>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5.9" customHeight="1" thickBot="1">
      <c r="A241" s="2122" t="s">
        <v>1841</v>
      </c>
      <c r="B241" s="2339" t="s">
        <v>6579</v>
      </c>
      <c r="D241" s="2182"/>
      <c r="E241" s="2182"/>
      <c r="G241" s="2182" t="s">
        <v>6587</v>
      </c>
      <c r="H241" s="2182"/>
      <c r="L241" s="2182"/>
      <c r="M241" s="2137">
        <v>2</v>
      </c>
      <c r="N241" s="2252"/>
      <c r="O241" s="2356"/>
      <c r="P241" s="2319"/>
      <c r="Q241" s="2357" t="str">
        <f>IF(OR(O241=0,O241="",O241=$M241),"","Check!")</f>
        <v/>
      </c>
      <c r="R241" s="2303"/>
      <c r="S241" s="2116"/>
      <c r="T241" s="2116"/>
      <c r="U241" s="2116"/>
      <c r="V241" s="2116"/>
    </row>
    <row r="242" spans="1:22" s="2155" customFormat="1" ht="29.25" customHeight="1">
      <c r="A242" s="2358"/>
      <c r="B242" s="2283"/>
      <c r="C242" s="3872" t="s">
        <v>6588</v>
      </c>
      <c r="D242" s="3872"/>
      <c r="E242" s="3872"/>
      <c r="F242" s="3872"/>
      <c r="G242" s="3872"/>
      <c r="H242" s="3872"/>
      <c r="I242" s="3872"/>
      <c r="J242" s="3872"/>
      <c r="K242" s="3872"/>
      <c r="L242" s="3872"/>
      <c r="M242" s="3872"/>
      <c r="N242" s="2370"/>
      <c r="O242" s="2254"/>
      <c r="P242" s="2255"/>
      <c r="Q242" s="2359"/>
      <c r="R242" s="2360"/>
      <c r="S242" s="2360"/>
      <c r="T242" s="2360"/>
      <c r="U242" s="2360"/>
    </row>
    <row r="243" spans="1:22" s="2155" customFormat="1" ht="29.25" customHeight="1" thickBot="1">
      <c r="A243" s="2358"/>
      <c r="B243" s="2283"/>
      <c r="C243" s="3872" t="s">
        <v>6862</v>
      </c>
      <c r="D243" s="3872"/>
      <c r="E243" s="3872"/>
      <c r="F243" s="3872"/>
      <c r="G243" s="3872"/>
      <c r="H243" s="3872"/>
      <c r="I243" s="3872"/>
      <c r="J243" s="3872"/>
      <c r="K243" s="3872"/>
      <c r="L243" s="3872"/>
      <c r="M243" s="3872"/>
      <c r="N243" s="2370"/>
      <c r="O243" s="2323"/>
      <c r="P243" s="2324"/>
      <c r="Q243" s="2359"/>
      <c r="R243" s="2360"/>
      <c r="S243" s="2360"/>
      <c r="T243" s="2360"/>
      <c r="U243" s="2360"/>
    </row>
    <row r="244" spans="1:22" ht="15.9" customHeight="1" thickBot="1">
      <c r="A244" s="2122" t="s">
        <v>1843</v>
      </c>
      <c r="B244" s="2339" t="s">
        <v>6580</v>
      </c>
      <c r="D244" s="2182"/>
      <c r="L244" s="2182"/>
      <c r="M244" s="2137">
        <v>2</v>
      </c>
      <c r="N244" s="2252"/>
      <c r="O244" s="2356"/>
      <c r="P244" s="2319"/>
      <c r="Q244" s="2357" t="str">
        <f>IF(OR(O244=0,O244="",O244=$M244),"","Check!")</f>
        <v/>
      </c>
      <c r="R244" s="2303"/>
      <c r="S244" s="2116"/>
      <c r="T244" s="2116"/>
      <c r="U244" s="2116"/>
      <c r="V244" s="2116"/>
    </row>
    <row r="245" spans="1:22" ht="15.9" customHeight="1">
      <c r="A245" s="2122"/>
      <c r="B245" s="2339"/>
      <c r="C245" s="2119" t="s">
        <v>6863</v>
      </c>
      <c r="D245" s="2182"/>
      <c r="L245" s="2182"/>
      <c r="M245" s="2137"/>
      <c r="N245" s="2252"/>
      <c r="O245" s="2254"/>
      <c r="P245" s="2255"/>
      <c r="Q245" s="2357"/>
      <c r="R245" s="2303"/>
      <c r="S245" s="2116"/>
      <c r="T245" s="2116"/>
      <c r="U245" s="2116"/>
      <c r="V245" s="2116"/>
    </row>
    <row r="246" spans="1:22" s="2155" customFormat="1" ht="30" customHeight="1">
      <c r="A246" s="2358"/>
      <c r="B246" s="2283"/>
      <c r="C246" s="3872" t="s">
        <v>6935</v>
      </c>
      <c r="D246" s="3872"/>
      <c r="E246" s="3872"/>
      <c r="F246" s="3872"/>
      <c r="G246" s="3872"/>
      <c r="H246" s="3872"/>
      <c r="I246" s="3872"/>
      <c r="J246" s="3872"/>
      <c r="K246" s="3872"/>
      <c r="L246" s="3872"/>
      <c r="M246" s="3872"/>
      <c r="N246" s="2370"/>
      <c r="O246" s="2323"/>
      <c r="P246" s="2324"/>
      <c r="Q246" s="2359"/>
      <c r="R246" s="2360"/>
      <c r="S246" s="2360"/>
      <c r="T246" s="2360"/>
      <c r="U246" s="2360"/>
    </row>
    <row r="247" spans="1:22" ht="15.9" customHeight="1" thickBot="1">
      <c r="A247" s="2119"/>
      <c r="B247" s="2258" t="s">
        <v>3241</v>
      </c>
      <c r="C247" s="2119"/>
      <c r="D247" s="2119"/>
      <c r="E247" s="2119"/>
      <c r="F247" s="2119"/>
      <c r="G247" s="2119"/>
      <c r="H247" s="2119"/>
      <c r="I247" s="2119"/>
      <c r="J247" s="2119"/>
      <c r="K247" s="2119"/>
      <c r="M247" s="2121"/>
      <c r="O247" s="2131"/>
      <c r="R247" s="2116"/>
      <c r="S247" s="2116"/>
      <c r="T247" s="2116"/>
      <c r="U247" s="2116"/>
      <c r="V247" s="2116"/>
    </row>
    <row r="248" spans="1:22" ht="15.9" customHeight="1" thickTop="1" thickBot="1">
      <c r="A248" s="3955" t="s">
        <v>7170</v>
      </c>
      <c r="B248" s="3956"/>
      <c r="C248" s="3956"/>
      <c r="D248" s="3956"/>
      <c r="E248" s="3956"/>
      <c r="F248" s="3956"/>
      <c r="G248" s="3956"/>
      <c r="H248" s="3956"/>
      <c r="I248" s="3956"/>
      <c r="J248" s="3956"/>
      <c r="K248" s="3956"/>
      <c r="L248" s="3956"/>
      <c r="M248" s="3956"/>
      <c r="N248" s="3956"/>
      <c r="O248" s="3956"/>
      <c r="P248" s="3957"/>
      <c r="Q248" s="2207"/>
    </row>
    <row r="249" spans="1:22" ht="15.9" customHeight="1" thickTop="1">
      <c r="A249" s="2119"/>
      <c r="B249" s="2247" t="s">
        <v>1730</v>
      </c>
      <c r="C249" s="2119"/>
      <c r="D249" s="2247"/>
      <c r="E249" s="2159"/>
      <c r="F249" s="2159"/>
      <c r="G249" s="2159"/>
      <c r="H249" s="2159"/>
      <c r="I249" s="2159"/>
      <c r="J249" s="2159"/>
      <c r="K249" s="2159"/>
      <c r="L249" s="2159"/>
      <c r="M249" s="2159"/>
      <c r="N249" s="2248"/>
      <c r="O249" s="2249"/>
      <c r="P249" s="2122"/>
    </row>
    <row r="250" spans="1:22" ht="15.9" customHeight="1">
      <c r="A250" s="3891"/>
      <c r="B250" s="3892"/>
      <c r="C250" s="3892"/>
      <c r="D250" s="3892"/>
      <c r="E250" s="3892"/>
      <c r="F250" s="3892"/>
      <c r="G250" s="3892"/>
      <c r="H250" s="3892"/>
      <c r="I250" s="3892"/>
      <c r="J250" s="3892"/>
      <c r="K250" s="3892"/>
      <c r="L250" s="3892"/>
      <c r="M250" s="3892"/>
      <c r="N250" s="3892"/>
      <c r="O250" s="3892"/>
      <c r="P250" s="3893"/>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5.9" customHeight="1" thickBot="1">
      <c r="A253" s="2140" t="s">
        <v>3369</v>
      </c>
      <c r="B253" s="2141" t="s">
        <v>6584</v>
      </c>
      <c r="D253" s="2141"/>
      <c r="E253" s="2141"/>
      <c r="G253" s="2338"/>
      <c r="M253" s="2122">
        <v>2</v>
      </c>
      <c r="N253" s="2121"/>
      <c r="O253" s="2200">
        <f>IF($O$36="9%",IF(OR(O254=$M254,O255=$M255),$M$253,0),0)</f>
        <v>0</v>
      </c>
      <c r="P253" s="2200">
        <f>IF($O$36="9%",IF(OR(P254=$M254,P255=$M255),$M$253,0),0)</f>
        <v>0</v>
      </c>
      <c r="Q253" s="2201" t="s">
        <v>416</v>
      </c>
      <c r="R253" s="3015" t="s">
        <v>7036</v>
      </c>
      <c r="S253" s="2116"/>
      <c r="T253" s="2116"/>
      <c r="U253" s="2116"/>
      <c r="V253" s="2116"/>
    </row>
    <row r="254" spans="1:22" ht="15.9" customHeight="1">
      <c r="A254" s="2122" t="s">
        <v>1841</v>
      </c>
      <c r="B254" s="2339" t="s">
        <v>6585</v>
      </c>
      <c r="D254" s="2182"/>
      <c r="E254" s="2182" t="s">
        <v>6596</v>
      </c>
      <c r="F254" s="2182"/>
      <c r="G254" s="2182"/>
      <c r="H254" s="2182"/>
      <c r="I254" s="4068"/>
      <c r="J254" s="4069"/>
      <c r="K254" s="4069"/>
      <c r="L254" s="4070"/>
      <c r="M254" s="2137">
        <v>2</v>
      </c>
      <c r="N254" s="2252"/>
      <c r="O254" s="3016"/>
      <c r="P254" s="2313"/>
      <c r="Q254" s="2357" t="str">
        <f>IF(OR(O254=0,O254="",O254=$M254),"","Check!")</f>
        <v/>
      </c>
      <c r="R254" s="2303"/>
      <c r="S254" s="2116"/>
      <c r="T254" s="2116"/>
      <c r="U254" s="2116"/>
      <c r="V254" s="2116"/>
    </row>
    <row r="255" spans="1:22" ht="15.9" customHeight="1">
      <c r="A255" s="2122" t="s">
        <v>1843</v>
      </c>
      <c r="B255" s="2339" t="s">
        <v>6586</v>
      </c>
      <c r="D255" s="2182"/>
      <c r="L255" s="2182"/>
      <c r="M255" s="2137">
        <v>2</v>
      </c>
      <c r="N255" s="2252"/>
      <c r="O255" s="3017"/>
      <c r="P255" s="2242"/>
      <c r="Q255" s="2357" t="str">
        <f>IF(OR(O255=0,O255="",O255=$M255),"","Check!")</f>
        <v/>
      </c>
      <c r="R255" s="2303"/>
      <c r="S255" s="2116"/>
      <c r="T255" s="2116"/>
      <c r="U255" s="2116"/>
      <c r="V255" s="2116"/>
    </row>
    <row r="256" spans="1:22" ht="15.9" customHeight="1" thickBot="1">
      <c r="A256" s="2119"/>
      <c r="B256" s="2258" t="s">
        <v>3241</v>
      </c>
      <c r="C256" s="2119"/>
      <c r="D256" s="2119"/>
      <c r="E256" s="2119"/>
      <c r="F256" s="2119"/>
      <c r="G256" s="2119"/>
      <c r="H256" s="2119"/>
      <c r="I256" s="2119"/>
      <c r="J256" s="2119"/>
      <c r="K256" s="2119"/>
      <c r="M256" s="2121"/>
      <c r="O256" s="2131"/>
      <c r="R256" s="2116"/>
      <c r="S256" s="2116"/>
      <c r="T256" s="2116"/>
      <c r="U256" s="2116"/>
      <c r="V256" s="2116"/>
    </row>
    <row r="257" spans="1:19" ht="15.9" customHeight="1" thickTop="1" thickBot="1">
      <c r="A257" s="4012"/>
      <c r="B257" s="4013"/>
      <c r="C257" s="4013"/>
      <c r="D257" s="4013"/>
      <c r="E257" s="4013"/>
      <c r="F257" s="4013"/>
      <c r="G257" s="4013"/>
      <c r="H257" s="4013"/>
      <c r="I257" s="4013"/>
      <c r="J257" s="4013"/>
      <c r="K257" s="4013"/>
      <c r="L257" s="4013"/>
      <c r="M257" s="4013"/>
      <c r="N257" s="4013"/>
      <c r="O257" s="4013"/>
      <c r="P257" s="4014"/>
      <c r="Q257" s="2207"/>
    </row>
    <row r="258" spans="1:19" ht="15.9" customHeight="1" thickTop="1">
      <c r="A258" s="2119"/>
      <c r="B258" s="2247" t="s">
        <v>1730</v>
      </c>
      <c r="C258" s="2119"/>
      <c r="D258" s="2247"/>
      <c r="E258" s="2159"/>
      <c r="F258" s="2159"/>
      <c r="G258" s="2159"/>
      <c r="H258" s="2159"/>
      <c r="I258" s="2159"/>
      <c r="J258" s="2159"/>
      <c r="K258" s="2159"/>
      <c r="L258" s="2159"/>
      <c r="M258" s="2159"/>
      <c r="N258" s="2248"/>
      <c r="O258" s="2249"/>
      <c r="P258" s="2122"/>
    </row>
    <row r="259" spans="1:19" ht="15.9" customHeight="1">
      <c r="A259" s="3891"/>
      <c r="B259" s="3892"/>
      <c r="C259" s="3892"/>
      <c r="D259" s="3892"/>
      <c r="E259" s="3892"/>
      <c r="F259" s="3892"/>
      <c r="G259" s="3892"/>
      <c r="H259" s="3892"/>
      <c r="I259" s="3892"/>
      <c r="J259" s="3892"/>
      <c r="K259" s="3892"/>
      <c r="L259" s="3892"/>
      <c r="M259" s="3892"/>
      <c r="N259" s="3892"/>
      <c r="O259" s="3892"/>
      <c r="P259" s="3893"/>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5.9" customHeight="1">
      <c r="A262" s="2336" t="s">
        <v>3372</v>
      </c>
      <c r="B262" s="2141" t="s">
        <v>3343</v>
      </c>
      <c r="C262" s="2225"/>
      <c r="E262" s="2119"/>
      <c r="K262" s="2119"/>
      <c r="L262" s="2119"/>
      <c r="M262" s="2122">
        <v>2</v>
      </c>
      <c r="N262" s="2121"/>
      <c r="O262" s="2121"/>
      <c r="P262" s="2414">
        <f>IF($O$36="9%",P263+P265,0)</f>
        <v>0</v>
      </c>
      <c r="Q262" s="2201" t="s">
        <v>416</v>
      </c>
      <c r="R262" s="3015" t="s">
        <v>7036</v>
      </c>
    </row>
    <row r="263" spans="1:19" ht="15.9" customHeight="1">
      <c r="A263" s="2122" t="s">
        <v>1841</v>
      </c>
      <c r="B263" s="2129" t="s">
        <v>3344</v>
      </c>
      <c r="C263" s="2225"/>
      <c r="E263" s="2119"/>
      <c r="G263" s="2361"/>
      <c r="I263" s="2224"/>
      <c r="K263" s="2413"/>
      <c r="M263" s="2121">
        <v>2</v>
      </c>
      <c r="N263" s="2252"/>
      <c r="O263" s="2118"/>
      <c r="P263" s="2415"/>
      <c r="Q263" s="2201"/>
      <c r="R263" s="2303"/>
    </row>
    <row r="264" spans="1:19" s="2119" customFormat="1" ht="15.9" customHeight="1">
      <c r="A264" s="2122"/>
      <c r="B264" s="2119" t="s">
        <v>6902</v>
      </c>
      <c r="N264" s="2142"/>
      <c r="O264" s="3023"/>
      <c r="P264" s="2362"/>
      <c r="R264" s="2230"/>
    </row>
    <row r="265" spans="1:19" ht="15.9" customHeight="1">
      <c r="A265" s="2122" t="s">
        <v>1843</v>
      </c>
      <c r="B265" s="2129" t="s">
        <v>3345</v>
      </c>
      <c r="C265" s="2225"/>
      <c r="E265" s="2119"/>
      <c r="G265" s="2361"/>
      <c r="I265" s="2184"/>
      <c r="L265" s="2137"/>
      <c r="M265" s="2121">
        <v>2</v>
      </c>
      <c r="N265" s="2252"/>
      <c r="O265" s="2118"/>
      <c r="P265" s="2362"/>
      <c r="Q265" s="2201"/>
      <c r="R265" s="2303"/>
    </row>
    <row r="266" spans="1:19" s="2119" customFormat="1" ht="15.9" customHeight="1">
      <c r="A266" s="2336"/>
      <c r="B266" s="2119" t="s">
        <v>6902</v>
      </c>
      <c r="M266" s="2122"/>
      <c r="N266" s="2142"/>
      <c r="O266" s="3023"/>
      <c r="P266" s="2368"/>
      <c r="Q266" s="2201"/>
    </row>
    <row r="267" spans="1:19" ht="15.9" customHeight="1">
      <c r="B267" s="2247" t="s">
        <v>1730</v>
      </c>
      <c r="C267" s="2145"/>
      <c r="D267" s="2247"/>
      <c r="E267" s="2180"/>
      <c r="F267" s="2159"/>
      <c r="G267" s="2159"/>
      <c r="H267" s="2159"/>
      <c r="I267" s="2159"/>
      <c r="J267" s="2159"/>
      <c r="K267" s="2159"/>
      <c r="L267" s="2159"/>
      <c r="M267" s="2159"/>
      <c r="N267" s="2248"/>
      <c r="O267" s="2249"/>
      <c r="P267" s="2122"/>
    </row>
    <row r="268" spans="1:19" ht="15.9" customHeight="1">
      <c r="A268" s="3891"/>
      <c r="B268" s="3892"/>
      <c r="C268" s="3892"/>
      <c r="D268" s="3892"/>
      <c r="E268" s="3892"/>
      <c r="F268" s="3892"/>
      <c r="G268" s="3892"/>
      <c r="H268" s="3892"/>
      <c r="I268" s="3892"/>
      <c r="J268" s="3892"/>
      <c r="K268" s="3892"/>
      <c r="L268" s="3892"/>
      <c r="M268" s="3892"/>
      <c r="N268" s="3892"/>
      <c r="O268" s="3892"/>
      <c r="P268" s="3893"/>
      <c r="Q268" s="2250"/>
    </row>
    <row r="269" spans="1:19" ht="7.5" customHeight="1"/>
    <row r="270" spans="1:19" s="2260" customFormat="1" ht="7.5" customHeight="1" thickBot="1">
      <c r="N270" s="2325"/>
      <c r="O270" s="2326"/>
      <c r="P270" s="2326"/>
    </row>
    <row r="271" spans="1:19" ht="15.9" customHeight="1" thickBot="1">
      <c r="A271" s="2336" t="s">
        <v>3373</v>
      </c>
      <c r="B271" s="2141" t="s">
        <v>1555</v>
      </c>
      <c r="D271" s="2225"/>
      <c r="E271" s="2225"/>
      <c r="G271" s="2119"/>
      <c r="L271" s="2441" t="str">
        <f>IF(AND(O271&gt;0,NOT($O$36="9%")),"Ineligible, not 9%!","")</f>
        <v/>
      </c>
      <c r="M271" s="2122">
        <v>2</v>
      </c>
      <c r="N271" s="2230"/>
      <c r="O271" s="3024"/>
      <c r="P271" s="2319"/>
      <c r="Q271" s="2201" t="s">
        <v>416</v>
      </c>
      <c r="R271" s="3015" t="s">
        <v>7036</v>
      </c>
      <c r="S271" s="2363"/>
    </row>
    <row r="272" spans="1:19" ht="15.9" customHeight="1">
      <c r="A272" s="2136"/>
      <c r="B272" s="2231" t="s">
        <v>3153</v>
      </c>
      <c r="D272" s="2225"/>
      <c r="E272" s="2225"/>
      <c r="G272" s="2119"/>
      <c r="I272" s="4090" t="s">
        <v>6060</v>
      </c>
      <c r="J272" s="4091"/>
      <c r="K272" s="4091"/>
      <c r="L272" s="4092"/>
      <c r="M272" s="2121"/>
      <c r="N272" s="2121"/>
      <c r="O272" s="2137"/>
      <c r="P272" s="2137"/>
      <c r="Q272" s="2318"/>
      <c r="R272" s="2363"/>
      <c r="S272" s="2363"/>
    </row>
    <row r="273" spans="1:20" ht="15.9" hidden="1" customHeight="1">
      <c r="B273" s="2231"/>
      <c r="D273" s="2119"/>
      <c r="E273" s="2119"/>
      <c r="F273" s="2119"/>
      <c r="G273" s="2119"/>
      <c r="H273" s="2119"/>
      <c r="I273" s="2119"/>
      <c r="J273" s="2119"/>
      <c r="K273" s="2119"/>
      <c r="L273" s="2119"/>
      <c r="M273" s="2119"/>
      <c r="N273" s="2252"/>
      <c r="O273" s="2252"/>
      <c r="P273" s="2252"/>
    </row>
    <row r="274" spans="1:20" s="2119" customFormat="1" ht="15.9" customHeight="1" thickBot="1">
      <c r="B274" s="2258" t="s">
        <v>3241</v>
      </c>
      <c r="M274" s="2121"/>
      <c r="N274" s="2121"/>
      <c r="O274" s="2131"/>
      <c r="P274" s="2122"/>
    </row>
    <row r="275" spans="1:20" ht="15.9" customHeight="1" thickTop="1" thickBot="1">
      <c r="A275" s="4012"/>
      <c r="B275" s="4013"/>
      <c r="C275" s="4013"/>
      <c r="D275" s="4013"/>
      <c r="E275" s="4013"/>
      <c r="F275" s="4013"/>
      <c r="G275" s="4013"/>
      <c r="H275" s="4013"/>
      <c r="I275" s="4013"/>
      <c r="J275" s="4013"/>
      <c r="K275" s="4013"/>
      <c r="L275" s="4013"/>
      <c r="M275" s="4013"/>
      <c r="N275" s="4013"/>
      <c r="O275" s="4013"/>
      <c r="P275" s="4014"/>
      <c r="Q275" s="2207"/>
    </row>
    <row r="276" spans="1:20" s="2119" customFormat="1" ht="15.9" customHeight="1" thickTop="1">
      <c r="B276" s="2246" t="s">
        <v>1730</v>
      </c>
      <c r="D276" s="2246"/>
      <c r="E276" s="2297"/>
      <c r="F276" s="2297"/>
      <c r="G276" s="2297"/>
      <c r="H276" s="2297"/>
      <c r="I276" s="2297"/>
      <c r="J276" s="2297"/>
      <c r="K276" s="2297"/>
      <c r="L276" s="2297"/>
      <c r="M276" s="2297"/>
      <c r="N276" s="2266"/>
      <c r="O276" s="2123"/>
      <c r="P276" s="2122"/>
      <c r="Q276" s="2118"/>
    </row>
    <row r="277" spans="1:20" ht="15.9" customHeight="1">
      <c r="A277" s="3891"/>
      <c r="B277" s="3892"/>
      <c r="C277" s="3892"/>
      <c r="D277" s="3892"/>
      <c r="E277" s="3892"/>
      <c r="F277" s="3892"/>
      <c r="G277" s="3892"/>
      <c r="H277" s="3892"/>
      <c r="I277" s="3892"/>
      <c r="J277" s="3892"/>
      <c r="K277" s="3892"/>
      <c r="L277" s="3892"/>
      <c r="M277" s="3892"/>
      <c r="N277" s="3892"/>
      <c r="O277" s="3892"/>
      <c r="P277" s="3893"/>
      <c r="Q277" s="2250"/>
    </row>
    <row r="278" spans="1:20" ht="7.5" customHeight="1"/>
    <row r="279" spans="1:20" s="2260" customFormat="1" ht="7.5" customHeight="1" thickBot="1">
      <c r="N279" s="2325"/>
      <c r="O279" s="2326"/>
      <c r="P279" s="2326"/>
    </row>
    <row r="280" spans="1:20" ht="15.9" customHeight="1" thickBot="1">
      <c r="A280" s="2140" t="s">
        <v>3376</v>
      </c>
      <c r="B280" s="2141" t="s">
        <v>3347</v>
      </c>
      <c r="D280" s="2225"/>
      <c r="E280" s="2225"/>
      <c r="F280" s="2119"/>
      <c r="G280" s="2119"/>
      <c r="H280" s="2119"/>
      <c r="J280" s="2417"/>
      <c r="K280" s="2208"/>
      <c r="M280" s="2131">
        <v>4</v>
      </c>
      <c r="N280" s="2121"/>
      <c r="O280" s="2364">
        <f>O281+O302</f>
        <v>0</v>
      </c>
      <c r="P280" s="2364">
        <f>P281+P302</f>
        <v>0</v>
      </c>
      <c r="Q280" s="2201" t="s">
        <v>416</v>
      </c>
    </row>
    <row r="281" spans="1:20" ht="15.9" customHeight="1" thickBot="1">
      <c r="A281" s="2311" t="s">
        <v>1841</v>
      </c>
      <c r="B281" s="2129" t="s">
        <v>3348</v>
      </c>
      <c r="L281" s="2230" t="str">
        <f>IF(O281&lt;=M281,"","* * Check Score! * *")</f>
        <v/>
      </c>
      <c r="M281" s="2121">
        <v>3</v>
      </c>
      <c r="N281" s="2252"/>
      <c r="O281" s="2365"/>
      <c r="P281" s="2366"/>
      <c r="Q281" s="2318" t="str">
        <f>IF(O281&lt;=M281,"","*CHECK!*")</f>
        <v/>
      </c>
      <c r="R281" s="2134"/>
      <c r="S281" s="2134"/>
      <c r="T281" s="2117"/>
    </row>
    <row r="282" spans="1:20" ht="30.9" customHeight="1">
      <c r="A282" s="2311"/>
      <c r="B282" s="4056" t="s">
        <v>6864</v>
      </c>
      <c r="C282" s="4056"/>
      <c r="D282" s="4056"/>
      <c r="E282" s="4056"/>
      <c r="F282" s="4056"/>
      <c r="G282" s="4056"/>
      <c r="H282" s="4056"/>
      <c r="I282" s="4056"/>
      <c r="J282" s="4056"/>
      <c r="K282" s="4056"/>
      <c r="L282" s="4056"/>
      <c r="N282" s="2118"/>
      <c r="O282" s="2367"/>
      <c r="P282" s="2368"/>
      <c r="R282" s="2134"/>
      <c r="S282" s="2134"/>
      <c r="T282" s="2117"/>
    </row>
    <row r="283" spans="1:20" ht="15.9" customHeight="1">
      <c r="A283" s="2311"/>
      <c r="B283" s="2416"/>
      <c r="C283" s="2155"/>
      <c r="D283" s="2155"/>
      <c r="E283" s="2155"/>
      <c r="F283" s="2155"/>
      <c r="G283" s="2155"/>
      <c r="H283" s="2155"/>
      <c r="I283" s="2155"/>
      <c r="J283" s="4057" t="s">
        <v>1848</v>
      </c>
      <c r="K283" s="4057"/>
      <c r="M283" s="4057" t="s">
        <v>1848</v>
      </c>
      <c r="N283" s="4057"/>
      <c r="O283" s="4057"/>
      <c r="P283" s="4057"/>
      <c r="R283" s="2369"/>
      <c r="S283" s="2369"/>
      <c r="T283" s="2117"/>
    </row>
    <row r="284" spans="1:20" ht="15.9" customHeight="1">
      <c r="A284" s="2252"/>
      <c r="B284" s="2370" t="s">
        <v>1844</v>
      </c>
      <c r="C284" s="2119" t="s">
        <v>1388</v>
      </c>
      <c r="I284" s="2252"/>
      <c r="J284" s="4074"/>
      <c r="K284" s="4075"/>
      <c r="L284" s="2252"/>
      <c r="M284" s="4076"/>
      <c r="N284" s="4077"/>
      <c r="O284" s="4077"/>
      <c r="P284" s="4078"/>
      <c r="R284" s="2230"/>
    </row>
    <row r="285" spans="1:20" ht="15.9" customHeight="1">
      <c r="A285" s="2228"/>
      <c r="B285" s="2212" t="s">
        <v>1846</v>
      </c>
      <c r="C285" s="2119" t="s">
        <v>3155</v>
      </c>
      <c r="I285" s="2308"/>
      <c r="J285" s="4051"/>
      <c r="K285" s="4052"/>
      <c r="L285" s="2308"/>
      <c r="M285" s="4053"/>
      <c r="N285" s="4054"/>
      <c r="O285" s="4054"/>
      <c r="P285" s="4055"/>
      <c r="R285" s="2230"/>
    </row>
    <row r="286" spans="1:20" ht="15.9" customHeight="1">
      <c r="B286" s="2370" t="s">
        <v>2332</v>
      </c>
      <c r="C286" s="2119" t="s">
        <v>3954</v>
      </c>
      <c r="I286" s="2252"/>
      <c r="J286" s="4051"/>
      <c r="K286" s="4052"/>
      <c r="L286" s="2252"/>
      <c r="M286" s="4053"/>
      <c r="N286" s="4054"/>
      <c r="O286" s="4054"/>
      <c r="P286" s="4055"/>
      <c r="R286" s="2230"/>
    </row>
    <row r="287" spans="1:20" ht="15.9" customHeight="1">
      <c r="A287" s="2228"/>
      <c r="B287" s="2370" t="s">
        <v>1150</v>
      </c>
      <c r="C287" s="2119" t="s">
        <v>3071</v>
      </c>
      <c r="I287" s="2252"/>
      <c r="J287" s="4051"/>
      <c r="K287" s="4052"/>
      <c r="L287" s="2252"/>
      <c r="M287" s="4053"/>
      <c r="N287" s="4054"/>
      <c r="O287" s="4054"/>
      <c r="P287" s="4055"/>
      <c r="R287" s="2230"/>
    </row>
    <row r="288" spans="1:20" ht="15.9" customHeight="1">
      <c r="A288" s="2252"/>
      <c r="B288" s="2212" t="s">
        <v>1151</v>
      </c>
      <c r="C288" s="2119" t="s">
        <v>2473</v>
      </c>
      <c r="I288" s="2308"/>
      <c r="J288" s="4051"/>
      <c r="K288" s="4052"/>
      <c r="L288" s="2308"/>
      <c r="M288" s="4053"/>
      <c r="N288" s="4054"/>
      <c r="O288" s="4054"/>
      <c r="P288" s="4055"/>
      <c r="R288" s="2230"/>
    </row>
    <row r="289" spans="1:26" ht="15.9" customHeight="1">
      <c r="B289" s="2370" t="s">
        <v>1742</v>
      </c>
      <c r="C289" s="2119" t="s">
        <v>1387</v>
      </c>
      <c r="I289" s="2252"/>
      <c r="J289" s="4051"/>
      <c r="K289" s="4052"/>
      <c r="L289" s="2252"/>
      <c r="M289" s="4053"/>
      <c r="N289" s="4054"/>
      <c r="O289" s="4054"/>
      <c r="P289" s="4055"/>
      <c r="R289" s="2230"/>
    </row>
    <row r="290" spans="1:26" ht="15.9" customHeight="1">
      <c r="B290" s="2370" t="s">
        <v>473</v>
      </c>
      <c r="C290" s="2119" t="s">
        <v>6233</v>
      </c>
      <c r="I290" s="2252"/>
      <c r="J290" s="4051"/>
      <c r="K290" s="4052"/>
      <c r="L290" s="2252"/>
      <c r="M290" s="2371"/>
      <c r="N290" s="2372"/>
      <c r="O290" s="2372"/>
      <c r="P290" s="2373"/>
      <c r="R290" s="2230"/>
    </row>
    <row r="291" spans="1:26" ht="15.9" customHeight="1">
      <c r="A291" s="2228"/>
      <c r="B291" s="2370" t="s">
        <v>474</v>
      </c>
      <c r="C291" s="2119" t="s">
        <v>3154</v>
      </c>
      <c r="I291" s="2252"/>
      <c r="J291" s="4051"/>
      <c r="K291" s="4052"/>
      <c r="L291" s="2252"/>
      <c r="M291" s="4053"/>
      <c r="N291" s="4054"/>
      <c r="O291" s="4054"/>
      <c r="P291" s="4055"/>
      <c r="R291" s="2230"/>
    </row>
    <row r="292" spans="1:26" ht="15.9" customHeight="1">
      <c r="B292" s="2370" t="s">
        <v>3889</v>
      </c>
      <c r="C292" s="2119" t="s">
        <v>6865</v>
      </c>
      <c r="I292" s="2252"/>
      <c r="J292" s="4051"/>
      <c r="K292" s="4052"/>
      <c r="L292" s="2252"/>
      <c r="M292" s="4053"/>
      <c r="N292" s="4054"/>
      <c r="O292" s="4054"/>
      <c r="P292" s="4055"/>
      <c r="R292" s="2230"/>
    </row>
    <row r="293" spans="1:26" ht="15.9" customHeight="1">
      <c r="B293" s="2370" t="s">
        <v>6866</v>
      </c>
      <c r="C293" s="2119" t="s">
        <v>6903</v>
      </c>
      <c r="I293" s="2252"/>
      <c r="J293" s="4051"/>
      <c r="K293" s="4052"/>
      <c r="L293" s="2252"/>
      <c r="M293" s="4053"/>
      <c r="N293" s="4054"/>
      <c r="O293" s="4054"/>
      <c r="P293" s="4055"/>
      <c r="R293" s="2230"/>
    </row>
    <row r="294" spans="1:26" ht="15.9" customHeight="1" thickBot="1">
      <c r="B294" s="2370" t="s">
        <v>6867</v>
      </c>
      <c r="C294" s="2119" t="s">
        <v>6904</v>
      </c>
      <c r="I294" s="2252"/>
      <c r="J294" s="4051"/>
      <c r="K294" s="4052"/>
      <c r="L294" s="2252"/>
      <c r="M294" s="4101"/>
      <c r="N294" s="4102"/>
      <c r="O294" s="4102"/>
      <c r="P294" s="4103"/>
      <c r="R294" s="2230"/>
    </row>
    <row r="295" spans="1:26" ht="15.9" customHeight="1" thickBot="1">
      <c r="B295" s="2119"/>
      <c r="I295" s="2136" t="s">
        <v>2413</v>
      </c>
      <c r="J295" s="4104">
        <f>SUM(J284:K294)</f>
        <v>0</v>
      </c>
      <c r="K295" s="4105"/>
      <c r="M295" s="4104">
        <f>SUM($M284:$M294)</f>
        <v>0</v>
      </c>
      <c r="N295" s="4106"/>
      <c r="O295" s="4106"/>
      <c r="P295" s="4105"/>
      <c r="R295" s="2230"/>
    </row>
    <row r="296" spans="1:26" ht="15.9" customHeight="1">
      <c r="M296" s="2134"/>
      <c r="N296" s="2134"/>
      <c r="O296" s="2118"/>
      <c r="P296" s="2134"/>
      <c r="U296" s="3915" t="s">
        <v>6909</v>
      </c>
      <c r="V296" s="3915"/>
      <c r="W296" s="3915"/>
      <c r="X296" s="3915"/>
      <c r="Y296" s="3915"/>
      <c r="Z296" s="3915"/>
    </row>
    <row r="297" spans="1:26" ht="15.9" customHeight="1">
      <c r="A297" s="2119"/>
      <c r="B297" s="2330"/>
      <c r="C297" s="2225" t="s">
        <v>2412</v>
      </c>
      <c r="D297" s="2253"/>
      <c r="E297" s="2253"/>
      <c r="I297" s="2252" t="s">
        <v>6236</v>
      </c>
      <c r="J297" s="4093">
        <f>'Part V-Revenues &amp; Expenses'!$P$67</f>
        <v>40</v>
      </c>
      <c r="K297" s="4094"/>
      <c r="L297" s="2134"/>
      <c r="M297" s="2134"/>
      <c r="N297" s="2134"/>
      <c r="O297" s="2118"/>
      <c r="P297" s="2134"/>
      <c r="U297" s="2425" t="s">
        <v>6907</v>
      </c>
      <c r="V297" s="2425" t="s">
        <v>6908</v>
      </c>
      <c r="W297" s="2425" t="s">
        <v>6907</v>
      </c>
      <c r="X297" s="2425" t="s">
        <v>6908</v>
      </c>
      <c r="Y297" s="2425" t="s">
        <v>6907</v>
      </c>
      <c r="Z297" s="2425" t="s">
        <v>6908</v>
      </c>
    </row>
    <row r="298" spans="1:26" ht="15.9" customHeight="1">
      <c r="C298" s="2253"/>
      <c r="D298" s="2253"/>
      <c r="E298" s="2253"/>
      <c r="I298" s="2374" t="s">
        <v>6237</v>
      </c>
      <c r="J298" s="4107">
        <f>IF(J297=0,0,J295/J297)</f>
        <v>0</v>
      </c>
      <c r="K298" s="4108"/>
      <c r="M298" s="4109">
        <f>IF(J297=0,0,M295/J297)</f>
        <v>0</v>
      </c>
      <c r="N298" s="4110"/>
      <c r="O298" s="4110"/>
      <c r="P298" s="4111"/>
      <c r="S298" s="2424" t="s">
        <v>6905</v>
      </c>
      <c r="U298" s="2418">
        <v>500000</v>
      </c>
      <c r="V298" s="2419">
        <v>999999.99</v>
      </c>
      <c r="W298" s="2418">
        <v>1000000</v>
      </c>
      <c r="X298" s="2419">
        <v>1999999.99</v>
      </c>
      <c r="Y298" s="2418">
        <v>2000000</v>
      </c>
      <c r="Z298" s="2420"/>
    </row>
    <row r="299" spans="1:26" ht="15.9" customHeight="1">
      <c r="C299" s="2253"/>
      <c r="D299" s="2253"/>
      <c r="E299" s="2253"/>
      <c r="I299" s="2228" t="s">
        <v>6868</v>
      </c>
      <c r="J299" s="4093">
        <f>IF(J295&gt;=$Y$298,$Y$300,IF(J295&gt;=$W$298,$W$300,IF(J295&gt;=$U$298,$U$300,0)))</f>
        <v>0</v>
      </c>
      <c r="K299" s="4094"/>
      <c r="M299" s="4093">
        <f t="shared" ref="M299" si="0">IF(M295&gt;=$Y$298,$Y$300,IF(M295&gt;=$W$298,$W$300,IF(M295&gt;=$U$298,$U$300,0)))</f>
        <v>0</v>
      </c>
      <c r="N299" s="4095"/>
      <c r="O299" s="4095">
        <f t="shared" ref="O299" si="1">IF(O295&gt;=$Y$298,$Y$300,IF(O295&gt;=$W$298,$W$300,IF(O295&gt;=$U$298,$U$300,0)))</f>
        <v>0</v>
      </c>
      <c r="P299" s="4094"/>
      <c r="S299" s="2424" t="s">
        <v>6906</v>
      </c>
      <c r="U299" s="2421">
        <v>10000</v>
      </c>
      <c r="V299" s="2422">
        <v>19999.990000000002</v>
      </c>
      <c r="W299" s="2421">
        <v>20000</v>
      </c>
      <c r="X299" s="2422">
        <v>29999.99</v>
      </c>
      <c r="Y299" s="2421">
        <v>30000</v>
      </c>
      <c r="Z299" s="2423"/>
    </row>
    <row r="300" spans="1:26" ht="15.9" customHeight="1">
      <c r="C300" s="2253"/>
      <c r="D300" s="2253"/>
      <c r="E300" s="2253"/>
      <c r="I300" s="2228" t="s">
        <v>6238</v>
      </c>
      <c r="J300" s="4098">
        <f>IF(J298&gt;=$Y$299,$Y$300,IF(J298&gt;=$W$299,$W$300,IF(J298&gt;=$U$299,$U$300,0)))</f>
        <v>0</v>
      </c>
      <c r="K300" s="4099"/>
      <c r="L300" s="2134"/>
      <c r="M300" s="4098">
        <f>IF(M298&gt;=$Y$299,$Y$300,IF(M298&gt;=$W$299,$W$300,IF(M298&gt;=$U$299,$U$300,0)))</f>
        <v>0</v>
      </c>
      <c r="N300" s="4100"/>
      <c r="O300" s="4100"/>
      <c r="P300" s="4099"/>
      <c r="S300" s="2424" t="s">
        <v>6145</v>
      </c>
      <c r="U300" s="3909">
        <v>1</v>
      </c>
      <c r="V300" s="3910"/>
      <c r="W300" s="3909">
        <v>2</v>
      </c>
      <c r="X300" s="3910"/>
      <c r="Y300" s="3909">
        <v>3</v>
      </c>
      <c r="Z300" s="3910"/>
    </row>
    <row r="301" spans="1:26" ht="15.9" customHeight="1" thickBot="1"/>
    <row r="302" spans="1:26" s="2119" customFormat="1" ht="15.9" customHeight="1" thickBot="1">
      <c r="A302" s="2122" t="s">
        <v>1843</v>
      </c>
      <c r="B302" s="2231" t="s">
        <v>3157</v>
      </c>
      <c r="F302" s="2122"/>
      <c r="I302" s="2122"/>
      <c r="J302" s="2224"/>
      <c r="K302" s="2224"/>
      <c r="L302" s="2230" t="str">
        <f>IF(OR($O302=$M302,$O302=0,$O302=""),"","* * Check Score! * *")</f>
        <v/>
      </c>
      <c r="M302" s="2121">
        <v>1</v>
      </c>
      <c r="N302" s="2252"/>
      <c r="O302" s="2356"/>
      <c r="P302" s="2319"/>
      <c r="Q302" s="2303"/>
      <c r="V302" s="2348"/>
    </row>
    <row r="303" spans="1:26" ht="30.6" customHeight="1">
      <c r="A303" s="2136"/>
      <c r="B303" s="2283"/>
      <c r="C303" s="3872" t="s">
        <v>6869</v>
      </c>
      <c r="D303" s="3872"/>
      <c r="E303" s="3872"/>
      <c r="F303" s="3872"/>
      <c r="G303" s="3872"/>
      <c r="H303" s="3872"/>
      <c r="I303" s="3872"/>
      <c r="J303" s="3872"/>
      <c r="K303" s="3872"/>
      <c r="L303" s="3872"/>
      <c r="M303" s="3872"/>
      <c r="N303" s="2406"/>
      <c r="O303" s="2375"/>
      <c r="P303" s="2376"/>
      <c r="V303" s="2348"/>
    </row>
    <row r="304" spans="1:26" ht="15.9" customHeight="1">
      <c r="A304" s="2136"/>
      <c r="B304" s="2311"/>
      <c r="C304" s="2119" t="s">
        <v>6870</v>
      </c>
      <c r="D304" s="2119"/>
      <c r="E304" s="2119"/>
      <c r="F304" s="2119"/>
      <c r="G304" s="2119"/>
      <c r="H304" s="2119"/>
      <c r="I304" s="2119"/>
      <c r="J304" s="2119"/>
      <c r="K304" s="2119"/>
      <c r="M304" s="2119"/>
      <c r="N304" s="2142"/>
      <c r="O304" s="2267"/>
      <c r="P304" s="2268"/>
      <c r="V304" s="2348"/>
    </row>
    <row r="305" spans="1:19" ht="15.9" customHeight="1">
      <c r="B305" s="2311"/>
      <c r="C305" s="2118" t="s">
        <v>6871</v>
      </c>
      <c r="N305" s="2142"/>
      <c r="O305" s="2244"/>
      <c r="P305" s="2245"/>
    </row>
    <row r="306" spans="1:19" ht="15.9" customHeight="1" thickBot="1">
      <c r="B306" s="2258" t="s">
        <v>3241</v>
      </c>
    </row>
    <row r="307" spans="1:19" ht="15.9" customHeight="1" thickTop="1" thickBot="1">
      <c r="A307" s="3955" t="s">
        <v>7117</v>
      </c>
      <c r="B307" s="3956"/>
      <c r="C307" s="3956"/>
      <c r="D307" s="3956"/>
      <c r="E307" s="3956"/>
      <c r="F307" s="3956"/>
      <c r="G307" s="3956"/>
      <c r="H307" s="3956"/>
      <c r="I307" s="3956"/>
      <c r="J307" s="3956"/>
      <c r="K307" s="3956"/>
      <c r="L307" s="3956"/>
      <c r="M307" s="3956"/>
      <c r="N307" s="3956"/>
      <c r="O307" s="3956"/>
      <c r="P307" s="3957"/>
      <c r="Q307" s="2207"/>
    </row>
    <row r="308" spans="1:19" s="2119" customFormat="1" ht="15.9" customHeight="1" thickTop="1">
      <c r="B308" s="2246" t="s">
        <v>1730</v>
      </c>
      <c r="C308" s="2145"/>
      <c r="D308" s="2246"/>
      <c r="E308" s="2353"/>
      <c r="F308" s="2297"/>
      <c r="G308" s="2297"/>
      <c r="H308" s="2297"/>
      <c r="I308" s="2297"/>
      <c r="J308" s="2297"/>
      <c r="K308" s="2297"/>
      <c r="L308" s="2297"/>
      <c r="M308" s="2297"/>
      <c r="N308" s="2266"/>
      <c r="O308" s="2123"/>
      <c r="P308" s="2122"/>
      <c r="Q308" s="2118"/>
    </row>
    <row r="309" spans="1:19" ht="15.9" customHeight="1">
      <c r="A309" s="3891"/>
      <c r="B309" s="3892"/>
      <c r="C309" s="3892"/>
      <c r="D309" s="3892"/>
      <c r="E309" s="3892"/>
      <c r="F309" s="3892"/>
      <c r="G309" s="3892"/>
      <c r="H309" s="3892"/>
      <c r="I309" s="3892"/>
      <c r="J309" s="3892"/>
      <c r="K309" s="3892"/>
      <c r="L309" s="3892"/>
      <c r="M309" s="3892"/>
      <c r="N309" s="3892"/>
      <c r="O309" s="3892"/>
      <c r="P309" s="3893"/>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5.9" customHeight="1" thickBot="1">
      <c r="A312" s="2140" t="s">
        <v>3377</v>
      </c>
      <c r="B312" s="2141" t="s">
        <v>2469</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c r="S312" s="3015" t="s">
        <v>7036</v>
      </c>
    </row>
    <row r="313" spans="1:19" s="2155" customFormat="1" ht="15.9" customHeight="1">
      <c r="A313" s="2336"/>
      <c r="E313" s="2329" t="s">
        <v>3072</v>
      </c>
      <c r="G313" s="4090" t="s">
        <v>3886</v>
      </c>
      <c r="H313" s="4091"/>
      <c r="I313" s="4091"/>
      <c r="J313" s="4091"/>
      <c r="K313" s="4091"/>
      <c r="L313" s="4092"/>
      <c r="M313" s="2284"/>
      <c r="N313" s="2284"/>
      <c r="O313" s="2284"/>
      <c r="P313" s="2284"/>
      <c r="Q313" s="2119"/>
    </row>
    <row r="314" spans="1:19" s="2155" customFormat="1" ht="15.9" customHeight="1">
      <c r="A314" s="2209" t="s">
        <v>1841</v>
      </c>
      <c r="B314" s="2129" t="s">
        <v>3955</v>
      </c>
      <c r="M314" s="2284">
        <v>2</v>
      </c>
      <c r="N314" s="2308"/>
      <c r="O314" s="3025"/>
      <c r="P314" s="2377"/>
      <c r="Q314" s="2318" t="str">
        <f>IF(OR($O314=$M314,$O314=0,$O314=""),"","*CHECK!*")</f>
        <v/>
      </c>
      <c r="R314" s="2303"/>
    </row>
    <row r="315" spans="1:19" ht="15.9" customHeight="1">
      <c r="A315" s="2342"/>
      <c r="B315" s="4059" t="s">
        <v>3415</v>
      </c>
      <c r="C315" s="4060"/>
      <c r="D315" s="4060"/>
      <c r="E315" s="4060"/>
      <c r="F315" s="4060"/>
      <c r="G315" s="4060"/>
      <c r="H315" s="4060"/>
      <c r="I315" s="4060"/>
      <c r="J315" s="4060"/>
      <c r="K315" s="4060"/>
      <c r="L315" s="4060"/>
      <c r="M315" s="4060"/>
      <c r="N315" s="4060"/>
      <c r="O315" s="4060"/>
      <c r="P315" s="4061"/>
      <c r="Q315" s="2250"/>
      <c r="R315" s="2207"/>
      <c r="S315" s="2207"/>
    </row>
    <row r="316" spans="1:19" s="2155" customFormat="1" ht="15.9" customHeight="1">
      <c r="A316" s="2378" t="s">
        <v>1843</v>
      </c>
      <c r="B316" s="2287" t="s">
        <v>3956</v>
      </c>
      <c r="M316" s="2284">
        <v>2</v>
      </c>
      <c r="N316" s="2308"/>
      <c r="O316" s="3025"/>
      <c r="P316" s="2377"/>
      <c r="Q316" s="2318" t="str">
        <f>IF(OR($O316=$M316,$O316=0,$O316=""),"","*CHECK!*")</f>
        <v/>
      </c>
      <c r="R316" s="2303"/>
    </row>
    <row r="317" spans="1:19" ht="15.9" customHeight="1" thickBot="1">
      <c r="A317" s="2119"/>
      <c r="B317" s="2258" t="s">
        <v>3241</v>
      </c>
      <c r="C317" s="2119"/>
      <c r="D317" s="2119"/>
      <c r="E317" s="2119"/>
      <c r="F317" s="2119"/>
      <c r="G317" s="2119"/>
      <c r="H317" s="2119"/>
      <c r="I317" s="2119"/>
      <c r="J317" s="2119"/>
      <c r="K317" s="2119"/>
      <c r="M317" s="2121"/>
      <c r="O317" s="2131"/>
    </row>
    <row r="318" spans="1:19" ht="15.9" customHeight="1" thickTop="1" thickBot="1">
      <c r="A318" s="4012"/>
      <c r="B318" s="4013"/>
      <c r="C318" s="4013"/>
      <c r="D318" s="4013"/>
      <c r="E318" s="4013"/>
      <c r="F318" s="4013"/>
      <c r="G318" s="4013"/>
      <c r="H318" s="4013"/>
      <c r="I318" s="4013"/>
      <c r="J318" s="4013"/>
      <c r="K318" s="4013"/>
      <c r="L318" s="4013"/>
      <c r="M318" s="4013"/>
      <c r="N318" s="4013"/>
      <c r="O318" s="4013"/>
      <c r="P318" s="4014"/>
      <c r="Q318" s="2207"/>
      <c r="R318" s="2207"/>
    </row>
    <row r="319" spans="1:19" ht="15.9" customHeight="1" thickTop="1">
      <c r="B319" s="2247" t="s">
        <v>1730</v>
      </c>
      <c r="C319" s="2145"/>
      <c r="D319" s="2247"/>
      <c r="E319" s="2180"/>
      <c r="F319" s="2159"/>
      <c r="G319" s="2159"/>
      <c r="H319" s="2159"/>
      <c r="I319" s="2159"/>
      <c r="J319" s="2159"/>
      <c r="K319" s="2159"/>
      <c r="L319" s="2159"/>
      <c r="M319" s="2159"/>
      <c r="N319" s="2248"/>
      <c r="O319" s="2249"/>
      <c r="P319" s="2122"/>
    </row>
    <row r="320" spans="1:19" ht="15.9" customHeight="1">
      <c r="A320" s="3891"/>
      <c r="B320" s="3892"/>
      <c r="C320" s="3892"/>
      <c r="D320" s="3892"/>
      <c r="E320" s="3892"/>
      <c r="F320" s="3892"/>
      <c r="G320" s="3892"/>
      <c r="H320" s="3892"/>
      <c r="I320" s="3892"/>
      <c r="J320" s="3892"/>
      <c r="K320" s="3892"/>
      <c r="L320" s="3892"/>
      <c r="M320" s="3892"/>
      <c r="N320" s="3892"/>
      <c r="O320" s="3892"/>
      <c r="P320" s="3893"/>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5.9" customHeight="1" thickBot="1">
      <c r="A323" s="2336" t="s">
        <v>3378</v>
      </c>
      <c r="B323" s="2141" t="s">
        <v>4036</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5.9" hidden="1" customHeight="1">
      <c r="A324" s="2336"/>
      <c r="B324" s="2141"/>
      <c r="D324" s="2141"/>
      <c r="E324" s="2141"/>
      <c r="L324" s="2230"/>
      <c r="M324" s="2122"/>
      <c r="N324" s="2121"/>
      <c r="O324" s="2121"/>
      <c r="P324" s="2121"/>
      <c r="Q324" s="2201"/>
    </row>
    <row r="325" spans="1:18" s="2119" customFormat="1" ht="15.9" customHeight="1">
      <c r="A325" s="2336"/>
      <c r="B325" s="2129" t="s">
        <v>3177</v>
      </c>
      <c r="D325" s="2141"/>
      <c r="E325" s="2141"/>
      <c r="L325" s="2230"/>
      <c r="M325" s="2122"/>
      <c r="N325" s="2121"/>
      <c r="O325" s="2379">
        <v>10</v>
      </c>
      <c r="P325" s="2379">
        <v>10</v>
      </c>
      <c r="Q325" s="2201"/>
    </row>
    <row r="326" spans="1:18" s="2119" customFormat="1" ht="15.9" customHeight="1">
      <c r="A326" s="2122" t="s">
        <v>1841</v>
      </c>
      <c r="B326" s="2129" t="s">
        <v>6940</v>
      </c>
      <c r="D326" s="2141"/>
      <c r="E326" s="2141"/>
      <c r="L326" s="2230"/>
      <c r="M326" s="2122"/>
      <c r="N326" s="2121"/>
      <c r="O326" s="2380"/>
      <c r="P326" s="2347"/>
      <c r="Q326" s="2201"/>
    </row>
    <row r="327" spans="1:18" s="2119" customFormat="1" ht="15.9" customHeight="1">
      <c r="A327" s="2122" t="s">
        <v>1843</v>
      </c>
      <c r="B327" s="2129" t="s">
        <v>6941</v>
      </c>
      <c r="D327" s="2141"/>
      <c r="E327" s="2141"/>
      <c r="L327" s="2230"/>
      <c r="M327" s="2122"/>
      <c r="N327" s="2121"/>
      <c r="O327" s="2381"/>
      <c r="P327" s="2242"/>
      <c r="Q327" s="2201"/>
    </row>
    <row r="328" spans="1:18" s="2119" customFormat="1" ht="15.9" customHeight="1">
      <c r="A328" s="2139"/>
      <c r="B328" s="2139" t="s">
        <v>1730</v>
      </c>
      <c r="D328" s="2139"/>
      <c r="E328" s="2297"/>
      <c r="F328" s="2297"/>
      <c r="G328" s="2297"/>
      <c r="H328" s="2297"/>
      <c r="I328" s="2297"/>
      <c r="J328" s="2297"/>
      <c r="K328" s="2297"/>
      <c r="L328" s="2297"/>
      <c r="M328" s="2297"/>
      <c r="N328" s="2266"/>
      <c r="O328" s="2123"/>
      <c r="P328" s="2122"/>
    </row>
    <row r="329" spans="1:18" ht="15.9" customHeight="1">
      <c r="A329" s="3891"/>
      <c r="B329" s="3892"/>
      <c r="C329" s="3892"/>
      <c r="D329" s="3892"/>
      <c r="E329" s="3892"/>
      <c r="F329" s="3892"/>
      <c r="G329" s="3892"/>
      <c r="H329" s="3892"/>
      <c r="I329" s="3892"/>
      <c r="J329" s="3892"/>
      <c r="K329" s="3892"/>
      <c r="L329" s="3892"/>
      <c r="M329" s="3892"/>
      <c r="N329" s="3892"/>
      <c r="O329" s="3892"/>
      <c r="P329" s="3893"/>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2"/>
      <c r="B331" s="2261"/>
      <c r="C331" s="2298"/>
      <c r="D331" s="2298"/>
      <c r="E331" s="2298"/>
      <c r="F331" s="2298"/>
      <c r="G331" s="2298"/>
      <c r="H331" s="2298"/>
      <c r="I331" s="2298"/>
      <c r="J331" s="2298"/>
      <c r="K331" s="2298"/>
      <c r="L331" s="2298"/>
      <c r="M331" s="2298"/>
      <c r="N331" s="2299"/>
      <c r="O331" s="2300"/>
      <c r="P331" s="2263"/>
    </row>
    <row r="332" spans="1:18" ht="15.9" customHeight="1" thickBot="1">
      <c r="A332" s="2336" t="s">
        <v>3379</v>
      </c>
      <c r="B332" s="2141" t="s">
        <v>6605</v>
      </c>
      <c r="C332" s="2159"/>
      <c r="D332" s="2159"/>
      <c r="E332" s="2159"/>
      <c r="F332" s="2159"/>
      <c r="G332" s="2280"/>
      <c r="H332" s="2159"/>
      <c r="K332" s="2159"/>
      <c r="L332" s="2159"/>
      <c r="M332" s="2122">
        <v>3</v>
      </c>
      <c r="N332" s="2248"/>
      <c r="O332" s="2200">
        <f>IF(OR((O333+O334+O335+O336)&gt;3,(O333+O334+O335)&gt;1,O336&gt;$M$336),"Check",IF((O333+O334+O335+O336)&lt;=$M$332,(O333+O334+O335+O336),""))</f>
        <v>2</v>
      </c>
      <c r="P332" s="2200">
        <f>IF(OR((P333+P334+P335+P336)&gt;3,(P333+P334+P335)&gt;1,P336&gt;$M$336),"Check",IF((P333+P334+P335+P336)&lt;=$M$332,(P333+P334+P335+P336),""))</f>
        <v>2</v>
      </c>
      <c r="Q332" s="2201" t="s">
        <v>416</v>
      </c>
      <c r="R332" s="2303"/>
    </row>
    <row r="333" spans="1:18" ht="15.9" customHeight="1">
      <c r="A333" s="2122" t="s">
        <v>1841</v>
      </c>
      <c r="B333" s="2129" t="s">
        <v>6607</v>
      </c>
      <c r="C333" s="2119"/>
      <c r="D333" s="2119"/>
      <c r="E333" s="2129"/>
      <c r="F333" s="2119"/>
      <c r="G333" s="2119"/>
      <c r="H333" s="2119"/>
      <c r="I333" s="2119"/>
      <c r="J333" s="2119"/>
      <c r="K333" s="2121"/>
      <c r="L333" s="2252"/>
      <c r="M333" s="2121">
        <v>1</v>
      </c>
      <c r="N333" s="2383"/>
      <c r="O333" s="2312"/>
      <c r="P333" s="2313"/>
      <c r="Q333" s="2318" t="str">
        <f>IF(OR($O333=$M333,$O333=0,$O333=""),"","*CHECK!*")</f>
        <v/>
      </c>
      <c r="R333" s="2303"/>
    </row>
    <row r="334" spans="1:18" s="2155" customFormat="1" ht="15.9" customHeight="1">
      <c r="A334" s="2122" t="s">
        <v>1843</v>
      </c>
      <c r="B334" s="2129" t="s">
        <v>6608</v>
      </c>
      <c r="C334" s="2253"/>
      <c r="D334" s="2253"/>
      <c r="E334" s="2253"/>
      <c r="F334" s="2253"/>
      <c r="G334" s="2119"/>
      <c r="H334" s="2253"/>
      <c r="I334" s="2253"/>
      <c r="J334" s="2253"/>
      <c r="K334" s="2253"/>
      <c r="L334" s="2253"/>
      <c r="M334" s="2121">
        <v>1</v>
      </c>
      <c r="N334" s="2383"/>
      <c r="O334" s="2238"/>
      <c r="P334" s="2239"/>
      <c r="Q334" s="2318" t="str">
        <f>IF(OR($O334=$M334,$O334=0,$O334=""),"","*CHECK!*")</f>
        <v/>
      </c>
      <c r="R334" s="2303"/>
    </row>
    <row r="335" spans="1:18" ht="15.9" customHeight="1">
      <c r="A335" s="2122" t="s">
        <v>698</v>
      </c>
      <c r="B335" s="2129" t="s">
        <v>6239</v>
      </c>
      <c r="C335" s="2119"/>
      <c r="D335" s="2119"/>
      <c r="E335" s="2119"/>
      <c r="F335" s="2119"/>
      <c r="G335" s="2119"/>
      <c r="H335" s="2119"/>
      <c r="I335" s="2119"/>
      <c r="J335" s="2119"/>
      <c r="K335" s="2119"/>
      <c r="L335" s="2119"/>
      <c r="M335" s="2121">
        <v>1</v>
      </c>
      <c r="N335" s="2383"/>
      <c r="O335" s="2294"/>
      <c r="P335" s="2295"/>
      <c r="Q335" s="2318" t="str">
        <f>IF(OR($O335=$M335,$O335=0,$O335=""),"","*CHECK!*")</f>
        <v/>
      </c>
      <c r="R335" s="2303"/>
    </row>
    <row r="336" spans="1:18" s="2119" customFormat="1" ht="15.9" customHeight="1">
      <c r="A336" s="2122" t="s">
        <v>1962</v>
      </c>
      <c r="B336" s="2129" t="s">
        <v>6609</v>
      </c>
      <c r="M336" s="2121">
        <v>2</v>
      </c>
      <c r="N336" s="2383"/>
      <c r="O336" s="2304">
        <f>O337-O338</f>
        <v>2</v>
      </c>
      <c r="P336" s="2304">
        <f>P337-P338</f>
        <v>2</v>
      </c>
      <c r="Q336" s="2318" t="str">
        <f>IF(OR($O336=$M336,$O336=0,$O336=""),"","*CHECK!*")</f>
        <v/>
      </c>
    </row>
    <row r="337" spans="1:18" s="2119" customFormat="1" ht="15.9" customHeight="1">
      <c r="A337" s="2336"/>
      <c r="C337" s="2129" t="s">
        <v>3177</v>
      </c>
      <c r="D337" s="2141"/>
      <c r="E337" s="2141"/>
      <c r="L337" s="2230"/>
      <c r="M337" s="2122"/>
      <c r="N337" s="2121"/>
      <c r="O337" s="2384">
        <v>2</v>
      </c>
      <c r="P337" s="2384">
        <v>2</v>
      </c>
      <c r="Q337" s="2201"/>
    </row>
    <row r="338" spans="1:18" s="2119" customFormat="1" ht="15.9" customHeight="1">
      <c r="A338" s="2336"/>
      <c r="C338" s="2129" t="s">
        <v>3178</v>
      </c>
      <c r="D338" s="2141"/>
      <c r="E338" s="2141"/>
      <c r="L338" s="2230"/>
      <c r="M338" s="2122"/>
      <c r="N338" s="2121"/>
      <c r="O338" s="2385"/>
      <c r="P338" s="2307"/>
      <c r="Q338" s="2201"/>
      <c r="R338" s="2303"/>
    </row>
    <row r="339" spans="1:18" ht="15.9" customHeight="1" thickBot="1">
      <c r="A339" s="2119"/>
      <c r="B339" s="2258" t="s">
        <v>3241</v>
      </c>
      <c r="C339" s="2119"/>
      <c r="D339" s="2119"/>
      <c r="E339" s="2119"/>
      <c r="F339" s="2119"/>
      <c r="G339" s="2119"/>
      <c r="H339" s="2119"/>
      <c r="I339" s="2119"/>
      <c r="J339" s="2119"/>
      <c r="K339" s="2119"/>
      <c r="M339" s="2121"/>
      <c r="O339" s="2131"/>
    </row>
    <row r="340" spans="1:18" ht="15.9" customHeight="1" thickTop="1" thickBot="1">
      <c r="A340" s="3955"/>
      <c r="B340" s="3956"/>
      <c r="C340" s="3956"/>
      <c r="D340" s="3956"/>
      <c r="E340" s="3956"/>
      <c r="F340" s="3956"/>
      <c r="G340" s="3956"/>
      <c r="H340" s="3956"/>
      <c r="I340" s="3956"/>
      <c r="J340" s="3956"/>
      <c r="K340" s="3956"/>
      <c r="L340" s="3956"/>
      <c r="M340" s="3956"/>
      <c r="N340" s="3956"/>
      <c r="O340" s="3956"/>
      <c r="P340" s="3957"/>
      <c r="Q340" s="2207"/>
      <c r="R340" s="2207"/>
    </row>
    <row r="341" spans="1:18" ht="15.9" customHeight="1" thickTop="1">
      <c r="B341" s="2247" t="s">
        <v>1730</v>
      </c>
      <c r="C341" s="2145"/>
      <c r="D341" s="2247"/>
      <c r="E341" s="2180"/>
      <c r="F341" s="2159"/>
      <c r="G341" s="2159"/>
      <c r="H341" s="2159"/>
      <c r="I341" s="2159"/>
      <c r="J341" s="2159"/>
      <c r="K341" s="2159"/>
      <c r="L341" s="2159"/>
      <c r="M341" s="2159"/>
      <c r="N341" s="2248"/>
      <c r="O341" s="2249"/>
      <c r="P341" s="2122"/>
    </row>
    <row r="342" spans="1:18" ht="15.9" customHeight="1">
      <c r="A342" s="3891"/>
      <c r="B342" s="3892"/>
      <c r="C342" s="3892"/>
      <c r="D342" s="3892"/>
      <c r="E342" s="3892"/>
      <c r="F342" s="3892"/>
      <c r="G342" s="3892"/>
      <c r="H342" s="3892"/>
      <c r="I342" s="3892"/>
      <c r="J342" s="3892"/>
      <c r="K342" s="3892"/>
      <c r="L342" s="3892"/>
      <c r="M342" s="3892"/>
      <c r="N342" s="3892"/>
      <c r="O342" s="3892"/>
      <c r="P342" s="3893"/>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2"/>
      <c r="B344" s="2261"/>
      <c r="C344" s="2298"/>
      <c r="D344" s="2298"/>
      <c r="E344" s="2298"/>
      <c r="F344" s="2298"/>
      <c r="G344" s="2298"/>
      <c r="H344" s="2298"/>
      <c r="I344" s="2298"/>
      <c r="J344" s="2298"/>
      <c r="K344" s="2298"/>
      <c r="L344" s="2298"/>
      <c r="M344" s="2298"/>
      <c r="N344" s="2299"/>
      <c r="O344" s="2300"/>
      <c r="P344" s="2263"/>
    </row>
    <row r="345" spans="1:18" s="2119" customFormat="1" ht="15.9" customHeight="1" thickBot="1">
      <c r="A345" s="2336" t="s">
        <v>3380</v>
      </c>
      <c r="B345" s="2141" t="s">
        <v>6240</v>
      </c>
      <c r="D345" s="2141"/>
      <c r="E345" s="2141"/>
      <c r="L345" s="2441" t="str">
        <f>IF(AND($O345&gt;0,NOT($F$36="Preservation")),"Ineligible, not Preservation!","")</f>
        <v/>
      </c>
      <c r="M345" s="2122">
        <v>6</v>
      </c>
      <c r="N345" s="2121"/>
      <c r="O345" s="2356">
        <v>6</v>
      </c>
      <c r="P345" s="2319"/>
      <c r="Q345" s="2201" t="s">
        <v>416</v>
      </c>
      <c r="R345" s="2303"/>
    </row>
    <row r="346" spans="1:18" ht="15.9" customHeight="1" thickBot="1">
      <c r="A346" s="2119"/>
      <c r="B346" s="2258" t="s">
        <v>3241</v>
      </c>
      <c r="C346" s="2119"/>
      <c r="D346" s="2119"/>
      <c r="E346" s="2119"/>
      <c r="F346" s="2119"/>
      <c r="G346" s="2119"/>
      <c r="H346" s="2119"/>
      <c r="I346" s="2119"/>
      <c r="J346" s="2119"/>
      <c r="K346" s="2119"/>
      <c r="M346" s="2121"/>
      <c r="O346" s="2131"/>
    </row>
    <row r="347" spans="1:18" ht="15.9" customHeight="1" thickTop="1" thickBot="1">
      <c r="A347" s="3955" t="s">
        <v>7118</v>
      </c>
      <c r="B347" s="3956"/>
      <c r="C347" s="3956"/>
      <c r="D347" s="3956"/>
      <c r="E347" s="3956"/>
      <c r="F347" s="3956"/>
      <c r="G347" s="3956"/>
      <c r="H347" s="3956"/>
      <c r="I347" s="3956"/>
      <c r="J347" s="3956"/>
      <c r="K347" s="3956"/>
      <c r="L347" s="3956"/>
      <c r="M347" s="3956"/>
      <c r="N347" s="3956"/>
      <c r="O347" s="3956"/>
      <c r="P347" s="3957"/>
      <c r="Q347" s="2207"/>
      <c r="R347" s="2207"/>
    </row>
    <row r="348" spans="1:18" s="2119" customFormat="1" ht="15.9" customHeight="1" thickTop="1">
      <c r="A348" s="2139"/>
      <c r="B348" s="2139" t="s">
        <v>1730</v>
      </c>
      <c r="D348" s="2139"/>
      <c r="E348" s="2297"/>
      <c r="F348" s="2297"/>
      <c r="G348" s="2297"/>
      <c r="H348" s="2297"/>
      <c r="I348" s="2297"/>
      <c r="J348" s="2297"/>
      <c r="K348" s="2297"/>
      <c r="L348" s="2297"/>
      <c r="M348" s="2297"/>
      <c r="N348" s="2266"/>
      <c r="O348" s="2123"/>
      <c r="P348" s="2122"/>
    </row>
    <row r="349" spans="1:18" ht="15.9" customHeight="1">
      <c r="A349" s="3891"/>
      <c r="B349" s="3892"/>
      <c r="C349" s="3892"/>
      <c r="D349" s="3892"/>
      <c r="E349" s="3892"/>
      <c r="F349" s="3892"/>
      <c r="G349" s="3892"/>
      <c r="H349" s="3892"/>
      <c r="I349" s="3892"/>
      <c r="J349" s="3892"/>
      <c r="K349" s="3892"/>
      <c r="L349" s="3892"/>
      <c r="M349" s="3892"/>
      <c r="N349" s="3892"/>
      <c r="O349" s="3892"/>
      <c r="P349" s="3893"/>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2"/>
      <c r="B351" s="2261"/>
      <c r="C351" s="2298"/>
      <c r="D351" s="2298"/>
      <c r="E351" s="2298"/>
      <c r="F351" s="2298"/>
      <c r="G351" s="2298"/>
      <c r="H351" s="2298"/>
      <c r="I351" s="2298"/>
      <c r="J351" s="2298"/>
      <c r="K351" s="2298"/>
      <c r="L351" s="2298"/>
      <c r="M351" s="2298"/>
      <c r="N351" s="2299"/>
      <c r="O351" s="2300"/>
      <c r="P351" s="2263"/>
    </row>
    <row r="352" spans="1:18" s="2119" customFormat="1" ht="15.9" customHeight="1">
      <c r="A352" s="2336" t="s">
        <v>3381</v>
      </c>
      <c r="B352" s="2141" t="s">
        <v>6916</v>
      </c>
      <c r="D352" s="2141"/>
      <c r="E352" s="2141"/>
      <c r="F352" s="2134"/>
      <c r="L352" s="2318" t="str">
        <f>IF(OR($O352=$M352,$O352=0,$O352=""),"","*CHECK!*")</f>
        <v/>
      </c>
      <c r="M352" s="2122">
        <v>6</v>
      </c>
      <c r="N352" s="2121"/>
      <c r="O352" s="2121"/>
      <c r="P352" s="2386"/>
      <c r="Q352" s="2201" t="s">
        <v>416</v>
      </c>
      <c r="R352" s="2303"/>
    </row>
    <row r="353" spans="1:18" s="2119" customFormat="1" ht="15.9" customHeight="1">
      <c r="A353" s="2336"/>
      <c r="B353" s="2119" t="s">
        <v>6872</v>
      </c>
      <c r="D353" s="2141"/>
      <c r="E353" s="2141"/>
      <c r="F353" s="2134"/>
      <c r="L353" s="2318"/>
      <c r="M353" s="2122"/>
      <c r="N353" s="2121"/>
      <c r="O353" s="2322" t="s">
        <v>2652</v>
      </c>
      <c r="P353" s="2362"/>
      <c r="Q353" s="2201"/>
      <c r="R353" s="2303"/>
    </row>
    <row r="354" spans="1:18" s="2119" customFormat="1" ht="15.9" customHeight="1">
      <c r="A354" s="2139"/>
      <c r="B354" s="2139" t="s">
        <v>1730</v>
      </c>
      <c r="D354" s="2139"/>
      <c r="E354" s="2297"/>
      <c r="F354" s="2297"/>
      <c r="G354" s="2297"/>
      <c r="H354" s="2297"/>
      <c r="I354" s="2297"/>
      <c r="J354" s="2297"/>
      <c r="K354" s="2297"/>
      <c r="L354" s="2297"/>
      <c r="M354" s="2297"/>
      <c r="N354" s="2266"/>
      <c r="O354" s="2123"/>
      <c r="P354" s="2122"/>
    </row>
    <row r="355" spans="1:18" ht="15.9" customHeight="1">
      <c r="A355" s="3891"/>
      <c r="B355" s="3892"/>
      <c r="C355" s="3892"/>
      <c r="D355" s="3892"/>
      <c r="E355" s="3892"/>
      <c r="F355" s="3892"/>
      <c r="G355" s="3892"/>
      <c r="H355" s="3892"/>
      <c r="I355" s="3892"/>
      <c r="J355" s="3892"/>
      <c r="K355" s="3892"/>
      <c r="L355" s="3892"/>
      <c r="M355" s="3892"/>
      <c r="N355" s="3892"/>
      <c r="O355" s="3892"/>
      <c r="P355" s="3893"/>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2"/>
      <c r="B357" s="2261"/>
      <c r="C357" s="2298"/>
      <c r="D357" s="2298"/>
      <c r="E357" s="2298"/>
      <c r="F357" s="2298"/>
      <c r="G357" s="2298"/>
      <c r="H357" s="2298"/>
      <c r="I357" s="2298"/>
      <c r="J357" s="2298"/>
      <c r="K357" s="2298"/>
      <c r="L357" s="2298"/>
      <c r="M357" s="2298"/>
      <c r="N357" s="2299"/>
      <c r="O357" s="2300"/>
      <c r="P357" s="2263"/>
    </row>
    <row r="358" spans="1:18" s="2119" customFormat="1" ht="15.9" customHeight="1" thickBot="1">
      <c r="A358" s="2336" t="s">
        <v>3803</v>
      </c>
      <c r="B358" s="2141" t="s">
        <v>6611</v>
      </c>
      <c r="D358" s="2141"/>
      <c r="L358" s="2441" t="str">
        <f>IF(AND($O358&gt;0,NOT($F$36="Preservation")),"Ineligible, not Preservation!","")</f>
        <v/>
      </c>
      <c r="M358" s="2122">
        <v>4</v>
      </c>
      <c r="N358" s="2121"/>
      <c r="O358" s="2356"/>
      <c r="P358" s="2319"/>
      <c r="Q358" s="2201" t="s">
        <v>416</v>
      </c>
      <c r="R358" s="2303"/>
    </row>
    <row r="359" spans="1:18" ht="15.9" customHeight="1" thickBot="1">
      <c r="A359" s="2119"/>
      <c r="B359" s="2258" t="s">
        <v>3241</v>
      </c>
      <c r="C359" s="2119"/>
      <c r="D359" s="2119"/>
      <c r="E359" s="2119"/>
      <c r="F359" s="2119"/>
      <c r="G359" s="2119"/>
      <c r="H359" s="2119"/>
      <c r="I359" s="2119"/>
      <c r="J359" s="2119"/>
      <c r="K359" s="2119"/>
      <c r="M359" s="2121"/>
      <c r="O359" s="2131"/>
    </row>
    <row r="360" spans="1:18" ht="32.4" customHeight="1" thickTop="1" thickBot="1">
      <c r="A360" s="3955" t="s">
        <v>7119</v>
      </c>
      <c r="B360" s="3956"/>
      <c r="C360" s="3956"/>
      <c r="D360" s="3956"/>
      <c r="E360" s="3956"/>
      <c r="F360" s="3956"/>
      <c r="G360" s="3956"/>
      <c r="H360" s="3956"/>
      <c r="I360" s="3956"/>
      <c r="J360" s="3956"/>
      <c r="K360" s="3956"/>
      <c r="L360" s="3956"/>
      <c r="M360" s="3956"/>
      <c r="N360" s="3956"/>
      <c r="O360" s="3956"/>
      <c r="P360" s="3957"/>
      <c r="Q360" s="2207"/>
      <c r="R360" s="2207"/>
    </row>
    <row r="361" spans="1:18" s="2119" customFormat="1" ht="15.9" customHeight="1" thickTop="1">
      <c r="A361" s="2139"/>
      <c r="B361" s="2139" t="s">
        <v>1730</v>
      </c>
      <c r="D361" s="2139"/>
      <c r="E361" s="2297"/>
      <c r="F361" s="2297"/>
      <c r="G361" s="2297"/>
      <c r="H361" s="2297"/>
      <c r="I361" s="2297"/>
      <c r="J361" s="2297"/>
      <c r="K361" s="2297"/>
      <c r="L361" s="2297"/>
      <c r="M361" s="2297"/>
      <c r="N361" s="2266"/>
      <c r="O361" s="2123"/>
      <c r="P361" s="2122"/>
    </row>
    <row r="362" spans="1:18" ht="15.9" customHeight="1">
      <c r="A362" s="3891"/>
      <c r="B362" s="3892"/>
      <c r="C362" s="3892"/>
      <c r="D362" s="3892"/>
      <c r="E362" s="3892"/>
      <c r="F362" s="3892"/>
      <c r="G362" s="3892"/>
      <c r="H362" s="3892"/>
      <c r="I362" s="3892"/>
      <c r="J362" s="3892"/>
      <c r="K362" s="3892"/>
      <c r="L362" s="3892"/>
      <c r="M362" s="3892"/>
      <c r="N362" s="3892"/>
      <c r="O362" s="3892"/>
      <c r="P362" s="3893"/>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2"/>
      <c r="B364" s="2261"/>
      <c r="C364" s="2298"/>
      <c r="D364" s="2298"/>
      <c r="E364" s="2298"/>
      <c r="F364" s="2298"/>
      <c r="G364" s="2298"/>
      <c r="H364" s="2298"/>
      <c r="I364" s="2298"/>
      <c r="J364" s="2298"/>
      <c r="K364" s="2298"/>
      <c r="L364" s="2298"/>
      <c r="M364" s="2298"/>
      <c r="N364" s="2299"/>
      <c r="O364" s="2300"/>
      <c r="P364" s="2263"/>
    </row>
    <row r="365" spans="1:18" s="2119" customFormat="1" ht="15.9" customHeight="1" thickBot="1">
      <c r="A365" s="2336" t="s">
        <v>6556</v>
      </c>
      <c r="B365" s="2141" t="s">
        <v>6612</v>
      </c>
      <c r="D365" s="2141"/>
      <c r="G365" s="2280"/>
      <c r="L365" s="2441" t="str">
        <f>IF(AND(SUM(O366,O367)&gt;0,NOT($F$36="Preservation")),"Ineligible, not Preservation!","")</f>
        <v/>
      </c>
      <c r="M365" s="2122">
        <v>6</v>
      </c>
      <c r="N365" s="2121"/>
      <c r="O365" s="2200">
        <f>IF($F$36="Preservation",IF(SUM(O366:O367)&gt;$M365,"Check",SUM(O366:O367)),0)</f>
        <v>6</v>
      </c>
      <c r="P365" s="2200">
        <f>IF($F$36="Preservation",IF(SUM(P366:P367)&gt;$M365,"Check",SUM(P366:P367)),0)</f>
        <v>0</v>
      </c>
      <c r="Q365" s="2201" t="s">
        <v>416</v>
      </c>
      <c r="R365" s="2303"/>
    </row>
    <row r="366" spans="1:18" ht="15.9" customHeight="1">
      <c r="A366" s="2122" t="s">
        <v>1841</v>
      </c>
      <c r="B366" s="2129" t="s">
        <v>6133</v>
      </c>
      <c r="E366" s="2225"/>
      <c r="F366" s="2119"/>
      <c r="G366" s="2119"/>
      <c r="H366" s="2119"/>
      <c r="K366" s="2121"/>
      <c r="L366" s="2228"/>
      <c r="M366" s="2121">
        <v>6</v>
      </c>
      <c r="N366" s="2383"/>
      <c r="O366" s="2387">
        <v>6</v>
      </c>
      <c r="P366" s="2388"/>
      <c r="Q366" s="2318" t="str">
        <f>IF(OR($O366&lt;=$M366,$O366=0,$O366=""),"","*CHECK!*")</f>
        <v/>
      </c>
      <c r="R366" s="2303"/>
    </row>
    <row r="367" spans="1:18" s="2155" customFormat="1" ht="15.9" customHeight="1">
      <c r="A367" s="2346" t="s">
        <v>1843</v>
      </c>
      <c r="B367" s="2287" t="s">
        <v>6134</v>
      </c>
      <c r="C367" s="2156"/>
      <c r="D367" s="2156"/>
      <c r="E367" s="2156"/>
      <c r="F367" s="2156"/>
      <c r="H367" s="2156"/>
      <c r="I367" s="2156"/>
      <c r="J367" s="2253"/>
      <c r="K367" s="2253"/>
      <c r="L367" s="2253"/>
      <c r="M367" s="2121">
        <v>4</v>
      </c>
      <c r="N367" s="2383"/>
      <c r="O367" s="2241"/>
      <c r="P367" s="2242"/>
      <c r="Q367" s="2318" t="str">
        <f>IF(OR($O367&lt;=$M367,$O367=0,$O367=""),"","*CHECK!*")</f>
        <v/>
      </c>
      <c r="R367" s="2303"/>
    </row>
    <row r="368" spans="1:18" ht="15.9" customHeight="1" thickBot="1">
      <c r="A368" s="2119"/>
      <c r="B368" s="2258" t="s">
        <v>3241</v>
      </c>
      <c r="C368" s="2119"/>
      <c r="D368" s="2119"/>
      <c r="E368" s="2119"/>
      <c r="F368" s="2119"/>
      <c r="G368" s="2119"/>
      <c r="H368" s="2119"/>
      <c r="I368" s="2119"/>
      <c r="J368" s="2119"/>
      <c r="K368" s="2119"/>
      <c r="M368" s="2121"/>
      <c r="O368" s="2131"/>
    </row>
    <row r="369" spans="1:18" ht="15.9" customHeight="1" thickTop="1" thickBot="1">
      <c r="A369" s="3955" t="s">
        <v>7120</v>
      </c>
      <c r="B369" s="3956"/>
      <c r="C369" s="3956"/>
      <c r="D369" s="3956"/>
      <c r="E369" s="3956"/>
      <c r="F369" s="3956"/>
      <c r="G369" s="3956"/>
      <c r="H369" s="3956"/>
      <c r="I369" s="3956"/>
      <c r="J369" s="3956"/>
      <c r="K369" s="3956"/>
      <c r="L369" s="3956"/>
      <c r="M369" s="3956"/>
      <c r="N369" s="3956"/>
      <c r="O369" s="3956"/>
      <c r="P369" s="3957"/>
      <c r="Q369" s="2207"/>
      <c r="R369" s="2207"/>
    </row>
    <row r="370" spans="1:18" s="2119" customFormat="1" ht="15.9" customHeight="1" thickTop="1">
      <c r="A370" s="2139"/>
      <c r="B370" s="2139" t="s">
        <v>1730</v>
      </c>
      <c r="D370" s="2139"/>
      <c r="E370" s="2297"/>
      <c r="F370" s="2297"/>
      <c r="G370" s="2297"/>
      <c r="H370" s="2297"/>
      <c r="I370" s="2297"/>
      <c r="J370" s="2297"/>
      <c r="K370" s="2297"/>
      <c r="L370" s="2297"/>
      <c r="M370" s="2297"/>
      <c r="N370" s="2266"/>
      <c r="O370" s="2123"/>
      <c r="P370" s="2122"/>
    </row>
    <row r="371" spans="1:18" ht="15.9" customHeight="1">
      <c r="A371" s="3891"/>
      <c r="B371" s="3892"/>
      <c r="C371" s="3892"/>
      <c r="D371" s="3892"/>
      <c r="E371" s="3892"/>
      <c r="F371" s="3892"/>
      <c r="G371" s="3892"/>
      <c r="H371" s="3892"/>
      <c r="I371" s="3892"/>
      <c r="J371" s="3892"/>
      <c r="K371" s="3892"/>
      <c r="L371" s="3892"/>
      <c r="M371" s="3892"/>
      <c r="N371" s="3892"/>
      <c r="O371" s="3892"/>
      <c r="P371" s="3893"/>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2"/>
      <c r="B373" s="2261"/>
      <c r="C373" s="2298"/>
      <c r="D373" s="2298"/>
      <c r="E373" s="2298"/>
      <c r="F373" s="2298"/>
      <c r="G373" s="2298"/>
      <c r="H373" s="2298"/>
      <c r="I373" s="2298"/>
      <c r="J373" s="2298"/>
      <c r="K373" s="2298"/>
      <c r="L373" s="2298"/>
      <c r="M373" s="2298"/>
      <c r="N373" s="2299"/>
      <c r="O373" s="2300"/>
      <c r="P373" s="2263"/>
    </row>
    <row r="374" spans="1:18" s="2119" customFormat="1" ht="15.9" customHeight="1" thickBot="1">
      <c r="A374" s="2336" t="s">
        <v>6917</v>
      </c>
      <c r="B374" s="2141" t="s">
        <v>6918</v>
      </c>
      <c r="D374" s="2141"/>
      <c r="G374" s="2280"/>
      <c r="L374" s="2318" t="str">
        <f>IF(OR($O374&lt;=$M374,$O374=0,$O374=""),"","*CHECK!*")</f>
        <v/>
      </c>
      <c r="M374" s="2122">
        <v>16</v>
      </c>
      <c r="N374" s="2121"/>
      <c r="O374" s="2200">
        <f>IF(AND($F$36="Preservation",$O$36="4%"),IF(SUM(O375:O387)&gt;$M374,"Check",SUM(O375:O387)),0)</f>
        <v>6</v>
      </c>
      <c r="P374" s="2200">
        <f>IF(AND($F$36="Preservation",$O$36="4%"),IF(SUM(P375:P387)&gt;$M374,"Check",SUM(P375:P387)),0)</f>
        <v>0</v>
      </c>
      <c r="Q374" s="2201" t="s">
        <v>416</v>
      </c>
      <c r="R374" s="2303"/>
    </row>
    <row r="375" spans="1:18" ht="15.9" customHeight="1">
      <c r="A375" s="2122" t="s">
        <v>1841</v>
      </c>
      <c r="B375" s="2129" t="s">
        <v>6919</v>
      </c>
      <c r="F375" s="2119"/>
      <c r="G375" s="2119"/>
      <c r="H375" s="2119"/>
      <c r="K375" s="2121"/>
      <c r="L375" s="2228"/>
      <c r="M375" s="2121">
        <v>10</v>
      </c>
      <c r="N375" s="2383"/>
      <c r="O375" s="2442">
        <v>6</v>
      </c>
      <c r="P375" s="2443"/>
      <c r="Q375" s="2318" t="str">
        <f>IF(OR($O375&lt;=$M375,$O375=0,$O375=""),"","*CHECK!*")</f>
        <v/>
      </c>
      <c r="R375" s="2303"/>
    </row>
    <row r="376" spans="1:18" ht="15.9" customHeight="1">
      <c r="A376" s="2122"/>
      <c r="B376" s="2118" t="s">
        <v>1133</v>
      </c>
      <c r="D376" s="2118" t="s">
        <v>6931</v>
      </c>
      <c r="E376" s="2119"/>
      <c r="F376" s="2119"/>
      <c r="G376" s="2119" t="s">
        <v>6223</v>
      </c>
      <c r="H376" s="2119"/>
      <c r="I376" s="2119"/>
      <c r="J376" s="2119" t="s">
        <v>575</v>
      </c>
      <c r="L376" s="2137" t="s">
        <v>6932</v>
      </c>
      <c r="M376" s="3915" t="s">
        <v>6942</v>
      </c>
      <c r="N376" s="3915"/>
      <c r="O376" s="3915"/>
      <c r="P376" s="3915"/>
      <c r="Q376" s="2318"/>
    </row>
    <row r="377" spans="1:18" ht="15.9" customHeight="1">
      <c r="A377" s="2119">
        <v>1</v>
      </c>
      <c r="B377" s="4112" t="s">
        <v>2208</v>
      </c>
      <c r="C377" s="4112"/>
      <c r="D377" s="4112" t="s">
        <v>7121</v>
      </c>
      <c r="E377" s="4112"/>
      <c r="F377" s="4112"/>
      <c r="G377" s="4112" t="s">
        <v>7122</v>
      </c>
      <c r="H377" s="4112"/>
      <c r="I377" s="4112"/>
      <c r="J377" s="4112" t="s">
        <v>100</v>
      </c>
      <c r="K377" s="4112"/>
      <c r="L377" s="2444" t="s">
        <v>7123</v>
      </c>
      <c r="M377" s="4134" t="s">
        <v>7124</v>
      </c>
      <c r="N377" s="4135"/>
      <c r="O377" s="4135"/>
      <c r="P377" s="4136"/>
      <c r="Q377" s="2318"/>
    </row>
    <row r="378" spans="1:18" ht="15.9" customHeight="1">
      <c r="A378" s="2119">
        <v>2</v>
      </c>
      <c r="B378" s="3869" t="s">
        <v>1254</v>
      </c>
      <c r="C378" s="3869"/>
      <c r="D378" s="3869" t="s">
        <v>7125</v>
      </c>
      <c r="E378" s="3869"/>
      <c r="F378" s="3869"/>
      <c r="G378" s="3869" t="s">
        <v>7126</v>
      </c>
      <c r="H378" s="3869"/>
      <c r="I378" s="3869"/>
      <c r="J378" s="3869" t="s">
        <v>2351</v>
      </c>
      <c r="K378" s="3869"/>
      <c r="L378" s="2445" t="s">
        <v>7127</v>
      </c>
      <c r="M378" s="4124" t="s">
        <v>7128</v>
      </c>
      <c r="N378" s="4125"/>
      <c r="O378" s="4125"/>
      <c r="P378" s="4126"/>
      <c r="Q378" s="2318"/>
    </row>
    <row r="379" spans="1:18" ht="15.9" customHeight="1">
      <c r="A379" s="2119">
        <v>3</v>
      </c>
      <c r="B379" s="3869" t="s">
        <v>1862</v>
      </c>
      <c r="C379" s="3869"/>
      <c r="D379" s="3869" t="s">
        <v>7129</v>
      </c>
      <c r="E379" s="3869"/>
      <c r="F379" s="3869"/>
      <c r="G379" s="3869" t="s">
        <v>7130</v>
      </c>
      <c r="H379" s="3869"/>
      <c r="I379" s="3869"/>
      <c r="J379" s="3869" t="s">
        <v>3011</v>
      </c>
      <c r="K379" s="3869"/>
      <c r="L379" s="2445" t="s">
        <v>7131</v>
      </c>
      <c r="M379" s="4124" t="s">
        <v>7132</v>
      </c>
      <c r="N379" s="4125"/>
      <c r="O379" s="4125"/>
      <c r="P379" s="4126"/>
      <c r="Q379" s="2318"/>
    </row>
    <row r="380" spans="1:18" ht="15.9" customHeight="1">
      <c r="A380" s="2119">
        <v>4</v>
      </c>
      <c r="B380" s="3869" t="s">
        <v>2385</v>
      </c>
      <c r="C380" s="3869"/>
      <c r="D380" s="3869" t="s">
        <v>7133</v>
      </c>
      <c r="E380" s="3869"/>
      <c r="F380" s="3869"/>
      <c r="G380" s="3869" t="s">
        <v>7134</v>
      </c>
      <c r="H380" s="3869"/>
      <c r="I380" s="3869"/>
      <c r="J380" s="3869" t="s">
        <v>2330</v>
      </c>
      <c r="K380" s="3869"/>
      <c r="L380" s="2445" t="s">
        <v>7135</v>
      </c>
      <c r="M380" s="4124" t="s">
        <v>7136</v>
      </c>
      <c r="N380" s="4125"/>
      <c r="O380" s="4125"/>
      <c r="P380" s="4126"/>
      <c r="Q380" s="2318"/>
    </row>
    <row r="381" spans="1:18" ht="15.9" customHeight="1">
      <c r="A381" s="2119">
        <v>5</v>
      </c>
      <c r="B381" s="3869" t="s">
        <v>2285</v>
      </c>
      <c r="C381" s="3869"/>
      <c r="D381" s="3869" t="s">
        <v>7137</v>
      </c>
      <c r="E381" s="3869"/>
      <c r="F381" s="3869"/>
      <c r="G381" s="3869" t="s">
        <v>7138</v>
      </c>
      <c r="H381" s="3869"/>
      <c r="I381" s="3869"/>
      <c r="J381" s="3869" t="s">
        <v>2181</v>
      </c>
      <c r="K381" s="3869"/>
      <c r="L381" s="2445" t="s">
        <v>7139</v>
      </c>
      <c r="M381" s="4124" t="s">
        <v>7140</v>
      </c>
      <c r="N381" s="4125"/>
      <c r="O381" s="4125"/>
      <c r="P381" s="4126"/>
      <c r="Q381" s="2318"/>
    </row>
    <row r="382" spans="1:18" ht="15.9" customHeight="1">
      <c r="A382" s="2119">
        <v>6</v>
      </c>
      <c r="B382" s="3869" t="s">
        <v>1363</v>
      </c>
      <c r="C382" s="3869"/>
      <c r="D382" s="3869" t="s">
        <v>7141</v>
      </c>
      <c r="E382" s="3869"/>
      <c r="F382" s="3869"/>
      <c r="G382" s="3869" t="s">
        <v>7142</v>
      </c>
      <c r="H382" s="3869"/>
      <c r="I382" s="3869"/>
      <c r="J382" s="3869" t="s">
        <v>1072</v>
      </c>
      <c r="K382" s="3869"/>
      <c r="L382" s="2445" t="s">
        <v>7143</v>
      </c>
      <c r="M382" s="4124" t="s">
        <v>7144</v>
      </c>
      <c r="N382" s="4125"/>
      <c r="O382" s="4125"/>
      <c r="P382" s="4126"/>
      <c r="Q382" s="2318"/>
    </row>
    <row r="383" spans="1:18" ht="15.9" customHeight="1">
      <c r="A383" s="2119">
        <v>7</v>
      </c>
      <c r="B383" s="3869" t="s">
        <v>1242</v>
      </c>
      <c r="C383" s="3869"/>
      <c r="D383" s="3869" t="s">
        <v>7145</v>
      </c>
      <c r="E383" s="3869"/>
      <c r="F383" s="3869"/>
      <c r="G383" s="3869" t="s">
        <v>7146</v>
      </c>
      <c r="H383" s="3869"/>
      <c r="I383" s="3869"/>
      <c r="J383" s="3869" t="s">
        <v>359</v>
      </c>
      <c r="K383" s="3869"/>
      <c r="L383" s="2445" t="s">
        <v>7147</v>
      </c>
      <c r="M383" s="4124" t="s">
        <v>7148</v>
      </c>
      <c r="N383" s="4125"/>
      <c r="O383" s="4125"/>
      <c r="P383" s="4126"/>
      <c r="Q383" s="2318"/>
    </row>
    <row r="384" spans="1:18" ht="15.9" customHeight="1">
      <c r="A384" s="2119">
        <v>8</v>
      </c>
      <c r="B384" s="3869" t="s">
        <v>2020</v>
      </c>
      <c r="C384" s="3869"/>
      <c r="D384" s="3869" t="s">
        <v>7149</v>
      </c>
      <c r="E384" s="3869"/>
      <c r="F384" s="3869"/>
      <c r="G384" s="3869" t="s">
        <v>7150</v>
      </c>
      <c r="H384" s="3869"/>
      <c r="I384" s="3869"/>
      <c r="J384" s="3869" t="s">
        <v>1712</v>
      </c>
      <c r="K384" s="3869"/>
      <c r="L384" s="2445" t="s">
        <v>7151</v>
      </c>
      <c r="M384" s="4124" t="s">
        <v>7152</v>
      </c>
      <c r="N384" s="4125"/>
      <c r="O384" s="4125"/>
      <c r="P384" s="4126"/>
      <c r="Q384" s="2318"/>
    </row>
    <row r="385" spans="1:19">
      <c r="A385" s="2118">
        <v>9</v>
      </c>
      <c r="B385" s="3869" t="s">
        <v>820</v>
      </c>
      <c r="C385" s="3869"/>
      <c r="D385" s="3869" t="s">
        <v>7153</v>
      </c>
      <c r="E385" s="3869"/>
      <c r="F385" s="3869"/>
      <c r="G385" s="3869" t="s">
        <v>7154</v>
      </c>
      <c r="H385" s="3869"/>
      <c r="I385" s="3869"/>
      <c r="J385" s="3869" t="s">
        <v>1692</v>
      </c>
      <c r="K385" s="3869"/>
      <c r="L385" s="2445" t="s">
        <v>7155</v>
      </c>
      <c r="M385" s="4124" t="s">
        <v>7156</v>
      </c>
      <c r="N385" s="4125"/>
      <c r="O385" s="4125"/>
      <c r="P385" s="4126"/>
    </row>
    <row r="386" spans="1:19" ht="15.9" customHeight="1">
      <c r="A386" s="2119">
        <v>10</v>
      </c>
      <c r="B386" s="3870" t="s">
        <v>100</v>
      </c>
      <c r="C386" s="3870"/>
      <c r="D386" s="3870" t="s">
        <v>7157</v>
      </c>
      <c r="E386" s="3870"/>
      <c r="F386" s="3870"/>
      <c r="G386" s="3870" t="s">
        <v>7158</v>
      </c>
      <c r="H386" s="3870"/>
      <c r="I386" s="3870"/>
      <c r="J386" s="3870" t="s">
        <v>2225</v>
      </c>
      <c r="K386" s="3870"/>
      <c r="L386" s="2446" t="s">
        <v>7159</v>
      </c>
      <c r="M386" s="4121" t="s">
        <v>7160</v>
      </c>
      <c r="N386" s="4122"/>
      <c r="O386" s="4122"/>
      <c r="P386" s="4123"/>
      <c r="Q386" s="2318"/>
    </row>
    <row r="387" spans="1:19" s="2155" customFormat="1" ht="15.9" customHeight="1">
      <c r="A387" s="2346" t="s">
        <v>1843</v>
      </c>
      <c r="B387" s="2287" t="s">
        <v>6920</v>
      </c>
      <c r="C387" s="2156"/>
      <c r="D387" s="2156"/>
      <c r="E387" s="2156"/>
      <c r="F387" s="2156"/>
      <c r="H387" s="2156"/>
      <c r="I387" s="2156"/>
      <c r="J387" s="2253"/>
      <c r="K387" s="2253"/>
      <c r="L387" s="2253"/>
      <c r="M387" s="2121">
        <v>6</v>
      </c>
      <c r="N387" s="2383"/>
      <c r="O387" s="2451"/>
      <c r="P387" s="2452"/>
      <c r="Q387" s="2318" t="str">
        <f>IF(OR($O387&lt;=$M387,$O387=0,$O387=""),"","*CHECK!*")</f>
        <v/>
      </c>
    </row>
    <row r="388" spans="1:19" ht="15.9" customHeight="1" thickBot="1">
      <c r="A388" s="2119"/>
      <c r="B388" s="2258" t="s">
        <v>3241</v>
      </c>
      <c r="C388" s="2119"/>
      <c r="D388" s="2119"/>
      <c r="E388" s="2119"/>
      <c r="F388" s="2119"/>
      <c r="G388" s="2119"/>
      <c r="H388" s="2119"/>
      <c r="I388" s="2119"/>
      <c r="J388" s="2119"/>
      <c r="K388" s="2119"/>
      <c r="M388" s="2121"/>
      <c r="O388" s="2131"/>
    </row>
    <row r="389" spans="1:19" ht="15.9" customHeight="1" thickTop="1" thickBot="1">
      <c r="A389" s="3955" t="s">
        <v>7171</v>
      </c>
      <c r="B389" s="3956"/>
      <c r="C389" s="3956"/>
      <c r="D389" s="3956"/>
      <c r="E389" s="3956"/>
      <c r="F389" s="3956"/>
      <c r="G389" s="3956"/>
      <c r="H389" s="3956"/>
      <c r="I389" s="3956"/>
      <c r="J389" s="3956"/>
      <c r="K389" s="3956"/>
      <c r="L389" s="3956"/>
      <c r="M389" s="3956"/>
      <c r="N389" s="3956"/>
      <c r="O389" s="3956"/>
      <c r="P389" s="3957"/>
      <c r="Q389" s="2207"/>
      <c r="R389" s="2207"/>
    </row>
    <row r="390" spans="1:19" s="2119" customFormat="1" ht="15.9" customHeight="1" thickTop="1">
      <c r="A390" s="2139"/>
      <c r="B390" s="2139" t="s">
        <v>1730</v>
      </c>
      <c r="D390" s="2139"/>
      <c r="E390" s="2297"/>
      <c r="F390" s="2297"/>
      <c r="G390" s="2297"/>
      <c r="H390" s="2297"/>
      <c r="I390" s="2297"/>
      <c r="J390" s="2297"/>
      <c r="K390" s="2297"/>
      <c r="L390" s="2297"/>
      <c r="M390" s="2297"/>
      <c r="N390" s="2266"/>
      <c r="O390" s="2123"/>
      <c r="P390" s="2122"/>
    </row>
    <row r="391" spans="1:19" ht="15.9" customHeight="1">
      <c r="A391" s="3891"/>
      <c r="B391" s="3892"/>
      <c r="C391" s="3892"/>
      <c r="D391" s="3892"/>
      <c r="E391" s="3892"/>
      <c r="F391" s="3892"/>
      <c r="G391" s="3892"/>
      <c r="H391" s="3892"/>
      <c r="I391" s="3892"/>
      <c r="J391" s="3892"/>
      <c r="K391" s="3892"/>
      <c r="L391" s="3892"/>
      <c r="M391" s="3892"/>
      <c r="N391" s="3892"/>
      <c r="O391" s="3892"/>
      <c r="P391" s="3893"/>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5.9" customHeight="1">
      <c r="A394" s="2140" t="s">
        <v>6922</v>
      </c>
      <c r="B394" s="2141" t="s">
        <v>6923</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5.9" customHeight="1">
      <c r="A395" s="2209" t="s">
        <v>1841</v>
      </c>
      <c r="B395" s="2129" t="s">
        <v>6924</v>
      </c>
      <c r="Q395" s="2318" t="str">
        <f>IF(OR($O395=$M395,$O395=0,$O395=""),"","*CHECK!*")</f>
        <v/>
      </c>
      <c r="R395" s="2303"/>
    </row>
    <row r="396" spans="1:19" ht="147" customHeight="1">
      <c r="A396" s="2342"/>
      <c r="B396" s="4118" t="s">
        <v>7161</v>
      </c>
      <c r="C396" s="4119"/>
      <c r="D396" s="4119"/>
      <c r="E396" s="4119"/>
      <c r="F396" s="4119"/>
      <c r="G396" s="4119"/>
      <c r="H396" s="4119"/>
      <c r="I396" s="4119"/>
      <c r="J396" s="4119"/>
      <c r="K396" s="4119"/>
      <c r="L396" s="4119"/>
      <c r="M396" s="4119"/>
      <c r="N396" s="4119"/>
      <c r="O396" s="4119"/>
      <c r="P396" s="4120"/>
      <c r="Q396" s="2250"/>
      <c r="R396" s="2207"/>
      <c r="S396" s="2207"/>
    </row>
    <row r="397" spans="1:19" s="2155" customFormat="1" ht="15.9" customHeight="1">
      <c r="A397" s="2378" t="s">
        <v>1843</v>
      </c>
      <c r="B397" s="2287" t="s">
        <v>6925</v>
      </c>
      <c r="Q397" s="2318" t="str">
        <f>IF(OR($O397=$M397,$O397=0,$O397=""),"","*CHECK!*")</f>
        <v/>
      </c>
      <c r="R397" s="2303"/>
    </row>
    <row r="398" spans="1:19" ht="147" customHeight="1">
      <c r="A398" s="2342"/>
      <c r="B398" s="4118" t="s">
        <v>7162</v>
      </c>
      <c r="C398" s="4119"/>
      <c r="D398" s="4119"/>
      <c r="E398" s="4119"/>
      <c r="F398" s="4119"/>
      <c r="G398" s="4119"/>
      <c r="H398" s="4119"/>
      <c r="I398" s="4119"/>
      <c r="J398" s="4119"/>
      <c r="K398" s="4119"/>
      <c r="L398" s="4119"/>
      <c r="M398" s="4119"/>
      <c r="N398" s="4119"/>
      <c r="O398" s="4119"/>
      <c r="P398" s="4120"/>
      <c r="Q398" s="2250"/>
      <c r="R398" s="2207"/>
      <c r="S398" s="2207"/>
    </row>
    <row r="399" spans="1:19" ht="15.9" customHeight="1" thickBot="1">
      <c r="A399" s="2119"/>
      <c r="B399" s="2258" t="s">
        <v>3241</v>
      </c>
      <c r="C399" s="2119"/>
      <c r="D399" s="2119"/>
      <c r="E399" s="2119"/>
      <c r="F399" s="2119"/>
      <c r="G399" s="2119"/>
      <c r="H399" s="2119"/>
      <c r="I399" s="2119"/>
      <c r="J399" s="2119"/>
      <c r="K399" s="2119"/>
      <c r="M399" s="2121"/>
      <c r="O399" s="2131"/>
    </row>
    <row r="400" spans="1:19" ht="15.9" customHeight="1" thickTop="1" thickBot="1">
      <c r="A400" s="3955"/>
      <c r="B400" s="3956"/>
      <c r="C400" s="3956"/>
      <c r="D400" s="3956"/>
      <c r="E400" s="3956"/>
      <c r="F400" s="3956"/>
      <c r="G400" s="3956"/>
      <c r="H400" s="3956"/>
      <c r="I400" s="3956"/>
      <c r="J400" s="3956"/>
      <c r="K400" s="3956"/>
      <c r="L400" s="3956"/>
      <c r="M400" s="3956"/>
      <c r="N400" s="3956"/>
      <c r="O400" s="3956"/>
      <c r="P400" s="3957"/>
      <c r="Q400" s="2207"/>
      <c r="R400" s="2207"/>
    </row>
    <row r="401" spans="1:65" ht="15.9" customHeight="1" thickTop="1">
      <c r="B401" s="2247" t="s">
        <v>1730</v>
      </c>
      <c r="C401" s="2145"/>
      <c r="D401" s="2247"/>
      <c r="E401" s="2180"/>
      <c r="F401" s="2159"/>
      <c r="G401" s="2159"/>
      <c r="H401" s="2159"/>
      <c r="I401" s="2159"/>
      <c r="J401" s="2159"/>
      <c r="K401" s="2159"/>
      <c r="L401" s="2159"/>
      <c r="M401" s="2159"/>
      <c r="N401" s="2248"/>
      <c r="O401" s="2249"/>
      <c r="P401" s="2122"/>
    </row>
    <row r="402" spans="1:65" ht="15.9" customHeight="1">
      <c r="A402" s="3891"/>
      <c r="B402" s="3892"/>
      <c r="C402" s="3892"/>
      <c r="D402" s="3892"/>
      <c r="E402" s="3892"/>
      <c r="F402" s="3892"/>
      <c r="G402" s="3892"/>
      <c r="H402" s="3892"/>
      <c r="I402" s="3892"/>
      <c r="J402" s="3892"/>
      <c r="K402" s="3892"/>
      <c r="L402" s="3892"/>
      <c r="M402" s="3892"/>
      <c r="N402" s="3892"/>
      <c r="O402" s="3892"/>
      <c r="P402" s="3893"/>
      <c r="Q402" s="2250"/>
    </row>
    <row r="403" spans="1:65" ht="15.9" customHeight="1" thickBot="1">
      <c r="Q403" s="4096" t="s">
        <v>6948</v>
      </c>
      <c r="R403" s="4096"/>
      <c r="S403" s="4096"/>
      <c r="T403" s="4096"/>
      <c r="U403" s="4096"/>
      <c r="V403" s="4096"/>
      <c r="W403" s="4096"/>
      <c r="X403" s="4096"/>
      <c r="Y403" s="4096"/>
      <c r="Z403" s="4096"/>
      <c r="AA403" s="4096"/>
    </row>
    <row r="404" spans="1:65" s="2119" customFormat="1" ht="15.9" customHeight="1" thickTop="1" thickBot="1">
      <c r="A404" s="2129" t="s">
        <v>402</v>
      </c>
      <c r="B404" s="2118"/>
      <c r="D404" s="2118"/>
      <c r="E404" s="2118"/>
      <c r="F404" s="2118"/>
      <c r="M404" s="2389">
        <f>IF(AND(AQ422="9%",F36="New Supply"),AG449,IF(AND(AQ422="4%",F36="New Supply"),AH449,IF(AND(AQ422="9%",F36="Rehabilitation"),AK449,IF(AND(AQ422="4%",F36="Rehabilitation"),AI449,AL449))))</f>
        <v>61</v>
      </c>
      <c r="N404" s="2132"/>
      <c r="O404" s="2133">
        <f>IF(AND($O$36="4%",($C$36-$A$36)&gt;0),((O40+O66+O77+O86+O106+O122+O152+O171+O179+O189+O200+O210+O223+O233+O253+O271+O280+O312+O323+O332+O345+O358+O365+O374)-($C$36-$A$36)),O40+O66+O77+O86+O106+O122+O152+O171+O179+O189+O200+O210+O223+O233+O253+O271+O280+O312+O323+O332+O345+O358+O365+O374)</f>
        <v>44</v>
      </c>
      <c r="P404" s="2133">
        <f>IF(AND($O$36="4%",($D$36-$A$36)&gt;0),((-P10+P40+P66+P77+P86+P106+P122+P142+P152+P171+P179+P189+P200+P210+P223+P233+P253+P262+P271+P280+P312+P323+P332+P345+P352+P358+P365+P374)-($D$36-$A$36)),-P10+P40+P66+P77+P86+P106+P122+P142+P152+P171+P179+P189+P200+P210+P223+P233+P253+P262+P271+P280+P312+P323+P332+P345+P352+P358+P365+P374)</f>
        <v>22</v>
      </c>
      <c r="Q404" s="4096"/>
      <c r="R404" s="4096"/>
      <c r="S404" s="4096"/>
      <c r="T404" s="4096"/>
      <c r="U404" s="4096"/>
      <c r="V404" s="4096"/>
      <c r="W404" s="4096"/>
      <c r="X404" s="4096"/>
      <c r="Y404" s="4096"/>
      <c r="Z404" s="4096"/>
      <c r="AA404" s="4096"/>
    </row>
    <row r="405" spans="1:65" ht="7.5" customHeight="1" thickTop="1">
      <c r="A405" s="2119"/>
      <c r="C405" s="2159"/>
      <c r="D405" s="2159"/>
      <c r="E405" s="2159"/>
      <c r="F405" s="2159"/>
      <c r="G405" s="2159"/>
      <c r="H405" s="2159"/>
      <c r="I405" s="2159"/>
      <c r="J405" s="2159"/>
      <c r="K405" s="2159"/>
      <c r="L405" s="2159"/>
      <c r="M405" s="2159"/>
      <c r="N405" s="2159"/>
      <c r="O405" s="2159"/>
      <c r="P405" s="2159"/>
      <c r="Q405" s="4096"/>
      <c r="R405" s="4096"/>
      <c r="S405" s="4096"/>
      <c r="T405" s="4096"/>
      <c r="U405" s="4096"/>
      <c r="V405" s="4096"/>
      <c r="W405" s="4096"/>
      <c r="X405" s="4096"/>
      <c r="Y405" s="4096"/>
      <c r="Z405" s="4096"/>
      <c r="AA405" s="4096"/>
    </row>
    <row r="406" spans="1:65" ht="7.5" customHeight="1">
      <c r="F406" s="2224"/>
      <c r="G406" s="2224"/>
      <c r="H406" s="2122"/>
      <c r="I406" s="2122"/>
      <c r="N406" s="2122"/>
      <c r="O406" s="2122"/>
      <c r="P406" s="2131"/>
      <c r="Q406" s="4096"/>
      <c r="R406" s="4096"/>
      <c r="S406" s="4096"/>
      <c r="T406" s="4096"/>
      <c r="U406" s="4096"/>
      <c r="V406" s="4096"/>
      <c r="W406" s="4096"/>
      <c r="X406" s="4096"/>
      <c r="Y406" s="4096"/>
      <c r="Z406" s="4096"/>
      <c r="AA406" s="4096"/>
    </row>
    <row r="407" spans="1:65" ht="45.6" customHeight="1">
      <c r="A407" s="4097" t="s">
        <v>6873</v>
      </c>
      <c r="B407" s="4097"/>
      <c r="C407" s="4097"/>
      <c r="D407" s="4097"/>
      <c r="E407" s="4097"/>
      <c r="F407" s="4097"/>
      <c r="G407" s="4097"/>
      <c r="H407" s="4097"/>
      <c r="I407" s="4097"/>
      <c r="J407" s="4097"/>
      <c r="K407" s="4097"/>
      <c r="L407" s="4097"/>
      <c r="M407" s="4097"/>
      <c r="N407" s="4097"/>
      <c r="O407" s="4097"/>
      <c r="P407" s="4097"/>
      <c r="Q407" s="4096"/>
      <c r="R407" s="4096"/>
      <c r="S407" s="4096"/>
      <c r="T407" s="4096"/>
      <c r="U407" s="4096"/>
      <c r="V407" s="4096"/>
      <c r="W407" s="4096"/>
      <c r="X407" s="4096"/>
      <c r="Y407" s="4096"/>
      <c r="Z407" s="4096"/>
      <c r="AA407" s="4096"/>
    </row>
    <row r="408" spans="1:65" ht="409.2" customHeight="1">
      <c r="A408" s="4118"/>
      <c r="B408" s="4119"/>
      <c r="C408" s="4119"/>
      <c r="D408" s="4119"/>
      <c r="E408" s="4119"/>
      <c r="F408" s="4119"/>
      <c r="G408" s="4119"/>
      <c r="H408" s="4119"/>
      <c r="I408" s="4119"/>
      <c r="J408" s="4119"/>
      <c r="K408" s="4119"/>
      <c r="L408" s="4119"/>
      <c r="M408" s="4119"/>
      <c r="N408" s="4119"/>
      <c r="O408" s="4119"/>
      <c r="P408" s="4120"/>
      <c r="Q408" s="2135"/>
      <c r="R408" s="2135"/>
      <c r="S408" s="2135"/>
      <c r="T408" s="2135"/>
      <c r="U408" s="2135"/>
      <c r="V408" s="2135"/>
      <c r="W408" s="2135"/>
      <c r="X408" s="2135"/>
      <c r="Y408" s="2135"/>
    </row>
    <row r="409" spans="1:65">
      <c r="B409" s="2390"/>
      <c r="C409" s="2390" t="s">
        <v>1939</v>
      </c>
      <c r="D409" s="2390"/>
      <c r="E409" s="2390"/>
      <c r="F409" s="2390"/>
      <c r="G409" s="2390"/>
      <c r="H409" s="2390"/>
      <c r="I409" s="2390"/>
      <c r="J409" s="2391" t="s">
        <v>1537</v>
      </c>
      <c r="K409" s="2390"/>
      <c r="L409" s="2390"/>
      <c r="M409" s="2390"/>
      <c r="N409" s="2340"/>
      <c r="O409" s="2392"/>
      <c r="P409" s="2392"/>
      <c r="Q409" s="2431"/>
      <c r="R409" s="2431"/>
      <c r="S409" s="2431"/>
      <c r="T409" s="2253"/>
      <c r="U409" s="2253"/>
      <c r="V409" s="2253"/>
      <c r="W409" s="2253"/>
      <c r="X409" s="2253"/>
      <c r="Y409" s="2253"/>
    </row>
    <row r="410" spans="1:65">
      <c r="B410" s="2390"/>
      <c r="C410" s="2390" t="s">
        <v>1940</v>
      </c>
      <c r="D410" s="2390"/>
      <c r="E410" s="2390"/>
      <c r="F410" s="2390"/>
      <c r="G410" s="2390"/>
      <c r="H410" s="2390"/>
      <c r="I410" s="2390"/>
      <c r="J410" s="2391" t="s">
        <v>1538</v>
      </c>
      <c r="K410" s="2390"/>
      <c r="L410" s="2390"/>
      <c r="M410" s="2390"/>
      <c r="N410" s="2340"/>
      <c r="O410" s="2392"/>
      <c r="P410" s="2392"/>
      <c r="Q410" s="2390"/>
      <c r="R410" s="2390"/>
      <c r="S410" s="2390"/>
    </row>
    <row r="411" spans="1:65">
      <c r="B411" s="2390"/>
      <c r="C411" s="2390" t="s">
        <v>1941</v>
      </c>
      <c r="D411" s="2390"/>
      <c r="E411" s="2390"/>
      <c r="F411" s="2390"/>
      <c r="G411" s="2390"/>
      <c r="H411" s="2390"/>
      <c r="I411" s="2390"/>
      <c r="J411" s="2391" t="s">
        <v>2306</v>
      </c>
      <c r="K411" s="2390"/>
      <c r="L411" s="2390"/>
      <c r="M411" s="2390"/>
      <c r="N411" s="2340"/>
      <c r="O411" s="2392"/>
      <c r="P411" s="2392"/>
      <c r="Q411" s="2390"/>
      <c r="R411" s="2390"/>
      <c r="S411" s="2390"/>
    </row>
    <row r="412" spans="1:65">
      <c r="B412" s="2390"/>
      <c r="C412" s="2390" t="s">
        <v>1942</v>
      </c>
      <c r="D412" s="2390"/>
      <c r="E412" s="2390"/>
      <c r="F412" s="2390"/>
      <c r="G412" s="2390"/>
      <c r="H412" s="2390"/>
      <c r="I412" s="2390"/>
      <c r="J412" s="2391" t="s">
        <v>1539</v>
      </c>
      <c r="K412" s="2390"/>
      <c r="L412" s="2390"/>
      <c r="M412" s="2390"/>
      <c r="N412" s="2340"/>
      <c r="O412" s="2392"/>
      <c r="P412" s="2392"/>
      <c r="Q412" s="2390"/>
      <c r="R412" s="2390"/>
      <c r="S412" s="2390"/>
    </row>
    <row r="413" spans="1:65">
      <c r="B413" s="2390"/>
      <c r="C413" s="2390"/>
      <c r="D413" s="2390"/>
      <c r="E413" s="2390"/>
      <c r="F413" s="2390"/>
      <c r="G413" s="2390"/>
      <c r="H413" s="2390"/>
      <c r="I413" s="2390"/>
      <c r="J413" s="2391" t="s">
        <v>1540</v>
      </c>
      <c r="K413" s="2390"/>
      <c r="L413" s="2390"/>
      <c r="M413" s="2390"/>
      <c r="N413" s="2340"/>
      <c r="O413" s="2392"/>
      <c r="P413" s="2392"/>
      <c r="Q413" s="2390"/>
      <c r="R413" s="2390"/>
      <c r="S413" s="2390"/>
    </row>
    <row r="414" spans="1:65">
      <c r="B414" s="2390"/>
      <c r="C414" s="2390" t="s">
        <v>1646</v>
      </c>
      <c r="D414" s="2390"/>
      <c r="E414" s="2390"/>
      <c r="F414" s="2390"/>
      <c r="G414" s="2390"/>
      <c r="H414" s="2390"/>
      <c r="I414" s="2390"/>
      <c r="J414" s="2391" t="s">
        <v>1541</v>
      </c>
      <c r="K414" s="2390"/>
      <c r="L414" s="2390"/>
      <c r="M414" s="2390"/>
      <c r="N414" s="2340"/>
      <c r="O414" s="2392"/>
      <c r="P414" s="2392"/>
      <c r="Q414" s="2390"/>
      <c r="R414" s="2390"/>
      <c r="S414" s="2390"/>
    </row>
    <row r="415" spans="1:65" ht="14.4" thickBot="1">
      <c r="B415" s="2390"/>
      <c r="C415" s="2393" t="s">
        <v>1312</v>
      </c>
      <c r="D415" s="2390"/>
      <c r="E415" s="2390"/>
      <c r="F415" s="2390"/>
      <c r="G415" s="2390"/>
      <c r="H415" s="2390"/>
      <c r="I415" s="2390"/>
      <c r="J415" s="2391" t="s">
        <v>1542</v>
      </c>
      <c r="K415" s="2390"/>
      <c r="L415" s="2390"/>
      <c r="M415" s="2390"/>
      <c r="N415" s="2340"/>
      <c r="O415" s="2392"/>
      <c r="P415" s="2392"/>
      <c r="Q415" s="2390"/>
      <c r="R415" s="2390"/>
      <c r="S415" s="2390"/>
      <c r="AS415" s="2932"/>
      <c r="AT415" s="2932"/>
      <c r="AU415" s="2119"/>
      <c r="AV415" s="2119"/>
      <c r="AW415" s="2119"/>
      <c r="AX415" s="2119"/>
      <c r="AY415" s="2119"/>
      <c r="AZ415" s="2119"/>
      <c r="BA415" s="2119"/>
      <c r="BB415" s="4117" t="s">
        <v>6563</v>
      </c>
      <c r="BC415" s="4117"/>
      <c r="BD415" s="4117"/>
      <c r="BE415" s="4117"/>
      <c r="BF415" s="4117"/>
      <c r="BG415" s="4117"/>
      <c r="BH415" s="4117"/>
      <c r="BI415" s="4117"/>
      <c r="BJ415" s="2119"/>
      <c r="BK415" s="2119"/>
      <c r="BL415" s="2119"/>
    </row>
    <row r="416" spans="1:65" ht="14.4" thickBot="1">
      <c r="B416" s="2390"/>
      <c r="C416" s="2393" t="s">
        <v>1313</v>
      </c>
      <c r="D416" s="2390"/>
      <c r="E416" s="2390"/>
      <c r="F416" s="2390"/>
      <c r="G416" s="2390"/>
      <c r="H416" s="2390"/>
      <c r="I416" s="2390"/>
      <c r="J416" s="2391" t="s">
        <v>1543</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4113" t="s">
        <v>6564</v>
      </c>
      <c r="AZ416" s="4114"/>
      <c r="BA416" s="4114"/>
      <c r="BB416" s="4114"/>
      <c r="BC416" s="4114"/>
      <c r="BD416" s="4114"/>
      <c r="BE416" s="4115"/>
      <c r="BF416" s="4113" t="s">
        <v>6565</v>
      </c>
      <c r="BG416" s="4114"/>
      <c r="BH416" s="4114"/>
      <c r="BI416" s="4114"/>
      <c r="BJ416" s="4114"/>
      <c r="BK416" s="4114"/>
      <c r="BL416" s="4115"/>
      <c r="BM416" s="2390"/>
    </row>
    <row r="417" spans="2:65">
      <c r="B417" s="2390"/>
      <c r="C417" s="2393" t="s">
        <v>1980</v>
      </c>
      <c r="D417" s="2390"/>
      <c r="E417" s="2390"/>
      <c r="F417" s="2390"/>
      <c r="G417" s="2390"/>
      <c r="H417" s="2390"/>
      <c r="I417" s="2390"/>
      <c r="J417" s="2391" t="s">
        <v>1544</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c r="B418" s="2390"/>
      <c r="C418" s="2393" t="s">
        <v>1309</v>
      </c>
      <c r="D418" s="2390"/>
      <c r="E418" s="2390"/>
      <c r="F418" s="2390"/>
      <c r="G418" s="2390"/>
      <c r="H418" s="2390"/>
      <c r="I418" s="2390"/>
      <c r="J418" s="2391" t="s">
        <v>549</v>
      </c>
      <c r="K418" s="2390"/>
      <c r="L418" s="2390"/>
      <c r="M418" s="2390"/>
      <c r="N418" s="2340"/>
      <c r="O418" s="2392"/>
      <c r="P418" s="2392"/>
      <c r="Q418" s="2390"/>
      <c r="R418" s="2390"/>
      <c r="S418" s="2390"/>
      <c r="Z418" s="2390"/>
      <c r="AA418" s="2457" t="s">
        <v>689</v>
      </c>
      <c r="AB418" s="2458" t="s">
        <v>6137</v>
      </c>
      <c r="AC418" s="2197"/>
      <c r="AD418" s="2390"/>
      <c r="AE418" s="2390"/>
      <c r="AF418" s="2390"/>
      <c r="AG418" s="3952" t="s">
        <v>6125</v>
      </c>
      <c r="AH418" s="3953"/>
      <c r="AI418" s="3940" t="s">
        <v>6506</v>
      </c>
      <c r="AJ418" s="3941"/>
      <c r="AK418" s="3941"/>
      <c r="AL418" s="3941"/>
      <c r="AM418" s="3942"/>
      <c r="AN418" s="3954" t="s">
        <v>6138</v>
      </c>
      <c r="AO418" s="3954"/>
      <c r="AP418" s="3954"/>
      <c r="AQ418" s="3954"/>
      <c r="AR418" s="2390"/>
      <c r="AS418" s="2459"/>
      <c r="AT418" s="2458" t="s">
        <v>6137</v>
      </c>
      <c r="AU418" s="2459"/>
      <c r="AV418" s="2459"/>
      <c r="AW418" s="2459"/>
      <c r="AX418" s="2390"/>
      <c r="AY418" s="3940" t="s">
        <v>6125</v>
      </c>
      <c r="AZ418" s="3942"/>
      <c r="BA418" s="3940" t="s">
        <v>6506</v>
      </c>
      <c r="BB418" s="3941"/>
      <c r="BC418" s="3941"/>
      <c r="BD418" s="3941"/>
      <c r="BE418" s="3942"/>
      <c r="BF418" s="4116" t="s">
        <v>6125</v>
      </c>
      <c r="BG418" s="4116"/>
      <c r="BH418" s="4116" t="s">
        <v>6506</v>
      </c>
      <c r="BI418" s="4116"/>
      <c r="BJ418" s="4116"/>
      <c r="BK418" s="4116"/>
      <c r="BL418" s="4116"/>
      <c r="BM418" s="2390"/>
    </row>
    <row r="419" spans="2:65" ht="28.8">
      <c r="B419" s="2390"/>
      <c r="C419" s="2393" t="s">
        <v>1310</v>
      </c>
      <c r="D419" s="2390"/>
      <c r="E419" s="2390"/>
      <c r="F419" s="2390"/>
      <c r="G419" s="2390"/>
      <c r="H419" s="2390"/>
      <c r="I419" s="2390"/>
      <c r="J419" s="2391" t="s">
        <v>1545</v>
      </c>
      <c r="K419" s="2390"/>
      <c r="L419" s="2390"/>
      <c r="M419" s="2390"/>
      <c r="N419" s="2340"/>
      <c r="O419" s="2392"/>
      <c r="P419" s="2392"/>
      <c r="Q419" s="2390"/>
      <c r="R419" s="2390"/>
      <c r="S419" s="2390"/>
      <c r="Z419" s="2390"/>
      <c r="AA419" s="2390"/>
      <c r="AB419" s="2197"/>
      <c r="AC419" s="2390"/>
      <c r="AD419" s="2390"/>
      <c r="AE419" s="2390"/>
      <c r="AF419" s="2390"/>
      <c r="AG419" s="2944">
        <v>0.09</v>
      </c>
      <c r="AH419" s="2944" t="s">
        <v>6944</v>
      </c>
      <c r="AI419" s="2944" t="s">
        <v>6944</v>
      </c>
      <c r="AJ419" s="2944" t="s">
        <v>6914</v>
      </c>
      <c r="AK419" s="2944" t="s">
        <v>6546</v>
      </c>
      <c r="AL419" s="2944" t="s">
        <v>6547</v>
      </c>
      <c r="AM419" s="2944" t="s">
        <v>6548</v>
      </c>
      <c r="AN419" s="3940" t="str">
        <f>'Part I-Project Identification'!F12</f>
        <v>4% Credit/TE Bond</v>
      </c>
      <c r="AO419" s="3941"/>
      <c r="AP419" s="3941"/>
      <c r="AQ419" s="3942"/>
      <c r="AR419" s="2390"/>
      <c r="AS419" s="2390"/>
      <c r="AT419" s="2197"/>
      <c r="AU419" s="2390"/>
      <c r="AV419" s="2390"/>
      <c r="AW419" s="2390"/>
      <c r="AX419" s="2390"/>
      <c r="AY419" s="2944">
        <v>0.09</v>
      </c>
      <c r="AZ419" s="2944" t="s">
        <v>6944</v>
      </c>
      <c r="BA419" s="2944" t="s">
        <v>6944</v>
      </c>
      <c r="BB419" s="2944" t="s">
        <v>6928</v>
      </c>
      <c r="BC419" s="2944" t="s">
        <v>6546</v>
      </c>
      <c r="BD419" s="2944" t="s">
        <v>6547</v>
      </c>
      <c r="BE419" s="2944" t="s">
        <v>6548</v>
      </c>
      <c r="BF419" s="2944">
        <v>0.09</v>
      </c>
      <c r="BG419" s="2944" t="s">
        <v>6944</v>
      </c>
      <c r="BH419" s="2944" t="s">
        <v>6944</v>
      </c>
      <c r="BI419" s="2944" t="s">
        <v>6928</v>
      </c>
      <c r="BJ419" s="2944" t="s">
        <v>6546</v>
      </c>
      <c r="BK419" s="2944" t="s">
        <v>6547</v>
      </c>
      <c r="BL419" s="2944" t="s">
        <v>6548</v>
      </c>
      <c r="BM419" s="2390"/>
    </row>
    <row r="420" spans="2:65">
      <c r="B420" s="2390"/>
      <c r="C420" s="2393" t="s">
        <v>1975</v>
      </c>
      <c r="D420" s="2390"/>
      <c r="E420" s="2390"/>
      <c r="F420" s="2390"/>
      <c r="G420" s="2390"/>
      <c r="H420" s="2390"/>
      <c r="I420" s="2390"/>
      <c r="J420" s="2391" t="s">
        <v>1546</v>
      </c>
      <c r="K420" s="2390"/>
      <c r="L420" s="2390"/>
      <c r="M420" s="2390"/>
      <c r="N420" s="2340"/>
      <c r="O420" s="2392"/>
      <c r="P420" s="2392"/>
      <c r="Q420" s="2390"/>
      <c r="R420" s="2390"/>
      <c r="S420" s="2390"/>
      <c r="Z420" s="2390"/>
      <c r="AA420" s="2460" t="s">
        <v>573</v>
      </c>
      <c r="AB420" s="2945" t="s">
        <v>6752</v>
      </c>
      <c r="AC420" s="2946"/>
      <c r="AD420" s="2946"/>
      <c r="AE420" s="2946"/>
      <c r="AF420" s="2946"/>
      <c r="AG420" s="2947">
        <v>0</v>
      </c>
      <c r="AH420" s="2948">
        <v>0</v>
      </c>
      <c r="AI420" s="2949">
        <v>0</v>
      </c>
      <c r="AJ420" s="2949">
        <v>0</v>
      </c>
      <c r="AK420" s="2950">
        <v>0</v>
      </c>
      <c r="AL420" s="2950">
        <v>0</v>
      </c>
      <c r="AM420" s="2951">
        <v>0</v>
      </c>
      <c r="AN420" s="2390"/>
      <c r="AO420" s="2390"/>
      <c r="AP420" s="2390"/>
      <c r="AQ420" s="2390"/>
      <c r="AR420" s="2390"/>
      <c r="AS420" s="2460" t="s">
        <v>573</v>
      </c>
      <c r="AT420" s="2945" t="s">
        <v>6752</v>
      </c>
      <c r="AU420" s="2945"/>
      <c r="AV420" s="2945"/>
      <c r="AW420" s="2945"/>
      <c r="AX420" s="2945"/>
      <c r="AY420" s="2952">
        <v>0</v>
      </c>
      <c r="AZ420" s="2953">
        <v>0</v>
      </c>
      <c r="BA420" s="2954">
        <v>0</v>
      </c>
      <c r="BB420" s="2955">
        <v>0</v>
      </c>
      <c r="BC420" s="2956">
        <v>0</v>
      </c>
      <c r="BD420" s="2956">
        <v>0</v>
      </c>
      <c r="BE420" s="2957">
        <v>0</v>
      </c>
      <c r="BF420" s="2958">
        <f>-P10</f>
        <v>0</v>
      </c>
      <c r="BG420" s="2959">
        <f>-P10</f>
        <v>0</v>
      </c>
      <c r="BH420" s="2954">
        <f>-P10</f>
        <v>0</v>
      </c>
      <c r="BI420" s="2956">
        <f>-P10</f>
        <v>0</v>
      </c>
      <c r="BJ420" s="2956">
        <f>-P10</f>
        <v>0</v>
      </c>
      <c r="BK420" s="2956">
        <f>-P10</f>
        <v>0</v>
      </c>
      <c r="BL420" s="2959">
        <f>-P10</f>
        <v>0</v>
      </c>
      <c r="BM420" s="2390"/>
    </row>
    <row r="421" spans="2:65">
      <c r="B421" s="2390"/>
      <c r="C421" s="2393" t="s">
        <v>1976</v>
      </c>
      <c r="D421" s="2390"/>
      <c r="E421" s="2390"/>
      <c r="F421" s="2390"/>
      <c r="G421" s="2390"/>
      <c r="H421" s="2390"/>
      <c r="I421" s="2390"/>
      <c r="J421" s="2391" t="s">
        <v>1547</v>
      </c>
      <c r="K421" s="2390"/>
      <c r="L421" s="2390"/>
      <c r="M421" s="2390"/>
      <c r="N421" s="2340"/>
      <c r="O421" s="2392"/>
      <c r="P421" s="2392"/>
      <c r="Q421" s="2390"/>
      <c r="R421" s="2390"/>
      <c r="S421" s="2390"/>
      <c r="Z421" s="2390"/>
      <c r="AA421" s="2460" t="s">
        <v>691</v>
      </c>
      <c r="AB421" s="2945" t="s">
        <v>6126</v>
      </c>
      <c r="AC421" s="2946"/>
      <c r="AD421" s="2946"/>
      <c r="AE421" s="2946"/>
      <c r="AF421" s="2946"/>
      <c r="AG421" s="2947">
        <v>10</v>
      </c>
      <c r="AH421" s="2948">
        <v>10</v>
      </c>
      <c r="AI421" s="2947">
        <v>10</v>
      </c>
      <c r="AJ421" s="2947">
        <v>10</v>
      </c>
      <c r="AK421" s="2960">
        <v>10</v>
      </c>
      <c r="AL421" s="2961">
        <v>10</v>
      </c>
      <c r="AM421" s="2962">
        <v>10</v>
      </c>
      <c r="AN421" s="2390"/>
      <c r="AO421" s="2390"/>
      <c r="AP421" s="2390"/>
      <c r="AQ421" s="2390"/>
      <c r="AR421" s="2390"/>
      <c r="AS421" s="2460" t="s">
        <v>691</v>
      </c>
      <c r="AT421" s="2945" t="s">
        <v>6126</v>
      </c>
      <c r="AU421" s="2946"/>
      <c r="AV421" s="2946"/>
      <c r="AW421" s="2946"/>
      <c r="AX421" s="2946"/>
      <c r="AY421" s="2952">
        <f>O40</f>
        <v>10</v>
      </c>
      <c r="AZ421" s="2953">
        <f>O40</f>
        <v>10</v>
      </c>
      <c r="BA421" s="2963">
        <f>O40</f>
        <v>10</v>
      </c>
      <c r="BB421" s="2964">
        <f>O40</f>
        <v>10</v>
      </c>
      <c r="BC421" s="2964">
        <f>O40</f>
        <v>10</v>
      </c>
      <c r="BD421" s="2964">
        <f>O40</f>
        <v>10</v>
      </c>
      <c r="BE421" s="2965">
        <f>O40</f>
        <v>10</v>
      </c>
      <c r="BF421" s="2966">
        <f>P40</f>
        <v>10</v>
      </c>
      <c r="BG421" s="2967">
        <f>P40</f>
        <v>10</v>
      </c>
      <c r="BH421" s="2963">
        <f>P40</f>
        <v>10</v>
      </c>
      <c r="BI421" s="2964">
        <f>P40</f>
        <v>10</v>
      </c>
      <c r="BJ421" s="2964">
        <f>P40</f>
        <v>10</v>
      </c>
      <c r="BK421" s="2964">
        <f>P40</f>
        <v>10</v>
      </c>
      <c r="BL421" s="2967">
        <f>P40</f>
        <v>10</v>
      </c>
      <c r="BM421" s="2390"/>
    </row>
    <row r="422" spans="2:65">
      <c r="B422" s="2390"/>
      <c r="C422" s="2393" t="s">
        <v>1977</v>
      </c>
      <c r="D422" s="2390"/>
      <c r="E422" s="2390"/>
      <c r="F422" s="2390"/>
      <c r="G422" s="2390"/>
      <c r="H422" s="2390"/>
      <c r="I422" s="2390"/>
      <c r="J422" s="2391" t="s">
        <v>32</v>
      </c>
      <c r="K422" s="2390"/>
      <c r="L422" s="2390"/>
      <c r="M422" s="2390"/>
      <c r="N422" s="2340"/>
      <c r="O422" s="2392"/>
      <c r="P422" s="2392"/>
      <c r="Q422" s="2390"/>
      <c r="R422" s="2390"/>
      <c r="S422" s="2390"/>
      <c r="Z422" s="2390"/>
      <c r="AA422" s="2460" t="s">
        <v>1666</v>
      </c>
      <c r="AB422" s="2968" t="s">
        <v>6127</v>
      </c>
      <c r="AC422" s="2969"/>
      <c r="AD422" s="2969"/>
      <c r="AE422" s="2969"/>
      <c r="AF422" s="2969"/>
      <c r="AG422" s="2970">
        <v>3</v>
      </c>
      <c r="AH422" s="2962">
        <v>3</v>
      </c>
      <c r="AI422" s="2970"/>
      <c r="AJ422" s="2970"/>
      <c r="AK422" s="2961"/>
      <c r="AL422" s="2961"/>
      <c r="AM422" s="2962"/>
      <c r="AN422" s="2196" t="s">
        <v>6139</v>
      </c>
      <c r="AO422" s="2390"/>
      <c r="AP422" s="2390"/>
      <c r="AQ422" s="2971" t="str">
        <f>IF(OR($AN$419="9% Credit Competitive Round only", $AN$419="9% Credit &amp; HOME"),"9%",IF(OR($AN$419="4% Credit/TE Bond", $AN$419="4% Credit/TE Bond &amp; HOME", $AN$419="4% Credit/TE Bond &amp; HOME NOFA", $AN$419="4% Credit &amp; NHTF", $AN$419="4% Credit &amp; NHTF &amp; HOME"),"4%",""))</f>
        <v>4%</v>
      </c>
      <c r="AR422" s="2390"/>
      <c r="AS422" s="2460" t="s">
        <v>1666</v>
      </c>
      <c r="AT422" s="2968" t="s">
        <v>6127</v>
      </c>
      <c r="AU422" s="2969"/>
      <c r="AV422" s="2969"/>
      <c r="AW422" s="2969"/>
      <c r="AX422" s="2969"/>
      <c r="AY422" s="2963">
        <f>O66</f>
        <v>0</v>
      </c>
      <c r="AZ422" s="2967">
        <f>O66</f>
        <v>0</v>
      </c>
      <c r="BA422" s="2963"/>
      <c r="BB422" s="2964"/>
      <c r="BC422" s="2961"/>
      <c r="BD422" s="2964"/>
      <c r="BE422" s="2965"/>
      <c r="BF422" s="2966">
        <f>P66</f>
        <v>0</v>
      </c>
      <c r="BG422" s="2967">
        <f>P66</f>
        <v>0</v>
      </c>
      <c r="BH422" s="2963"/>
      <c r="BI422" s="2964"/>
      <c r="BJ422" s="2961"/>
      <c r="BK422" s="2964"/>
      <c r="BL422" s="2967"/>
      <c r="BM422" s="2390"/>
    </row>
    <row r="423" spans="2:65">
      <c r="B423" s="2390"/>
      <c r="C423" s="2393" t="s">
        <v>1978</v>
      </c>
      <c r="D423" s="2390"/>
      <c r="E423" s="2390"/>
      <c r="F423" s="2390"/>
      <c r="G423" s="2390"/>
      <c r="H423" s="2390"/>
      <c r="I423" s="2390"/>
      <c r="J423" s="2390"/>
      <c r="K423" s="2390"/>
      <c r="L423" s="2390"/>
      <c r="M423" s="2390"/>
      <c r="N423" s="2340"/>
      <c r="O423" s="2392"/>
      <c r="P423" s="2392"/>
      <c r="Q423" s="2390"/>
      <c r="R423" s="2390"/>
      <c r="S423" s="2390"/>
      <c r="Z423" s="2390"/>
      <c r="AA423" s="2460" t="s">
        <v>1668</v>
      </c>
      <c r="AB423" s="2968" t="s">
        <v>3394</v>
      </c>
      <c r="AC423" s="2969"/>
      <c r="AD423" s="2969"/>
      <c r="AE423" s="2969"/>
      <c r="AF423" s="2969"/>
      <c r="AG423" s="2970">
        <v>20</v>
      </c>
      <c r="AH423" s="2962">
        <v>20</v>
      </c>
      <c r="AI423" s="2970"/>
      <c r="AJ423" s="2970"/>
      <c r="AK423" s="2961"/>
      <c r="AL423" s="2961"/>
      <c r="AM423" s="2962"/>
      <c r="AN423" s="2390"/>
      <c r="AO423" s="2390"/>
      <c r="AP423" s="2390"/>
      <c r="AQ423" s="2390"/>
      <c r="AR423" s="2390"/>
      <c r="AS423" s="2460" t="s">
        <v>1668</v>
      </c>
      <c r="AT423" s="2968" t="s">
        <v>3394</v>
      </c>
      <c r="AU423" s="2969"/>
      <c r="AV423" s="2969"/>
      <c r="AW423" s="2969"/>
      <c r="AX423" s="2969"/>
      <c r="AY423" s="2972">
        <f>O77</f>
        <v>0</v>
      </c>
      <c r="AZ423" s="2973">
        <f>O77</f>
        <v>0</v>
      </c>
      <c r="BA423" s="2970"/>
      <c r="BB423" s="2961"/>
      <c r="BC423" s="2961"/>
      <c r="BD423" s="2961"/>
      <c r="BE423" s="2974"/>
      <c r="BF423" s="2975">
        <f>P77</f>
        <v>0</v>
      </c>
      <c r="BG423" s="2973">
        <f>P77</f>
        <v>0</v>
      </c>
      <c r="BH423" s="2970"/>
      <c r="BI423" s="2961"/>
      <c r="BJ423" s="2961"/>
      <c r="BK423" s="2961"/>
      <c r="BL423" s="2962"/>
      <c r="BM423" s="2390"/>
    </row>
    <row r="424" spans="2:65">
      <c r="B424" s="2390"/>
      <c r="C424" s="2393" t="s">
        <v>1979</v>
      </c>
      <c r="D424" s="2390"/>
      <c r="E424" s="2390"/>
      <c r="F424" s="2390"/>
      <c r="G424" s="2390"/>
      <c r="H424" s="2390"/>
      <c r="I424" s="2390"/>
      <c r="J424" s="2394" t="s">
        <v>3037</v>
      </c>
      <c r="K424" s="2390"/>
      <c r="L424" s="2390"/>
      <c r="M424" s="2390"/>
      <c r="N424" s="2340"/>
      <c r="O424" s="2394" t="s">
        <v>3252</v>
      </c>
      <c r="P424" s="2392"/>
      <c r="Q424" s="2390"/>
      <c r="R424" s="2390"/>
      <c r="S424" s="2390"/>
      <c r="Z424" s="2390"/>
      <c r="AA424" s="2460" t="s">
        <v>496</v>
      </c>
      <c r="AB424" s="2968" t="s">
        <v>4038</v>
      </c>
      <c r="AC424" s="2969"/>
      <c r="AD424" s="2969"/>
      <c r="AE424" s="2969"/>
      <c r="AF424" s="2969"/>
      <c r="AG424" s="2970">
        <v>6</v>
      </c>
      <c r="AH424" s="2962">
        <v>6</v>
      </c>
      <c r="AI424" s="2970"/>
      <c r="AJ424" s="2970"/>
      <c r="AK424" s="2961"/>
      <c r="AL424" s="2961"/>
      <c r="AM424" s="2962"/>
      <c r="AN424" s="2390"/>
      <c r="AO424" s="2390"/>
      <c r="AP424" s="2390"/>
      <c r="AQ424" s="2390"/>
      <c r="AR424" s="2390"/>
      <c r="AS424" s="2460" t="s">
        <v>496</v>
      </c>
      <c r="AT424" s="2968" t="s">
        <v>4038</v>
      </c>
      <c r="AU424" s="2969"/>
      <c r="AV424" s="2969"/>
      <c r="AW424" s="2969"/>
      <c r="AX424" s="2969"/>
      <c r="AY424" s="2972">
        <f>O86</f>
        <v>0</v>
      </c>
      <c r="AZ424" s="2973">
        <f>O86</f>
        <v>0</v>
      </c>
      <c r="BA424" s="2970"/>
      <c r="BB424" s="2961"/>
      <c r="BC424" s="2961"/>
      <c r="BD424" s="2961"/>
      <c r="BE424" s="2974"/>
      <c r="BF424" s="2975">
        <f>P86</f>
        <v>0</v>
      </c>
      <c r="BG424" s="2973">
        <f>P86</f>
        <v>0</v>
      </c>
      <c r="BH424" s="2970"/>
      <c r="BI424" s="2961"/>
      <c r="BJ424" s="2961"/>
      <c r="BK424" s="2961"/>
      <c r="BL424" s="2962"/>
      <c r="BM424" s="2390"/>
    </row>
    <row r="425" spans="2:65">
      <c r="B425" s="2390"/>
      <c r="C425" s="2393" t="s">
        <v>1311</v>
      </c>
      <c r="D425" s="2390"/>
      <c r="E425" s="2390"/>
      <c r="F425" s="2390"/>
      <c r="G425" s="2390"/>
      <c r="H425" s="2390"/>
      <c r="I425" s="2390"/>
      <c r="J425" s="2391" t="s">
        <v>3038</v>
      </c>
      <c r="K425" s="2390"/>
      <c r="L425" s="2390"/>
      <c r="M425" s="2390"/>
      <c r="N425" s="2340"/>
      <c r="O425" s="2392"/>
      <c r="P425" s="2392"/>
      <c r="Q425" s="2390"/>
      <c r="R425" s="2390"/>
      <c r="S425" s="2390"/>
      <c r="Z425" s="2390"/>
      <c r="AA425" s="2460" t="s">
        <v>720</v>
      </c>
      <c r="AB425" s="2968" t="s">
        <v>3339</v>
      </c>
      <c r="AC425" s="2969"/>
      <c r="AD425" s="2969"/>
      <c r="AE425" s="2969"/>
      <c r="AF425" s="2969"/>
      <c r="AG425" s="2970">
        <v>3</v>
      </c>
      <c r="AH425" s="2962">
        <v>3</v>
      </c>
      <c r="AI425" s="2970"/>
      <c r="AJ425" s="2970"/>
      <c r="AK425" s="2961"/>
      <c r="AL425" s="2961"/>
      <c r="AM425" s="2962"/>
      <c r="AN425" s="3943" t="s">
        <v>6562</v>
      </c>
      <c r="AO425" s="3944"/>
      <c r="AP425" s="3944"/>
      <c r="AQ425" s="3944"/>
      <c r="AR425" s="2390"/>
      <c r="AS425" s="2460" t="s">
        <v>720</v>
      </c>
      <c r="AT425" s="2968" t="s">
        <v>3339</v>
      </c>
      <c r="AU425" s="2969"/>
      <c r="AV425" s="2969"/>
      <c r="AW425" s="2969"/>
      <c r="AX425" s="2969"/>
      <c r="AY425" s="2970">
        <f>O106</f>
        <v>0</v>
      </c>
      <c r="AZ425" s="2962">
        <f>O106</f>
        <v>0</v>
      </c>
      <c r="BA425" s="2970"/>
      <c r="BB425" s="2961"/>
      <c r="BC425" s="2961"/>
      <c r="BD425" s="2961"/>
      <c r="BE425" s="2974"/>
      <c r="BF425" s="2976">
        <f>P106</f>
        <v>0</v>
      </c>
      <c r="BG425" s="2962">
        <f>P106</f>
        <v>0</v>
      </c>
      <c r="BH425" s="2970"/>
      <c r="BI425" s="2961"/>
      <c r="BJ425" s="2961"/>
      <c r="BK425" s="2961"/>
      <c r="BL425" s="2962"/>
      <c r="BM425" s="2390"/>
    </row>
    <row r="426" spans="2:65">
      <c r="B426" s="2390"/>
      <c r="C426" s="2393" t="s">
        <v>2108</v>
      </c>
      <c r="D426" s="2390"/>
      <c r="E426" s="2390"/>
      <c r="F426" s="2390"/>
      <c r="G426" s="2390"/>
      <c r="H426" s="2390"/>
      <c r="I426" s="2390"/>
      <c r="J426" s="2390" t="s">
        <v>3022</v>
      </c>
      <c r="K426" s="2390"/>
      <c r="L426" s="2390"/>
      <c r="M426" s="2390"/>
      <c r="N426" s="2340"/>
      <c r="O426" s="2392">
        <v>2</v>
      </c>
      <c r="P426" s="2392"/>
      <c r="Q426" s="2390"/>
      <c r="R426" s="2390"/>
      <c r="S426" s="2390"/>
      <c r="Z426" s="2390"/>
      <c r="AA426" s="2460" t="s">
        <v>280</v>
      </c>
      <c r="AB426" s="2968" t="s">
        <v>3395</v>
      </c>
      <c r="AC426" s="2969"/>
      <c r="AD426" s="2969"/>
      <c r="AE426" s="2969"/>
      <c r="AF426" s="2969"/>
      <c r="AG426" s="2970">
        <v>7</v>
      </c>
      <c r="AH426" s="2962">
        <v>7</v>
      </c>
      <c r="AI426" s="2970"/>
      <c r="AJ426" s="2970"/>
      <c r="AK426" s="2961"/>
      <c r="AL426" s="2961"/>
      <c r="AM426" s="2962"/>
      <c r="AN426" s="3943"/>
      <c r="AO426" s="3944"/>
      <c r="AP426" s="3944"/>
      <c r="AQ426" s="3944"/>
      <c r="AR426" s="2390"/>
      <c r="AS426" s="2460" t="s">
        <v>280</v>
      </c>
      <c r="AT426" s="2968" t="s">
        <v>3395</v>
      </c>
      <c r="AU426" s="2969"/>
      <c r="AV426" s="2969"/>
      <c r="AW426" s="2969"/>
      <c r="AX426" s="2969"/>
      <c r="AY426" s="2972">
        <f>O122</f>
        <v>0</v>
      </c>
      <c r="AZ426" s="2973">
        <f>O122</f>
        <v>0</v>
      </c>
      <c r="BA426" s="2972"/>
      <c r="BB426" s="2977"/>
      <c r="BC426" s="2977"/>
      <c r="BD426" s="2977"/>
      <c r="BE426" s="2978"/>
      <c r="BF426" s="2975">
        <f>P122</f>
        <v>0</v>
      </c>
      <c r="BG426" s="2973">
        <f>P122</f>
        <v>0</v>
      </c>
      <c r="BH426" s="2970"/>
      <c r="BI426" s="2961"/>
      <c r="BJ426" s="2961"/>
      <c r="BK426" s="2961"/>
      <c r="BL426" s="2962"/>
      <c r="BM426" s="2390"/>
    </row>
    <row r="427" spans="2:65">
      <c r="B427" s="2390"/>
      <c r="C427" s="2390"/>
      <c r="D427" s="2390"/>
      <c r="E427" s="2390"/>
      <c r="F427" s="2390"/>
      <c r="G427" s="2390"/>
      <c r="H427" s="2390"/>
      <c r="I427" s="2390"/>
      <c r="J427" s="2390" t="s">
        <v>3023</v>
      </c>
      <c r="K427" s="2390"/>
      <c r="L427" s="2390"/>
      <c r="M427" s="2390"/>
      <c r="N427" s="2340"/>
      <c r="O427" s="2392">
        <v>2</v>
      </c>
      <c r="P427" s="2392"/>
      <c r="Q427" s="2390"/>
      <c r="R427" s="2390"/>
      <c r="S427" s="2390"/>
      <c r="Z427" s="2390"/>
      <c r="AA427" s="2460" t="s">
        <v>401</v>
      </c>
      <c r="AB427" s="2968" t="s">
        <v>3396</v>
      </c>
      <c r="AC427" s="2969"/>
      <c r="AD427" s="2969"/>
      <c r="AE427" s="2969"/>
      <c r="AF427" s="2969"/>
      <c r="AG427" s="2970">
        <v>3</v>
      </c>
      <c r="AH427" s="2962"/>
      <c r="AI427" s="2970"/>
      <c r="AJ427" s="2970"/>
      <c r="AK427" s="2961"/>
      <c r="AL427" s="2961"/>
      <c r="AM427" s="2962"/>
      <c r="AN427" s="2197" t="s">
        <v>6557</v>
      </c>
      <c r="AO427" s="2197"/>
      <c r="AP427" s="2197"/>
      <c r="AQ427" s="2979"/>
      <c r="AR427" s="2390"/>
      <c r="AS427" s="2460" t="s">
        <v>401</v>
      </c>
      <c r="AT427" s="2968" t="s">
        <v>3396</v>
      </c>
      <c r="AU427" s="2969"/>
      <c r="AV427" s="2969"/>
      <c r="AW427" s="2969"/>
      <c r="AX427" s="2969"/>
      <c r="AY427" s="2970"/>
      <c r="AZ427" s="2962"/>
      <c r="BA427" s="2970"/>
      <c r="BB427" s="2961"/>
      <c r="BC427" s="2961"/>
      <c r="BD427" s="2961"/>
      <c r="BE427" s="2974"/>
      <c r="BF427" s="2966">
        <f>P142</f>
        <v>0</v>
      </c>
      <c r="BG427" s="2962"/>
      <c r="BH427" s="2970"/>
      <c r="BI427" s="2961"/>
      <c r="BJ427" s="2961"/>
      <c r="BK427" s="2961"/>
      <c r="BL427" s="2962"/>
      <c r="BM427" s="2390"/>
    </row>
    <row r="428" spans="2:65">
      <c r="B428" s="2390"/>
      <c r="C428" s="2390"/>
      <c r="D428" s="2390"/>
      <c r="E428" s="2390"/>
      <c r="F428" s="2390"/>
      <c r="G428" s="4079" t="s">
        <v>1407</v>
      </c>
      <c r="H428" s="4079"/>
      <c r="I428" s="4079"/>
      <c r="J428" s="2390" t="s">
        <v>3024</v>
      </c>
      <c r="K428" s="2390"/>
      <c r="L428" s="2390"/>
      <c r="M428" s="2390"/>
      <c r="N428" s="2340"/>
      <c r="O428" s="2392">
        <v>2</v>
      </c>
      <c r="P428" s="2392"/>
      <c r="Q428" s="2390"/>
      <c r="R428" s="2390"/>
      <c r="S428" s="2390"/>
      <c r="Z428" s="2390"/>
      <c r="AA428" s="2460" t="s">
        <v>342</v>
      </c>
      <c r="AB428" s="2968" t="s">
        <v>4039</v>
      </c>
      <c r="AC428" s="2969"/>
      <c r="AD428" s="2969"/>
      <c r="AE428" s="2969"/>
      <c r="AF428" s="2969"/>
      <c r="AG428" s="2970">
        <v>9</v>
      </c>
      <c r="AH428" s="2962">
        <v>9</v>
      </c>
      <c r="AI428" s="2970"/>
      <c r="AJ428" s="2970"/>
      <c r="AK428" s="2961"/>
      <c r="AL428" s="2961"/>
      <c r="AM428" s="2962"/>
      <c r="AN428" s="2197" t="s">
        <v>3307</v>
      </c>
      <c r="AO428" s="2197"/>
      <c r="AP428" s="2197"/>
      <c r="AQ428" s="2980"/>
      <c r="AR428" s="2390"/>
      <c r="AS428" s="2460" t="s">
        <v>342</v>
      </c>
      <c r="AT428" s="2968" t="s">
        <v>4039</v>
      </c>
      <c r="AU428" s="2969"/>
      <c r="AV428" s="2969"/>
      <c r="AW428" s="2969"/>
      <c r="AX428" s="2969"/>
      <c r="AY428" s="2963">
        <f>O152</f>
        <v>0</v>
      </c>
      <c r="AZ428" s="2967">
        <f>O152</f>
        <v>0</v>
      </c>
      <c r="BA428" s="2970"/>
      <c r="BB428" s="2961"/>
      <c r="BC428" s="2961"/>
      <c r="BD428" s="2961"/>
      <c r="BE428" s="2974"/>
      <c r="BF428" s="2966">
        <f>P152</f>
        <v>0</v>
      </c>
      <c r="BG428" s="2967">
        <f>P152</f>
        <v>0</v>
      </c>
      <c r="BH428" s="2970"/>
      <c r="BI428" s="2961"/>
      <c r="BJ428" s="2961"/>
      <c r="BK428" s="2961"/>
      <c r="BL428" s="2962"/>
      <c r="BM428" s="2390"/>
    </row>
    <row r="429" spans="2:65">
      <c r="B429" s="2390"/>
      <c r="C429" s="2390"/>
      <c r="D429" s="2390"/>
      <c r="E429" s="2390"/>
      <c r="F429" s="2390"/>
      <c r="G429" s="2395" t="s">
        <v>4064</v>
      </c>
      <c r="H429" s="2390" t="s">
        <v>4065</v>
      </c>
      <c r="I429" s="2395" t="s">
        <v>4063</v>
      </c>
      <c r="J429" s="2390" t="s">
        <v>3025</v>
      </c>
      <c r="K429" s="2390"/>
      <c r="L429" s="2395"/>
      <c r="M429" s="2390"/>
      <c r="N429" s="2340"/>
      <c r="O429" s="2392">
        <v>2</v>
      </c>
      <c r="P429" s="2392"/>
      <c r="Q429" s="2390"/>
      <c r="R429" s="2390"/>
      <c r="S429" s="2390"/>
      <c r="Z429" s="2390"/>
      <c r="AA429" s="2460" t="s">
        <v>343</v>
      </c>
      <c r="AB429" s="2968" t="s">
        <v>6128</v>
      </c>
      <c r="AC429" s="2969"/>
      <c r="AD429" s="2969"/>
      <c r="AE429" s="2969"/>
      <c r="AF429" s="2969"/>
      <c r="AG429" s="2970">
        <v>1</v>
      </c>
      <c r="AH429" s="2962"/>
      <c r="AI429" s="2970"/>
      <c r="AJ429" s="2970"/>
      <c r="AK429" s="2961"/>
      <c r="AL429" s="2961"/>
      <c r="AM429" s="2962"/>
      <c r="AN429" s="2981" t="s">
        <v>6143</v>
      </c>
      <c r="AO429" s="2197"/>
      <c r="AP429" s="2197"/>
      <c r="AQ429" s="2982"/>
      <c r="AR429" s="2390"/>
      <c r="AS429" s="2460" t="s">
        <v>343</v>
      </c>
      <c r="AT429" s="2968" t="s">
        <v>6128</v>
      </c>
      <c r="AU429" s="2969"/>
      <c r="AV429" s="2969"/>
      <c r="AW429" s="2969"/>
      <c r="AX429" s="2969"/>
      <c r="AY429" s="2963">
        <f>O171</f>
        <v>0</v>
      </c>
      <c r="AZ429" s="2962"/>
      <c r="BA429" s="2970"/>
      <c r="BB429" s="2961"/>
      <c r="BC429" s="2961"/>
      <c r="BD429" s="2961"/>
      <c r="BE429" s="2974"/>
      <c r="BF429" s="2966">
        <f>P171</f>
        <v>0</v>
      </c>
      <c r="BG429" s="2962"/>
      <c r="BH429" s="2970"/>
      <c r="BI429" s="2961"/>
      <c r="BJ429" s="2961"/>
      <c r="BK429" s="2961"/>
      <c r="BL429" s="2962"/>
      <c r="BM429" s="2390"/>
    </row>
    <row r="430" spans="2:65">
      <c r="B430" s="2390"/>
      <c r="C430" s="2396"/>
      <c r="D430" s="2390"/>
      <c r="E430" s="2390"/>
      <c r="F430" s="2390"/>
      <c r="G430" s="2397" t="s">
        <v>2320</v>
      </c>
      <c r="H430" s="2390"/>
      <c r="I430" s="2397"/>
      <c r="J430" s="2390" t="s">
        <v>3250</v>
      </c>
      <c r="K430" s="2390"/>
      <c r="L430" s="2397"/>
      <c r="M430" s="2390"/>
      <c r="N430" s="2340"/>
      <c r="O430" s="2392">
        <v>2</v>
      </c>
      <c r="P430" s="2392"/>
      <c r="Q430" s="2390"/>
      <c r="R430" s="2390"/>
      <c r="S430" s="2390"/>
      <c r="Z430" s="2390"/>
      <c r="AA430" s="2460" t="s">
        <v>344</v>
      </c>
      <c r="AB430" s="2968" t="s">
        <v>3262</v>
      </c>
      <c r="AC430" s="2969"/>
      <c r="AD430" s="2969"/>
      <c r="AE430" s="2969"/>
      <c r="AF430" s="2969"/>
      <c r="AG430" s="2970">
        <v>10</v>
      </c>
      <c r="AH430" s="2962">
        <v>10</v>
      </c>
      <c r="AI430" s="2970"/>
      <c r="AJ430" s="2970"/>
      <c r="AK430" s="2961"/>
      <c r="AL430" s="2961"/>
      <c r="AM430" s="2962"/>
      <c r="AN430" s="2981" t="s">
        <v>6512</v>
      </c>
      <c r="AO430" s="2197"/>
      <c r="AP430" s="2197" t="s">
        <v>6946</v>
      </c>
      <c r="AQ430" s="2983" t="str">
        <f>IF('Part VII-Threshold Criteria'!$P$223="Agree","Yes","")</f>
        <v>Yes</v>
      </c>
      <c r="AR430" s="2390"/>
      <c r="AS430" s="2460" t="s">
        <v>344</v>
      </c>
      <c r="AT430" s="2968" t="s">
        <v>3262</v>
      </c>
      <c r="AU430" s="2969"/>
      <c r="AV430" s="2969"/>
      <c r="AW430" s="2969"/>
      <c r="AX430" s="2969"/>
      <c r="AY430" s="2963">
        <f>O179</f>
        <v>0</v>
      </c>
      <c r="AZ430" s="2967">
        <f>O179</f>
        <v>0</v>
      </c>
      <c r="BA430" s="2970"/>
      <c r="BB430" s="2961"/>
      <c r="BC430" s="2961"/>
      <c r="BD430" s="2961"/>
      <c r="BE430" s="2974"/>
      <c r="BF430" s="2966">
        <f>P179</f>
        <v>0</v>
      </c>
      <c r="BG430" s="2967">
        <f>P179</f>
        <v>0</v>
      </c>
      <c r="BH430" s="2970"/>
      <c r="BI430" s="2961"/>
      <c r="BJ430" s="2961"/>
      <c r="BK430" s="2961"/>
      <c r="BL430" s="2962"/>
      <c r="BM430" s="2390"/>
    </row>
    <row r="431" spans="2:65">
      <c r="B431" s="2390"/>
      <c r="C431" s="2396"/>
      <c r="D431" s="2390"/>
      <c r="E431" s="2390"/>
      <c r="F431" s="2390"/>
      <c r="G431" s="2397" t="s">
        <v>436</v>
      </c>
      <c r="H431" s="2340" t="s">
        <v>4067</v>
      </c>
      <c r="I431" s="2395" t="s">
        <v>2453</v>
      </c>
      <c r="J431" s="2390" t="s">
        <v>3026</v>
      </c>
      <c r="K431" s="2390"/>
      <c r="L431" s="2396"/>
      <c r="M431" s="2390"/>
      <c r="N431" s="2340"/>
      <c r="O431" s="2392">
        <v>1</v>
      </c>
      <c r="P431" s="2392"/>
      <c r="Q431" s="2390"/>
      <c r="R431" s="2390"/>
      <c r="S431" s="2390"/>
      <c r="Z431" s="2390"/>
      <c r="AA431" s="2460" t="s">
        <v>1604</v>
      </c>
      <c r="AB431" s="2968" t="s">
        <v>6129</v>
      </c>
      <c r="AC431" s="2969"/>
      <c r="AD431" s="2969"/>
      <c r="AE431" s="2969"/>
      <c r="AF431" s="2969"/>
      <c r="AG431" s="2970">
        <v>3</v>
      </c>
      <c r="AH431" s="2962"/>
      <c r="AI431" s="2970"/>
      <c r="AJ431" s="2970"/>
      <c r="AK431" s="2961"/>
      <c r="AL431" s="2961"/>
      <c r="AM431" s="2962"/>
      <c r="AN431" s="2390"/>
      <c r="AO431" s="2197"/>
      <c r="AP431" s="2393" t="s">
        <v>6142</v>
      </c>
      <c r="AQ431" s="2983" t="str">
        <f>IF('Part VII-Threshold Criteria'!$P$224="Agree","Yes","")</f>
        <v/>
      </c>
      <c r="AR431" s="2390"/>
      <c r="AS431" s="2460" t="s">
        <v>1604</v>
      </c>
      <c r="AT431" s="2968" t="s">
        <v>6129</v>
      </c>
      <c r="AU431" s="2969"/>
      <c r="AV431" s="2969"/>
      <c r="AW431" s="2969"/>
      <c r="AX431" s="2969"/>
      <c r="AY431" s="2963">
        <f>O189</f>
        <v>0</v>
      </c>
      <c r="AZ431" s="2962"/>
      <c r="BA431" s="2970"/>
      <c r="BB431" s="2961"/>
      <c r="BC431" s="2961"/>
      <c r="BD431" s="2961"/>
      <c r="BE431" s="2974"/>
      <c r="BF431" s="2966">
        <f>P189</f>
        <v>0</v>
      </c>
      <c r="BG431" s="2962"/>
      <c r="BH431" s="2970"/>
      <c r="BI431" s="2961"/>
      <c r="BJ431" s="2961"/>
      <c r="BK431" s="2961"/>
      <c r="BL431" s="2962"/>
      <c r="BM431" s="2390"/>
    </row>
    <row r="432" spans="2:65">
      <c r="B432" s="2390"/>
      <c r="C432" s="2396"/>
      <c r="D432" s="2390"/>
      <c r="E432" s="2390"/>
      <c r="F432" s="2390"/>
      <c r="G432" s="2397" t="s">
        <v>1657</v>
      </c>
      <c r="H432" s="2340">
        <v>2020</v>
      </c>
      <c r="I432" s="2340" t="s">
        <v>4066</v>
      </c>
      <c r="J432" s="2390" t="s">
        <v>3027</v>
      </c>
      <c r="K432" s="2390"/>
      <c r="L432" s="2396"/>
      <c r="M432" s="2390"/>
      <c r="N432" s="2340"/>
      <c r="O432" s="2392">
        <v>1</v>
      </c>
      <c r="P432" s="2392"/>
      <c r="Q432" s="2390"/>
      <c r="R432" s="2390"/>
      <c r="S432" s="2390"/>
      <c r="Z432" s="2390"/>
      <c r="AA432" s="2460" t="s">
        <v>3370</v>
      </c>
      <c r="AB432" s="2968" t="s">
        <v>4043</v>
      </c>
      <c r="AC432" s="2969"/>
      <c r="AD432" s="2969"/>
      <c r="AE432" s="2969"/>
      <c r="AF432" s="2969"/>
      <c r="AG432" s="2970">
        <v>5</v>
      </c>
      <c r="AH432" s="2962"/>
      <c r="AI432" s="2970"/>
      <c r="AJ432" s="2970"/>
      <c r="AK432" s="2961"/>
      <c r="AL432" s="2961"/>
      <c r="AM432" s="2962"/>
      <c r="AN432" s="2981"/>
      <c r="AO432" s="2197"/>
      <c r="AP432" s="2393" t="s">
        <v>6558</v>
      </c>
      <c r="AQ432" s="2984" t="str">
        <f>IF('Part VII-Threshold Criteria'!$P$225="Agree","Yes","")</f>
        <v/>
      </c>
      <c r="AR432" s="2390"/>
      <c r="AS432" s="2460" t="s">
        <v>3370</v>
      </c>
      <c r="AT432" s="2968" t="s">
        <v>4043</v>
      </c>
      <c r="AU432" s="2969"/>
      <c r="AV432" s="2969"/>
      <c r="AW432" s="2969"/>
      <c r="AX432" s="2969"/>
      <c r="AY432" s="2963">
        <f>O200</f>
        <v>0</v>
      </c>
      <c r="AZ432" s="2962"/>
      <c r="BA432" s="2970"/>
      <c r="BB432" s="2961"/>
      <c r="BC432" s="2961"/>
      <c r="BD432" s="2961"/>
      <c r="BE432" s="2974"/>
      <c r="BF432" s="2966">
        <f>P200</f>
        <v>0</v>
      </c>
      <c r="BG432" s="2962"/>
      <c r="BH432" s="2970"/>
      <c r="BI432" s="2961"/>
      <c r="BJ432" s="2961"/>
      <c r="BK432" s="2961"/>
      <c r="BL432" s="2962"/>
      <c r="BM432" s="2390"/>
    </row>
    <row r="433" spans="1:65">
      <c r="B433" s="2390"/>
      <c r="C433" s="2396"/>
      <c r="D433" s="2390"/>
      <c r="E433" s="2390"/>
      <c r="F433" s="2390"/>
      <c r="G433" s="2397" t="s">
        <v>2351</v>
      </c>
      <c r="H433" s="2340" t="s">
        <v>1610</v>
      </c>
      <c r="I433" s="2395" t="s">
        <v>2453</v>
      </c>
      <c r="J433" s="2390" t="s">
        <v>3028</v>
      </c>
      <c r="K433" s="2390"/>
      <c r="L433" s="2396"/>
      <c r="M433" s="2390"/>
      <c r="N433" s="2340"/>
      <c r="O433" s="2392">
        <v>1</v>
      </c>
      <c r="P433" s="2392"/>
      <c r="Q433" s="2390"/>
      <c r="R433" s="2390"/>
      <c r="S433" s="2390"/>
      <c r="Z433" s="2390"/>
      <c r="AA433" s="2460" t="s">
        <v>2080</v>
      </c>
      <c r="AB433" s="2968" t="s">
        <v>3804</v>
      </c>
      <c r="AC433" s="2969"/>
      <c r="AD433" s="2969"/>
      <c r="AE433" s="2969"/>
      <c r="AF433" s="2969"/>
      <c r="AG433" s="2970">
        <v>4</v>
      </c>
      <c r="AH433" s="2962">
        <v>4</v>
      </c>
      <c r="AI433" s="2970">
        <v>4</v>
      </c>
      <c r="AJ433" s="2970">
        <v>4</v>
      </c>
      <c r="AK433" s="2961">
        <v>4</v>
      </c>
      <c r="AL433" s="2961">
        <v>4</v>
      </c>
      <c r="AM433" s="2962">
        <v>4</v>
      </c>
      <c r="AN433" s="2985"/>
      <c r="AO433" s="2945"/>
      <c r="AP433" s="2986" t="s">
        <v>6559</v>
      </c>
      <c r="AQ433" s="2987" t="str">
        <f>IF('Part VII-Threshold Criteria'!$P$226="Agree","Yes","")</f>
        <v/>
      </c>
      <c r="AR433" s="2390"/>
      <c r="AS433" s="2460" t="s">
        <v>2080</v>
      </c>
      <c r="AT433" s="2968" t="s">
        <v>3804</v>
      </c>
      <c r="AU433" s="2969"/>
      <c r="AV433" s="2969"/>
      <c r="AW433" s="2969"/>
      <c r="AX433" s="2969"/>
      <c r="AY433" s="2963">
        <f>O210</f>
        <v>4</v>
      </c>
      <c r="AZ433" s="2967">
        <f>O210</f>
        <v>4</v>
      </c>
      <c r="BA433" s="2963">
        <f>O210</f>
        <v>4</v>
      </c>
      <c r="BB433" s="2964">
        <f>O210</f>
        <v>4</v>
      </c>
      <c r="BC433" s="2964">
        <f>O210</f>
        <v>4</v>
      </c>
      <c r="BD433" s="2964">
        <f>O210</f>
        <v>4</v>
      </c>
      <c r="BE433" s="2965">
        <f>O210</f>
        <v>4</v>
      </c>
      <c r="BF433" s="2966">
        <f>P210</f>
        <v>0</v>
      </c>
      <c r="BG433" s="2967">
        <f>P210</f>
        <v>0</v>
      </c>
      <c r="BH433" s="2963">
        <f>P210</f>
        <v>0</v>
      </c>
      <c r="BI433" s="2964">
        <f>P210</f>
        <v>0</v>
      </c>
      <c r="BJ433" s="2964">
        <f>P210</f>
        <v>0</v>
      </c>
      <c r="BK433" s="2964">
        <f>P210</f>
        <v>0</v>
      </c>
      <c r="BL433" s="2967">
        <f>P210</f>
        <v>0</v>
      </c>
      <c r="BM433" s="2390"/>
    </row>
    <row r="434" spans="1:65">
      <c r="B434" s="2390"/>
      <c r="C434" s="2396"/>
      <c r="D434" s="2390"/>
      <c r="E434" s="2390"/>
      <c r="F434" s="2390"/>
      <c r="G434" s="2397" t="s">
        <v>971</v>
      </c>
      <c r="H434" s="2340">
        <v>2020</v>
      </c>
      <c r="I434" s="2340" t="s">
        <v>4066</v>
      </c>
      <c r="J434" s="2390" t="s">
        <v>3251</v>
      </c>
      <c r="K434" s="2390"/>
      <c r="L434" s="2396"/>
      <c r="M434" s="2390"/>
      <c r="N434" s="2340"/>
      <c r="O434" s="2392">
        <v>1</v>
      </c>
      <c r="P434" s="2392"/>
      <c r="Q434" s="2390"/>
      <c r="R434" s="2390"/>
      <c r="S434" s="2390"/>
      <c r="Z434" s="2390"/>
      <c r="AA434" s="2460" t="s">
        <v>3370</v>
      </c>
      <c r="AB434" s="2968" t="s">
        <v>6549</v>
      </c>
      <c r="AC434" s="2969"/>
      <c r="AD434" s="2969"/>
      <c r="AE434" s="2969"/>
      <c r="AF434" s="2969"/>
      <c r="AG434" s="2970">
        <v>2</v>
      </c>
      <c r="AH434" s="2962"/>
      <c r="AI434" s="2970"/>
      <c r="AJ434" s="2970"/>
      <c r="AK434" s="2961"/>
      <c r="AL434" s="2961"/>
      <c r="AM434" s="2962"/>
      <c r="AN434" s="2988" t="s">
        <v>2444</v>
      </c>
      <c r="AO434" s="2989"/>
      <c r="AP434" s="2990"/>
      <c r="AQ434" s="2979"/>
      <c r="AR434" s="2390"/>
      <c r="AS434" s="2460" t="s">
        <v>3370</v>
      </c>
      <c r="AT434" s="2968" t="s">
        <v>6549</v>
      </c>
      <c r="AU434" s="2969"/>
      <c r="AV434" s="2969"/>
      <c r="AW434" s="2969"/>
      <c r="AX434" s="2969"/>
      <c r="AY434" s="2963">
        <f>O223</f>
        <v>0</v>
      </c>
      <c r="AZ434" s="2967"/>
      <c r="BA434" s="2963"/>
      <c r="BB434" s="2964"/>
      <c r="BC434" s="2964"/>
      <c r="BD434" s="2964"/>
      <c r="BE434" s="2965"/>
      <c r="BF434" s="2966">
        <f>P223</f>
        <v>0</v>
      </c>
      <c r="BG434" s="2967"/>
      <c r="BH434" s="2963"/>
      <c r="BI434" s="2964"/>
      <c r="BJ434" s="2964"/>
      <c r="BK434" s="2964"/>
      <c r="BL434" s="2967"/>
      <c r="BM434" s="2390"/>
    </row>
    <row r="435" spans="1:65">
      <c r="B435" s="2390"/>
      <c r="C435" s="2396"/>
      <c r="D435" s="2390"/>
      <c r="E435" s="2390"/>
      <c r="F435" s="2390"/>
      <c r="G435" s="2397" t="s">
        <v>3273</v>
      </c>
      <c r="H435" s="2340">
        <v>2019</v>
      </c>
      <c r="I435" s="2340" t="s">
        <v>4066</v>
      </c>
      <c r="J435" s="2390" t="s">
        <v>3036</v>
      </c>
      <c r="K435" s="2390"/>
      <c r="L435" s="2396"/>
      <c r="M435" s="2390"/>
      <c r="N435" s="2340"/>
      <c r="O435" s="2392">
        <v>1</v>
      </c>
      <c r="P435" s="2392"/>
      <c r="Q435" s="2390"/>
      <c r="R435" s="2390"/>
      <c r="S435" s="2390"/>
      <c r="Z435" s="2390"/>
      <c r="AA435" s="2460" t="s">
        <v>3371</v>
      </c>
      <c r="AB435" s="2968" t="s">
        <v>6550</v>
      </c>
      <c r="AC435" s="2969"/>
      <c r="AD435" s="2969"/>
      <c r="AE435" s="2969"/>
      <c r="AF435" s="2969"/>
      <c r="AG435" s="2970">
        <v>2</v>
      </c>
      <c r="AH435" s="2962">
        <v>2</v>
      </c>
      <c r="AI435" s="2970">
        <v>2</v>
      </c>
      <c r="AJ435" s="2970">
        <v>2</v>
      </c>
      <c r="AK435" s="2961">
        <v>2</v>
      </c>
      <c r="AL435" s="2961">
        <v>2</v>
      </c>
      <c r="AM435" s="2962">
        <v>2</v>
      </c>
      <c r="AN435" s="2991" t="s">
        <v>6560</v>
      </c>
      <c r="AO435" s="2992"/>
      <c r="AP435" s="2993"/>
      <c r="AQ435" s="2982"/>
      <c r="AR435" s="2390"/>
      <c r="AS435" s="2460" t="s">
        <v>3371</v>
      </c>
      <c r="AT435" s="2968" t="s">
        <v>6550</v>
      </c>
      <c r="AU435" s="2969"/>
      <c r="AV435" s="2969"/>
      <c r="AW435" s="2969"/>
      <c r="AX435" s="2969"/>
      <c r="AY435" s="2963">
        <f>O233</f>
        <v>0</v>
      </c>
      <c r="AZ435" s="2967">
        <f>O233</f>
        <v>0</v>
      </c>
      <c r="BA435" s="2963">
        <f>O233</f>
        <v>0</v>
      </c>
      <c r="BB435" s="2964">
        <f>O233</f>
        <v>0</v>
      </c>
      <c r="BC435" s="2964">
        <f>O233</f>
        <v>0</v>
      </c>
      <c r="BD435" s="2964">
        <f>O233</f>
        <v>0</v>
      </c>
      <c r="BE435" s="2965">
        <f>O233</f>
        <v>0</v>
      </c>
      <c r="BF435" s="2966">
        <f>P233</f>
        <v>0</v>
      </c>
      <c r="BG435" s="2967">
        <f>P233</f>
        <v>0</v>
      </c>
      <c r="BH435" s="2963">
        <f>P233</f>
        <v>0</v>
      </c>
      <c r="BI435" s="2964">
        <f>P233</f>
        <v>0</v>
      </c>
      <c r="BJ435" s="2964">
        <f>P233</f>
        <v>0</v>
      </c>
      <c r="BK435" s="2964">
        <f>P233</f>
        <v>0</v>
      </c>
      <c r="BL435" s="2967">
        <f>P233</f>
        <v>0</v>
      </c>
      <c r="BM435" s="2390"/>
    </row>
    <row r="436" spans="1:65">
      <c r="B436" s="2390"/>
      <c r="C436" s="2396"/>
      <c r="D436" s="2390"/>
      <c r="E436" s="2390"/>
      <c r="F436" s="2390"/>
      <c r="G436" s="2397" t="s">
        <v>340</v>
      </c>
      <c r="H436" s="2340" t="s">
        <v>1610</v>
      </c>
      <c r="I436" s="2395" t="s">
        <v>2453</v>
      </c>
      <c r="J436" s="2390" t="s">
        <v>3029</v>
      </c>
      <c r="K436" s="2390"/>
      <c r="L436" s="2396"/>
      <c r="M436" s="2390"/>
      <c r="N436" s="2340"/>
      <c r="O436" s="2392">
        <v>1</v>
      </c>
      <c r="P436" s="2392"/>
      <c r="Q436" s="2390"/>
      <c r="R436" s="2390"/>
      <c r="S436" s="2390"/>
      <c r="Z436" s="2390"/>
      <c r="AA436" s="2460" t="s">
        <v>3369</v>
      </c>
      <c r="AB436" s="2968" t="s">
        <v>6555</v>
      </c>
      <c r="AC436" s="2969"/>
      <c r="AD436" s="2969"/>
      <c r="AE436" s="2969"/>
      <c r="AF436" s="2969"/>
      <c r="AG436" s="2970">
        <v>2</v>
      </c>
      <c r="AH436" s="2962"/>
      <c r="AI436" s="2970"/>
      <c r="AJ436" s="2970"/>
      <c r="AK436" s="2961">
        <v>2</v>
      </c>
      <c r="AL436" s="2961">
        <v>2</v>
      </c>
      <c r="AM436" s="2962">
        <v>2</v>
      </c>
      <c r="AN436" s="2197" t="s">
        <v>6561</v>
      </c>
      <c r="AO436" s="2197"/>
      <c r="AP436" s="2197"/>
      <c r="AQ436" s="2461" t="str">
        <f>'Part II-Sources of Funds'!$L$14</f>
        <v>No</v>
      </c>
      <c r="AR436" s="2390"/>
      <c r="AS436" s="2460" t="s">
        <v>3369</v>
      </c>
      <c r="AT436" s="2968" t="s">
        <v>6555</v>
      </c>
      <c r="AU436" s="2969"/>
      <c r="AV436" s="2969"/>
      <c r="AW436" s="2969"/>
      <c r="AX436" s="2969"/>
      <c r="AY436" s="2963">
        <f>O253</f>
        <v>0</v>
      </c>
      <c r="AZ436" s="2962"/>
      <c r="BA436" s="2970"/>
      <c r="BB436" s="2961"/>
      <c r="BC436" s="2964">
        <f>O253</f>
        <v>0</v>
      </c>
      <c r="BD436" s="2964">
        <f>O253</f>
        <v>0</v>
      </c>
      <c r="BE436" s="2965">
        <f>O253</f>
        <v>0</v>
      </c>
      <c r="BF436" s="2966">
        <f>P253</f>
        <v>0</v>
      </c>
      <c r="BG436" s="2962"/>
      <c r="BH436" s="2970"/>
      <c r="BI436" s="2961"/>
      <c r="BJ436" s="2964">
        <f>P253</f>
        <v>0</v>
      </c>
      <c r="BK436" s="2964">
        <f>P253</f>
        <v>0</v>
      </c>
      <c r="BL436" s="2967">
        <f>P253</f>
        <v>0</v>
      </c>
      <c r="BM436" s="2390"/>
    </row>
    <row r="437" spans="1:65">
      <c r="B437" s="2390"/>
      <c r="C437" s="2396"/>
      <c r="D437" s="2390"/>
      <c r="E437" s="2390"/>
      <c r="F437" s="2390"/>
      <c r="G437" s="2397" t="s">
        <v>1633</v>
      </c>
      <c r="H437" s="2340">
        <v>2020</v>
      </c>
      <c r="I437" s="2340" t="s">
        <v>4066</v>
      </c>
      <c r="J437" s="2390" t="s">
        <v>3030</v>
      </c>
      <c r="K437" s="2390"/>
      <c r="L437" s="2396"/>
      <c r="M437" s="2390"/>
      <c r="N437" s="2340"/>
      <c r="O437" s="2392">
        <v>1</v>
      </c>
      <c r="P437" s="2392"/>
      <c r="Q437" s="2390"/>
      <c r="R437" s="2390"/>
      <c r="S437" s="2390"/>
      <c r="Z437" s="2390"/>
      <c r="AA437" s="2460" t="s">
        <v>3372</v>
      </c>
      <c r="AB437" s="2968" t="s">
        <v>6130</v>
      </c>
      <c r="AC437" s="2969"/>
      <c r="AD437" s="2969"/>
      <c r="AE437" s="2969"/>
      <c r="AF437" s="2969"/>
      <c r="AG437" s="2970">
        <v>2</v>
      </c>
      <c r="AH437" s="2962"/>
      <c r="AI437" s="2970"/>
      <c r="AJ437" s="2970"/>
      <c r="AK437" s="2961">
        <v>2</v>
      </c>
      <c r="AL437" s="2961">
        <v>2</v>
      </c>
      <c r="AM437" s="2962">
        <v>2</v>
      </c>
      <c r="AN437" s="2390"/>
      <c r="AO437" s="2390"/>
      <c r="AP437" s="2390"/>
      <c r="AQ437" s="2390"/>
      <c r="AR437" s="2390"/>
      <c r="AS437" s="2460" t="s">
        <v>3372</v>
      </c>
      <c r="AT437" s="2968" t="s">
        <v>6130</v>
      </c>
      <c r="AU437" s="2969"/>
      <c r="AV437" s="2969"/>
      <c r="AW437" s="2969"/>
      <c r="AX437" s="2969"/>
      <c r="AY437" s="2963"/>
      <c r="AZ437" s="2962"/>
      <c r="BA437" s="2970"/>
      <c r="BB437" s="2961"/>
      <c r="BC437" s="2964"/>
      <c r="BD437" s="2964"/>
      <c r="BE437" s="2965"/>
      <c r="BF437" s="2966">
        <f>P262</f>
        <v>0</v>
      </c>
      <c r="BG437" s="2962"/>
      <c r="BH437" s="2970"/>
      <c r="BI437" s="2961"/>
      <c r="BJ437" s="2964">
        <f>P262</f>
        <v>0</v>
      </c>
      <c r="BK437" s="2964">
        <f>P262</f>
        <v>0</v>
      </c>
      <c r="BL437" s="2967">
        <f>P262</f>
        <v>0</v>
      </c>
      <c r="BM437" s="2390"/>
    </row>
    <row r="438" spans="1:65">
      <c r="B438" s="2390"/>
      <c r="C438" s="2396"/>
      <c r="D438" s="2390"/>
      <c r="E438" s="2390"/>
      <c r="F438" s="2390"/>
      <c r="G438" s="2397" t="s">
        <v>1909</v>
      </c>
      <c r="H438" s="2340" t="s">
        <v>4067</v>
      </c>
      <c r="I438" s="2395" t="s">
        <v>2453</v>
      </c>
      <c r="J438" s="2390" t="s">
        <v>3031</v>
      </c>
      <c r="K438" s="2390"/>
      <c r="L438" s="2396"/>
      <c r="M438" s="2390"/>
      <c r="N438" s="2340"/>
      <c r="O438" s="2392">
        <v>1</v>
      </c>
      <c r="P438" s="2392"/>
      <c r="Q438" s="2390"/>
      <c r="R438" s="2390"/>
      <c r="S438" s="2390"/>
      <c r="Z438" s="2390"/>
      <c r="AA438" s="2460" t="s">
        <v>3373</v>
      </c>
      <c r="AB438" s="2968" t="s">
        <v>3397</v>
      </c>
      <c r="AC438" s="2969"/>
      <c r="AD438" s="2969"/>
      <c r="AE438" s="2969"/>
      <c r="AF438" s="2969"/>
      <c r="AG438" s="2970">
        <v>2</v>
      </c>
      <c r="AH438" s="2962"/>
      <c r="AI438" s="2970"/>
      <c r="AJ438" s="2970"/>
      <c r="AK438" s="2961">
        <v>2</v>
      </c>
      <c r="AL438" s="2961">
        <v>2</v>
      </c>
      <c r="AM438" s="2962">
        <v>2</v>
      </c>
      <c r="AN438" s="2390"/>
      <c r="AO438" s="2390"/>
      <c r="AP438" s="2390"/>
      <c r="AQ438" s="2390"/>
      <c r="AR438" s="2390"/>
      <c r="AS438" s="2460" t="s">
        <v>3373</v>
      </c>
      <c r="AT438" s="2968" t="s">
        <v>3397</v>
      </c>
      <c r="AU438" s="2969"/>
      <c r="AV438" s="2969"/>
      <c r="AW438" s="2969"/>
      <c r="AX438" s="2969"/>
      <c r="AY438" s="2963">
        <f>O271</f>
        <v>0</v>
      </c>
      <c r="AZ438" s="2967"/>
      <c r="BA438" s="2963"/>
      <c r="BB438" s="2964"/>
      <c r="BC438" s="2964">
        <f>O271</f>
        <v>0</v>
      </c>
      <c r="BD438" s="2964">
        <f>O271</f>
        <v>0</v>
      </c>
      <c r="BE438" s="2965">
        <f>O271</f>
        <v>0</v>
      </c>
      <c r="BF438" s="2966">
        <f>P271</f>
        <v>0</v>
      </c>
      <c r="BG438" s="2967"/>
      <c r="BH438" s="2963"/>
      <c r="BI438" s="2964"/>
      <c r="BJ438" s="2964">
        <f>P271</f>
        <v>0</v>
      </c>
      <c r="BK438" s="2964">
        <f>P271</f>
        <v>0</v>
      </c>
      <c r="BL438" s="2967">
        <f>P271</f>
        <v>0</v>
      </c>
      <c r="BM438" s="2390"/>
    </row>
    <row r="439" spans="1:65">
      <c r="A439" s="2390"/>
      <c r="B439" s="2390"/>
      <c r="C439" s="2390"/>
      <c r="D439" s="2390"/>
      <c r="E439" s="2390"/>
      <c r="F439" s="2390"/>
      <c r="G439" s="2397" t="s">
        <v>82</v>
      </c>
      <c r="H439" s="2340" t="s">
        <v>4067</v>
      </c>
      <c r="I439" s="2395" t="s">
        <v>2453</v>
      </c>
      <c r="J439" s="2390" t="s">
        <v>3032</v>
      </c>
      <c r="K439" s="2390"/>
      <c r="L439" s="2396"/>
      <c r="M439" s="2390"/>
      <c r="N439" s="2340"/>
      <c r="O439" s="2392">
        <v>1</v>
      </c>
      <c r="P439" s="2392"/>
      <c r="Q439" s="2390"/>
      <c r="R439" s="2390"/>
      <c r="S439" s="2390"/>
      <c r="Z439" s="2390"/>
      <c r="AA439" s="2460" t="s">
        <v>3376</v>
      </c>
      <c r="AB439" s="2968" t="s">
        <v>3398</v>
      </c>
      <c r="AC439" s="2969"/>
      <c r="AD439" s="2969"/>
      <c r="AE439" s="2969"/>
      <c r="AF439" s="2969"/>
      <c r="AG439" s="2970">
        <v>4</v>
      </c>
      <c r="AH439" s="2962">
        <v>4</v>
      </c>
      <c r="AI439" s="2970">
        <v>4</v>
      </c>
      <c r="AJ439" s="2970">
        <v>4</v>
      </c>
      <c r="AK439" s="2961">
        <v>4</v>
      </c>
      <c r="AL439" s="2961">
        <v>4</v>
      </c>
      <c r="AM439" s="2962">
        <v>4</v>
      </c>
      <c r="AN439" s="2390"/>
      <c r="AO439" s="2390"/>
      <c r="AP439" s="2390"/>
      <c r="AQ439" s="2390"/>
      <c r="AR439" s="2390"/>
      <c r="AS439" s="2460" t="s">
        <v>3376</v>
      </c>
      <c r="AT439" s="2968" t="s">
        <v>3398</v>
      </c>
      <c r="AU439" s="2969"/>
      <c r="AV439" s="2969"/>
      <c r="AW439" s="2969"/>
      <c r="AX439" s="2969"/>
      <c r="AY439" s="2963">
        <f>O280</f>
        <v>0</v>
      </c>
      <c r="AZ439" s="2967">
        <f>O280</f>
        <v>0</v>
      </c>
      <c r="BA439" s="2963">
        <f>O280</f>
        <v>0</v>
      </c>
      <c r="BB439" s="2964">
        <f>O280</f>
        <v>0</v>
      </c>
      <c r="BC439" s="2964">
        <f>O280</f>
        <v>0</v>
      </c>
      <c r="BD439" s="2964">
        <f>O280</f>
        <v>0</v>
      </c>
      <c r="BE439" s="2965">
        <f>O280</f>
        <v>0</v>
      </c>
      <c r="BF439" s="2966">
        <f>P280</f>
        <v>0</v>
      </c>
      <c r="BG439" s="2967">
        <f>P280</f>
        <v>0</v>
      </c>
      <c r="BH439" s="2963">
        <f>P280</f>
        <v>0</v>
      </c>
      <c r="BI439" s="2964">
        <f>P280</f>
        <v>0</v>
      </c>
      <c r="BJ439" s="2964">
        <f>P280</f>
        <v>0</v>
      </c>
      <c r="BK439" s="2964">
        <f>P280</f>
        <v>0</v>
      </c>
      <c r="BL439" s="2967">
        <f>P280</f>
        <v>0</v>
      </c>
      <c r="BM439" s="2390"/>
    </row>
    <row r="440" spans="1:65">
      <c r="A440" s="2390"/>
      <c r="B440" s="2390"/>
      <c r="C440" s="2390"/>
      <c r="D440" s="2390"/>
      <c r="E440" s="2390"/>
      <c r="F440" s="2390"/>
      <c r="G440" s="2397" t="s">
        <v>837</v>
      </c>
      <c r="H440" s="2340">
        <v>2019</v>
      </c>
      <c r="I440" s="2340" t="s">
        <v>4066</v>
      </c>
      <c r="J440" s="2390" t="s">
        <v>3035</v>
      </c>
      <c r="K440" s="2390"/>
      <c r="L440" s="2396"/>
      <c r="M440" s="2390"/>
      <c r="N440" s="2340"/>
      <c r="O440" s="2392">
        <v>1</v>
      </c>
      <c r="P440" s="2392"/>
      <c r="Q440" s="2390"/>
      <c r="R440" s="2390"/>
      <c r="S440" s="2390"/>
      <c r="Z440" s="2390"/>
      <c r="AA440" s="2460" t="s">
        <v>3377</v>
      </c>
      <c r="AB440" s="2968" t="s">
        <v>3399</v>
      </c>
      <c r="AC440" s="2969"/>
      <c r="AD440" s="2969"/>
      <c r="AE440" s="2969"/>
      <c r="AF440" s="2969"/>
      <c r="AG440" s="2970">
        <v>2</v>
      </c>
      <c r="AH440" s="2962"/>
      <c r="AI440" s="2970"/>
      <c r="AJ440" s="2970"/>
      <c r="AK440" s="2961"/>
      <c r="AL440" s="2961"/>
      <c r="AM440" s="2962"/>
      <c r="AN440" s="2390"/>
      <c r="AO440" s="2390"/>
      <c r="AP440" s="2390"/>
      <c r="AQ440" s="2390"/>
      <c r="AR440" s="2390"/>
      <c r="AS440" s="2460" t="s">
        <v>3377</v>
      </c>
      <c r="AT440" s="2968" t="s">
        <v>3399</v>
      </c>
      <c r="AU440" s="2969"/>
      <c r="AV440" s="2969"/>
      <c r="AW440" s="2969"/>
      <c r="AX440" s="2969"/>
      <c r="AY440" s="2963">
        <f>O312</f>
        <v>0</v>
      </c>
      <c r="AZ440" s="2967"/>
      <c r="BA440" s="2963"/>
      <c r="BB440" s="2964"/>
      <c r="BC440" s="2964"/>
      <c r="BD440" s="2964"/>
      <c r="BE440" s="2965"/>
      <c r="BF440" s="2966">
        <f>P312</f>
        <v>0</v>
      </c>
      <c r="BG440" s="2967"/>
      <c r="BH440" s="2963"/>
      <c r="BI440" s="2964"/>
      <c r="BJ440" s="2964"/>
      <c r="BK440" s="2964"/>
      <c r="BL440" s="2967"/>
      <c r="BM440" s="2390"/>
    </row>
    <row r="441" spans="1:65">
      <c r="A441" s="2390" t="s">
        <v>2498</v>
      </c>
      <c r="B441" s="2390"/>
      <c r="C441" s="2390"/>
      <c r="D441" s="2390"/>
      <c r="E441" s="2390"/>
      <c r="F441" s="2390"/>
      <c r="G441" s="2397" t="s">
        <v>1986</v>
      </c>
      <c r="H441" s="2340" t="s">
        <v>4067</v>
      </c>
      <c r="I441" s="2395" t="s">
        <v>2453</v>
      </c>
      <c r="J441" s="2390" t="s">
        <v>3033</v>
      </c>
      <c r="K441" s="2390"/>
      <c r="L441" s="2396"/>
      <c r="M441" s="2390"/>
      <c r="N441" s="2340"/>
      <c r="O441" s="2392">
        <v>1</v>
      </c>
      <c r="P441" s="2392"/>
      <c r="Q441" s="2390"/>
      <c r="R441" s="2390"/>
      <c r="S441" s="2390"/>
      <c r="Z441" s="2390"/>
      <c r="AA441" s="2460" t="s">
        <v>3378</v>
      </c>
      <c r="AB441" s="2968" t="s">
        <v>6131</v>
      </c>
      <c r="AC441" s="2969"/>
      <c r="AD441" s="2969"/>
      <c r="AE441" s="2969"/>
      <c r="AF441" s="2969"/>
      <c r="AG441" s="2970">
        <v>10</v>
      </c>
      <c r="AH441" s="2962">
        <v>10</v>
      </c>
      <c r="AI441" s="2970">
        <v>10</v>
      </c>
      <c r="AJ441" s="2970">
        <v>10</v>
      </c>
      <c r="AK441" s="2961">
        <v>10</v>
      </c>
      <c r="AL441" s="2961">
        <v>10</v>
      </c>
      <c r="AM441" s="2962">
        <v>10</v>
      </c>
      <c r="AN441" s="2390"/>
      <c r="AO441" s="2390"/>
      <c r="AP441" s="2390"/>
      <c r="AQ441" s="2390"/>
      <c r="AR441" s="2390"/>
      <c r="AS441" s="2460" t="s">
        <v>3378</v>
      </c>
      <c r="AT441" s="2968" t="s">
        <v>6131</v>
      </c>
      <c r="AU441" s="2969"/>
      <c r="AV441" s="2969"/>
      <c r="AW441" s="2969"/>
      <c r="AX441" s="2969"/>
      <c r="AY441" s="2963">
        <f>O323</f>
        <v>10</v>
      </c>
      <c r="AZ441" s="2967">
        <f>O323</f>
        <v>10</v>
      </c>
      <c r="BA441" s="2963">
        <f>O323</f>
        <v>10</v>
      </c>
      <c r="BB441" s="2964">
        <f>O323</f>
        <v>10</v>
      </c>
      <c r="BC441" s="2964">
        <f>O323</f>
        <v>10</v>
      </c>
      <c r="BD441" s="2964">
        <f>O323</f>
        <v>10</v>
      </c>
      <c r="BE441" s="2965">
        <f>O323</f>
        <v>10</v>
      </c>
      <c r="BF441" s="2966">
        <f>P323</f>
        <v>10</v>
      </c>
      <c r="BG441" s="2967">
        <f>P323</f>
        <v>10</v>
      </c>
      <c r="BH441" s="2963">
        <f>P323</f>
        <v>10</v>
      </c>
      <c r="BI441" s="2964">
        <f>P323</f>
        <v>10</v>
      </c>
      <c r="BJ441" s="2964">
        <f>P323</f>
        <v>10</v>
      </c>
      <c r="BK441" s="2964">
        <f>P323</f>
        <v>10</v>
      </c>
      <c r="BL441" s="2967">
        <f>P323</f>
        <v>10</v>
      </c>
      <c r="BM441" s="2390"/>
    </row>
    <row r="442" spans="1:65">
      <c r="A442" s="2390" t="s">
        <v>2513</v>
      </c>
      <c r="B442" s="2390"/>
      <c r="C442" s="2390"/>
      <c r="D442" s="2390"/>
      <c r="E442" s="2390"/>
      <c r="F442" s="2390"/>
      <c r="G442" s="2397" t="s">
        <v>1907</v>
      </c>
      <c r="H442" s="2340">
        <v>2019</v>
      </c>
      <c r="I442" s="2340" t="s">
        <v>4066</v>
      </c>
      <c r="J442" s="2390" t="s">
        <v>3034</v>
      </c>
      <c r="K442" s="2390"/>
      <c r="L442" s="2396"/>
      <c r="M442" s="2390"/>
      <c r="N442" s="2340"/>
      <c r="O442" s="2392">
        <v>1</v>
      </c>
      <c r="P442" s="2392"/>
      <c r="Q442" s="2390"/>
      <c r="R442" s="2390"/>
      <c r="S442" s="2390"/>
      <c r="Z442" s="2390"/>
      <c r="AA442" s="2460" t="s">
        <v>3379</v>
      </c>
      <c r="AB442" s="2968" t="s">
        <v>6551</v>
      </c>
      <c r="AC442" s="2969"/>
      <c r="AD442" s="2969"/>
      <c r="AE442" s="2969"/>
      <c r="AF442" s="2969"/>
      <c r="AG442" s="2970">
        <v>3</v>
      </c>
      <c r="AH442" s="2962">
        <v>3</v>
      </c>
      <c r="AI442" s="2970">
        <v>3</v>
      </c>
      <c r="AJ442" s="2970">
        <v>3</v>
      </c>
      <c r="AK442" s="2961">
        <v>3</v>
      </c>
      <c r="AL442" s="2961">
        <v>3</v>
      </c>
      <c r="AM442" s="2962">
        <v>3</v>
      </c>
      <c r="AN442" s="2390"/>
      <c r="AO442" s="2390"/>
      <c r="AP442" s="2390"/>
      <c r="AQ442" s="2390"/>
      <c r="AR442" s="2390"/>
      <c r="AS442" s="2460" t="s">
        <v>3379</v>
      </c>
      <c r="AT442" s="2968" t="s">
        <v>6551</v>
      </c>
      <c r="AU442" s="2969"/>
      <c r="AV442" s="2969"/>
      <c r="AW442" s="2969"/>
      <c r="AX442" s="2969"/>
      <c r="AY442" s="2963">
        <f>O332</f>
        <v>2</v>
      </c>
      <c r="AZ442" s="2967">
        <f>O332</f>
        <v>2</v>
      </c>
      <c r="BA442" s="2963">
        <f>O332</f>
        <v>2</v>
      </c>
      <c r="BB442" s="2964">
        <f>O332</f>
        <v>2</v>
      </c>
      <c r="BC442" s="2964">
        <f>O332</f>
        <v>2</v>
      </c>
      <c r="BD442" s="2964">
        <f>O332</f>
        <v>2</v>
      </c>
      <c r="BE442" s="2965">
        <f>O332</f>
        <v>2</v>
      </c>
      <c r="BF442" s="2966">
        <f>P332</f>
        <v>2</v>
      </c>
      <c r="BG442" s="2967">
        <f>P332</f>
        <v>2</v>
      </c>
      <c r="BH442" s="2963">
        <f>P332</f>
        <v>2</v>
      </c>
      <c r="BI442" s="2964">
        <f>P332</f>
        <v>2</v>
      </c>
      <c r="BJ442" s="2964">
        <f>P332</f>
        <v>2</v>
      </c>
      <c r="BK442" s="2964">
        <f>P332</f>
        <v>2</v>
      </c>
      <c r="BL442" s="2967">
        <f>P332</f>
        <v>2</v>
      </c>
      <c r="BM442" s="2390"/>
    </row>
    <row r="443" spans="1:65">
      <c r="A443" s="2396" t="s">
        <v>3005</v>
      </c>
      <c r="B443" s="2390"/>
      <c r="C443" s="2390"/>
      <c r="D443" s="2396"/>
      <c r="E443" s="2396">
        <v>3</v>
      </c>
      <c r="F443" s="2390"/>
      <c r="G443" s="2397" t="s">
        <v>322</v>
      </c>
      <c r="H443" s="2340">
        <v>2019</v>
      </c>
      <c r="I443" s="2340" t="s">
        <v>4066</v>
      </c>
      <c r="J443" s="2390"/>
      <c r="K443" s="2390"/>
      <c r="L443" s="2396"/>
      <c r="M443" s="2390"/>
      <c r="N443" s="2340"/>
      <c r="O443" s="2392"/>
      <c r="P443" s="2392"/>
      <c r="Q443" s="2390"/>
      <c r="R443" s="2390"/>
      <c r="S443" s="2390"/>
      <c r="Z443" s="2390"/>
      <c r="AA443" s="2460" t="s">
        <v>3380</v>
      </c>
      <c r="AB443" s="2968" t="s">
        <v>6132</v>
      </c>
      <c r="AC443" s="2969"/>
      <c r="AD443" s="2969"/>
      <c r="AE443" s="2969"/>
      <c r="AF443" s="2969"/>
      <c r="AG443" s="2970"/>
      <c r="AH443" s="2962"/>
      <c r="AI443" s="2970">
        <v>6</v>
      </c>
      <c r="AJ443" s="2970">
        <v>6</v>
      </c>
      <c r="AK443" s="2961">
        <v>6</v>
      </c>
      <c r="AL443" s="2961">
        <v>6</v>
      </c>
      <c r="AM443" s="2962">
        <v>6</v>
      </c>
      <c r="AN443" s="2390"/>
      <c r="AO443" s="2390"/>
      <c r="AP443" s="2390"/>
      <c r="AQ443" s="2390"/>
      <c r="AR443" s="2390"/>
      <c r="AS443" s="2460" t="s">
        <v>3380</v>
      </c>
      <c r="AT443" s="2968" t="s">
        <v>6132</v>
      </c>
      <c r="AU443" s="2969"/>
      <c r="AV443" s="2969"/>
      <c r="AW443" s="2969"/>
      <c r="AX443" s="2969"/>
      <c r="AY443" s="2970"/>
      <c r="AZ443" s="2962"/>
      <c r="BA443" s="2963">
        <f>O345</f>
        <v>6</v>
      </c>
      <c r="BB443" s="2964">
        <f>O345</f>
        <v>6</v>
      </c>
      <c r="BC443" s="2964">
        <f>O345</f>
        <v>6</v>
      </c>
      <c r="BD443" s="2964">
        <f>O345</f>
        <v>6</v>
      </c>
      <c r="BE443" s="2965">
        <f>O345</f>
        <v>6</v>
      </c>
      <c r="BF443" s="2976"/>
      <c r="BG443" s="2962"/>
      <c r="BH443" s="2963">
        <f>P345</f>
        <v>0</v>
      </c>
      <c r="BI443" s="2964">
        <f>P345</f>
        <v>0</v>
      </c>
      <c r="BJ443" s="2964">
        <f>P345</f>
        <v>0</v>
      </c>
      <c r="BK443" s="2964">
        <f>P345</f>
        <v>0</v>
      </c>
      <c r="BL443" s="2967">
        <f>P345</f>
        <v>0</v>
      </c>
      <c r="BM443" s="2390"/>
    </row>
    <row r="444" spans="1:65">
      <c r="A444" s="2396" t="s">
        <v>3006</v>
      </c>
      <c r="B444" s="2390"/>
      <c r="C444" s="2390"/>
      <c r="D444" s="2396"/>
      <c r="E444" s="2396">
        <v>2</v>
      </c>
      <c r="F444" s="2390"/>
      <c r="G444" s="2397" t="s">
        <v>815</v>
      </c>
      <c r="H444" s="2340">
        <v>2019</v>
      </c>
      <c r="I444" s="2340" t="s">
        <v>4066</v>
      </c>
      <c r="J444" s="2390"/>
      <c r="K444" s="2390"/>
      <c r="L444" s="2396"/>
      <c r="M444" s="2390"/>
      <c r="N444" s="2340"/>
      <c r="O444" s="2392"/>
      <c r="P444" s="2392"/>
      <c r="Q444" s="2390"/>
      <c r="R444" s="2390"/>
      <c r="S444" s="2390"/>
      <c r="Z444" s="2390"/>
      <c r="AA444" s="2460" t="s">
        <v>3381</v>
      </c>
      <c r="AB444" s="2968" t="s">
        <v>6915</v>
      </c>
      <c r="AC444" s="2969"/>
      <c r="AD444" s="2969"/>
      <c r="AE444" s="2969"/>
      <c r="AF444" s="2969"/>
      <c r="AG444" s="2970"/>
      <c r="AH444" s="2962"/>
      <c r="AI444" s="2970">
        <v>6</v>
      </c>
      <c r="AJ444" s="2970"/>
      <c r="AK444" s="2961">
        <v>6</v>
      </c>
      <c r="AL444" s="2961">
        <v>6</v>
      </c>
      <c r="AM444" s="2962">
        <v>6</v>
      </c>
      <c r="AN444" s="2390"/>
      <c r="AO444" s="2390"/>
      <c r="AP444" s="2390"/>
      <c r="AQ444" s="2390"/>
      <c r="AR444" s="2390"/>
      <c r="AS444" s="2460" t="s">
        <v>3381</v>
      </c>
      <c r="AT444" s="2968" t="s">
        <v>6915</v>
      </c>
      <c r="AU444" s="2969"/>
      <c r="AV444" s="2969"/>
      <c r="AW444" s="2969"/>
      <c r="AX444" s="2969"/>
      <c r="AY444" s="2970"/>
      <c r="AZ444" s="2962"/>
      <c r="BA444" s="2963"/>
      <c r="BB444" s="2964"/>
      <c r="BC444" s="2964"/>
      <c r="BD444" s="2964"/>
      <c r="BE444" s="2965"/>
      <c r="BF444" s="2976"/>
      <c r="BG444" s="2962"/>
      <c r="BH444" s="2963">
        <f>P352</f>
        <v>0</v>
      </c>
      <c r="BI444" s="2964"/>
      <c r="BJ444" s="2964">
        <f>P352</f>
        <v>0</v>
      </c>
      <c r="BK444" s="2964">
        <f>P352</f>
        <v>0</v>
      </c>
      <c r="BL444" s="2967">
        <f>P352</f>
        <v>0</v>
      </c>
      <c r="BM444" s="2390"/>
    </row>
    <row r="445" spans="1:65">
      <c r="A445" s="2396" t="s">
        <v>3007</v>
      </c>
      <c r="B445" s="2390"/>
      <c r="C445" s="2390"/>
      <c r="D445" s="2396"/>
      <c r="E445" s="2396">
        <v>10</v>
      </c>
      <c r="F445" s="2390"/>
      <c r="G445" s="2397" t="s">
        <v>1789</v>
      </c>
      <c r="H445" s="2340">
        <v>2019</v>
      </c>
      <c r="I445" s="2340" t="s">
        <v>4066</v>
      </c>
      <c r="J445" s="2398" t="s">
        <v>3261</v>
      </c>
      <c r="K445" s="2390"/>
      <c r="L445" s="2396"/>
      <c r="M445" s="2390"/>
      <c r="N445" s="2340"/>
      <c r="O445" s="2392"/>
      <c r="P445" s="2392"/>
      <c r="Q445" s="2390"/>
      <c r="R445" s="2390"/>
      <c r="S445" s="2390"/>
      <c r="Z445" s="2390"/>
      <c r="AA445" s="2460" t="s">
        <v>3803</v>
      </c>
      <c r="AB445" s="2968" t="s">
        <v>6553</v>
      </c>
      <c r="AC445" s="2969"/>
      <c r="AD445" s="2969"/>
      <c r="AE445" s="2969"/>
      <c r="AF445" s="2969"/>
      <c r="AG445" s="2970"/>
      <c r="AH445" s="2962"/>
      <c r="AI445" s="2970">
        <v>4</v>
      </c>
      <c r="AJ445" s="2970">
        <v>4</v>
      </c>
      <c r="AK445" s="2961">
        <v>4</v>
      </c>
      <c r="AL445" s="2961">
        <v>4</v>
      </c>
      <c r="AM445" s="2962">
        <v>4</v>
      </c>
      <c r="AN445" s="2390"/>
      <c r="AO445" s="2390"/>
      <c r="AP445" s="2390"/>
      <c r="AQ445" s="2390"/>
      <c r="AR445" s="2390"/>
      <c r="AS445" s="2460" t="s">
        <v>3803</v>
      </c>
      <c r="AT445" s="2968" t="s">
        <v>6553</v>
      </c>
      <c r="AU445" s="2969"/>
      <c r="AV445" s="2969"/>
      <c r="AW445" s="2969"/>
      <c r="AX445" s="2969"/>
      <c r="AY445" s="2970"/>
      <c r="AZ445" s="2962"/>
      <c r="BA445" s="2963">
        <f>O358</f>
        <v>0</v>
      </c>
      <c r="BB445" s="2964">
        <f>O358</f>
        <v>0</v>
      </c>
      <c r="BC445" s="2964">
        <f>O358</f>
        <v>0</v>
      </c>
      <c r="BD445" s="2964">
        <f>O358</f>
        <v>0</v>
      </c>
      <c r="BE445" s="2965">
        <f>O358</f>
        <v>0</v>
      </c>
      <c r="BF445" s="2976"/>
      <c r="BG445" s="2962"/>
      <c r="BH445" s="2963">
        <f>P358</f>
        <v>0</v>
      </c>
      <c r="BI445" s="2964">
        <f>P358</f>
        <v>0</v>
      </c>
      <c r="BJ445" s="2964">
        <f>P358</f>
        <v>0</v>
      </c>
      <c r="BK445" s="2964">
        <f>P358</f>
        <v>0</v>
      </c>
      <c r="BL445" s="2967">
        <f>P358</f>
        <v>0</v>
      </c>
      <c r="BM445" s="2390"/>
    </row>
    <row r="446" spans="1:65">
      <c r="A446" s="2396" t="s">
        <v>2514</v>
      </c>
      <c r="B446" s="2390"/>
      <c r="C446" s="2390"/>
      <c r="D446" s="2396"/>
      <c r="E446" s="2396"/>
      <c r="F446" s="2390"/>
      <c r="G446" s="2397" t="s">
        <v>395</v>
      </c>
      <c r="H446" s="2340">
        <v>2019</v>
      </c>
      <c r="I446" s="2340" t="s">
        <v>4066</v>
      </c>
      <c r="J446" s="2390" t="s">
        <v>3337</v>
      </c>
      <c r="K446" s="2390"/>
      <c r="L446" s="2396"/>
      <c r="M446" s="2390"/>
      <c r="N446" s="2340"/>
      <c r="O446" s="2392"/>
      <c r="P446" s="2392"/>
      <c r="Q446" s="2390"/>
      <c r="R446" s="2390"/>
      <c r="S446" s="2390"/>
      <c r="Z446" s="2390"/>
      <c r="AA446" s="2460" t="s">
        <v>6556</v>
      </c>
      <c r="AB446" s="2989" t="s">
        <v>6554</v>
      </c>
      <c r="AC446" s="2994"/>
      <c r="AD446" s="2994"/>
      <c r="AE446" s="2994"/>
      <c r="AF446" s="2994"/>
      <c r="AG446" s="2995"/>
      <c r="AH446" s="2996"/>
      <c r="AI446" s="2995">
        <v>6</v>
      </c>
      <c r="AJ446" s="2995">
        <v>6</v>
      </c>
      <c r="AK446" s="2997">
        <v>6</v>
      </c>
      <c r="AL446" s="2997">
        <v>6</v>
      </c>
      <c r="AM446" s="2996">
        <v>6</v>
      </c>
      <c r="AN446" s="2390"/>
      <c r="AO446" s="2390"/>
      <c r="AP446" s="2390"/>
      <c r="AQ446" s="2390"/>
      <c r="AR446" s="2390"/>
      <c r="AS446" s="2460" t="s">
        <v>6556</v>
      </c>
      <c r="AT446" s="2989" t="s">
        <v>6554</v>
      </c>
      <c r="AU446" s="2994"/>
      <c r="AV446" s="2994"/>
      <c r="AW446" s="2994"/>
      <c r="AX446" s="2994"/>
      <c r="AY446" s="2995"/>
      <c r="AZ446" s="2998"/>
      <c r="BA446" s="2963">
        <f>O365</f>
        <v>6</v>
      </c>
      <c r="BB446" s="2964">
        <f>O365</f>
        <v>6</v>
      </c>
      <c r="BC446" s="2999">
        <f>O365</f>
        <v>6</v>
      </c>
      <c r="BD446" s="2999">
        <f>O365</f>
        <v>6</v>
      </c>
      <c r="BE446" s="3000">
        <f>O365</f>
        <v>6</v>
      </c>
      <c r="BF446" s="3001"/>
      <c r="BG446" s="2998"/>
      <c r="BH446" s="2963">
        <f>P365</f>
        <v>0</v>
      </c>
      <c r="BI446" s="2964">
        <f>P365</f>
        <v>0</v>
      </c>
      <c r="BJ446" s="2999">
        <f>P365</f>
        <v>0</v>
      </c>
      <c r="BK446" s="2999">
        <f>P365</f>
        <v>0</v>
      </c>
      <c r="BL446" s="2998">
        <f>P365</f>
        <v>0</v>
      </c>
      <c r="BM446" s="2390"/>
    </row>
    <row r="447" spans="1:65">
      <c r="B447" s="2390"/>
      <c r="C447" s="2396"/>
      <c r="D447" s="2390"/>
      <c r="E447" s="2390"/>
      <c r="F447" s="2390"/>
      <c r="G447" s="2397" t="s">
        <v>921</v>
      </c>
      <c r="H447" s="2340">
        <v>2020</v>
      </c>
      <c r="I447" s="2340" t="s">
        <v>4066</v>
      </c>
      <c r="J447" s="2390" t="s">
        <v>3332</v>
      </c>
      <c r="K447" s="2390"/>
      <c r="L447" s="2396"/>
      <c r="M447" s="2390"/>
      <c r="N447" s="2340"/>
      <c r="O447" s="2392"/>
      <c r="P447" s="2392"/>
      <c r="Q447" s="2390"/>
      <c r="R447" s="2390"/>
      <c r="S447" s="2390"/>
      <c r="Z447" s="2390"/>
      <c r="AA447" s="2460" t="s">
        <v>6917</v>
      </c>
      <c r="AB447" s="3002" t="s">
        <v>6926</v>
      </c>
      <c r="AC447" s="3003"/>
      <c r="AD447" s="3003"/>
      <c r="AE447" s="3003"/>
      <c r="AF447" s="3003"/>
      <c r="AG447" s="3004"/>
      <c r="AH447" s="3005"/>
      <c r="AI447" s="3006"/>
      <c r="AJ447" s="3004">
        <v>16</v>
      </c>
      <c r="AK447" s="3007"/>
      <c r="AL447" s="3007"/>
      <c r="AM447" s="3008"/>
      <c r="AN447" s="2390"/>
      <c r="AO447" s="2390"/>
      <c r="AP447" s="2390"/>
      <c r="AQ447" s="2390"/>
      <c r="AR447" s="2390"/>
      <c r="AS447" s="2460" t="s">
        <v>6917</v>
      </c>
      <c r="AT447" s="3002" t="s">
        <v>6926</v>
      </c>
      <c r="AU447" s="3003"/>
      <c r="AV447" s="3003"/>
      <c r="AW447" s="3003"/>
      <c r="AX447" s="3003"/>
      <c r="AY447" s="3004"/>
      <c r="AZ447" s="3009"/>
      <c r="BA447" s="3010"/>
      <c r="BB447" s="3011">
        <f>O374</f>
        <v>6</v>
      </c>
      <c r="BC447" s="3011"/>
      <c r="BD447" s="3011"/>
      <c r="BE447" s="3012"/>
      <c r="BF447" s="3013"/>
      <c r="BG447" s="3014"/>
      <c r="BH447" s="3010"/>
      <c r="BI447" s="3011">
        <f>P374</f>
        <v>0</v>
      </c>
      <c r="BJ447" s="3011"/>
      <c r="BK447" s="3011"/>
      <c r="BL447" s="3014"/>
      <c r="BM447" s="2390"/>
    </row>
    <row r="448" spans="1:65">
      <c r="B448" s="2390"/>
      <c r="C448" s="2396"/>
      <c r="D448" s="2390"/>
      <c r="E448" s="2390"/>
      <c r="F448" s="2390"/>
      <c r="G448" s="2397" t="s">
        <v>532</v>
      </c>
      <c r="H448" s="2340">
        <v>2020</v>
      </c>
      <c r="I448" s="2340" t="s">
        <v>4066</v>
      </c>
      <c r="J448" s="2390" t="s">
        <v>3254</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c r="B449" s="2390"/>
      <c r="C449" s="2396"/>
      <c r="D449" s="2390"/>
      <c r="E449" s="2390"/>
      <c r="F449" s="2390"/>
      <c r="G449" s="2397" t="s">
        <v>809</v>
      </c>
      <c r="H449" s="2340" t="s">
        <v>4067</v>
      </c>
      <c r="I449" s="2395" t="s">
        <v>2453</v>
      </c>
      <c r="J449" s="2390" t="s">
        <v>3328</v>
      </c>
      <c r="K449" s="2390"/>
      <c r="L449" s="2396"/>
      <c r="M449" s="2390"/>
      <c r="N449" s="2340"/>
      <c r="O449" s="2392"/>
      <c r="P449" s="2392"/>
      <c r="Q449" s="2390"/>
      <c r="R449" s="2390"/>
      <c r="S449" s="2390"/>
      <c r="Z449" s="2390"/>
      <c r="AA449" s="2197"/>
      <c r="AB449" s="2462"/>
      <c r="AC449" s="2197"/>
      <c r="AD449" s="2196" t="s">
        <v>6244</v>
      </c>
      <c r="AE449" s="2197"/>
      <c r="AF449" s="2197"/>
      <c r="AG449" s="2463"/>
      <c r="AH449" s="2464">
        <f>IF(AND($O$36="4%",($C$36-$A$36)&gt;0),(SUM(AH420:AH447)-($C$36-$A$36)),SUM(AH420:AH447))</f>
        <v>91</v>
      </c>
      <c r="AI449" s="2464">
        <f>IF(AND($O$36="4%",($C$36-$A$36)&gt;0),(SUM(AI420:AI447)-($C$36-$A$36)),SUM(AI420:AI447))</f>
        <v>55</v>
      </c>
      <c r="AJ449" s="2464">
        <f>IF(AND($O$36="4%",($C$36-$A$36)&gt;0),(SUM(AJ420:AJ447)-($C$36-$A$36)),SUM(AJ420:AJ447))</f>
        <v>65</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26</v>
      </c>
      <c r="AZ449" s="2464">
        <f>IF(AND($O$36="4%",($C$36-$A$36)&gt;0),(SUM(AZ420:AZ447)-($C$36-$A$36)),SUM(AZ420:AZ447))</f>
        <v>26</v>
      </c>
      <c r="BA449" s="2464">
        <f t="shared" ref="BA449:BB449" si="3">IF(AND($O$36="4%",($C$36-$A$36)&gt;0),(SUM(BA420:BA447)-($C$36-$A$36)),SUM(BA420:BA447))</f>
        <v>38</v>
      </c>
      <c r="BB449" s="2464">
        <f t="shared" si="3"/>
        <v>44</v>
      </c>
      <c r="BC449" s="2464">
        <f t="shared" ref="BC449:BL449" si="4">SUM(BC420:BC447)</f>
        <v>38</v>
      </c>
      <c r="BD449" s="2464">
        <f t="shared" si="4"/>
        <v>38</v>
      </c>
      <c r="BE449" s="2464">
        <f t="shared" si="4"/>
        <v>38</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c r="B450" s="2390"/>
      <c r="C450" s="2396"/>
      <c r="D450" s="2390"/>
      <c r="E450" s="2390"/>
      <c r="F450" s="2390"/>
      <c r="G450" s="2397" t="s">
        <v>3019</v>
      </c>
      <c r="H450" s="2340">
        <v>2019</v>
      </c>
      <c r="I450" s="2340" t="s">
        <v>4066</v>
      </c>
      <c r="J450" s="2390" t="s">
        <v>3255</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c r="B451" s="2390"/>
      <c r="C451" s="2390"/>
      <c r="D451" s="2390"/>
      <c r="E451" s="2390"/>
      <c r="F451" s="2390"/>
      <c r="G451" s="2397" t="s">
        <v>764</v>
      </c>
      <c r="H451" s="2340">
        <v>2019</v>
      </c>
      <c r="I451" s="2340" t="s">
        <v>4066</v>
      </c>
      <c r="J451" s="2390" t="s">
        <v>3329</v>
      </c>
      <c r="K451" s="2390"/>
      <c r="L451" s="2396"/>
      <c r="M451" s="2390"/>
      <c r="N451" s="2340"/>
      <c r="O451" s="2392"/>
      <c r="P451" s="2392"/>
      <c r="Q451" s="2390"/>
      <c r="R451" s="2390"/>
      <c r="S451" s="2390"/>
    </row>
    <row r="452" spans="2:65">
      <c r="B452" s="2390"/>
      <c r="C452" s="2390"/>
      <c r="D452" s="2390"/>
      <c r="E452" s="2390"/>
      <c r="F452" s="2390"/>
      <c r="G452" s="2397" t="s">
        <v>172</v>
      </c>
      <c r="H452" s="2340">
        <v>2019</v>
      </c>
      <c r="I452" s="2340" t="s">
        <v>4066</v>
      </c>
      <c r="J452" s="2390" t="s">
        <v>3256</v>
      </c>
      <c r="K452" s="2390"/>
      <c r="L452" s="2390"/>
      <c r="M452" s="2390"/>
      <c r="N452" s="2340"/>
      <c r="O452" s="2392"/>
      <c r="P452" s="2392"/>
      <c r="Q452" s="2390"/>
      <c r="R452" s="2390"/>
      <c r="S452" s="2390"/>
    </row>
    <row r="453" spans="2:65">
      <c r="B453" s="2390"/>
      <c r="C453" s="2390"/>
      <c r="D453" s="2390"/>
      <c r="E453" s="2390"/>
      <c r="F453" s="2390"/>
      <c r="G453" s="2397" t="s">
        <v>3346</v>
      </c>
      <c r="H453" s="2340" t="s">
        <v>4067</v>
      </c>
      <c r="I453" s="2395" t="s">
        <v>2453</v>
      </c>
      <c r="J453" s="2390" t="s">
        <v>3330</v>
      </c>
      <c r="K453" s="2390"/>
      <c r="L453" s="2396"/>
      <c r="M453" s="2390"/>
      <c r="N453" s="2340"/>
      <c r="O453" s="2392"/>
      <c r="P453" s="2392"/>
      <c r="Q453" s="2390"/>
      <c r="R453" s="2390"/>
      <c r="S453" s="2390"/>
    </row>
    <row r="454" spans="2:65">
      <c r="B454" s="2390"/>
      <c r="C454" s="2390"/>
      <c r="D454" s="2390"/>
      <c r="E454" s="2390"/>
      <c r="F454" s="2390"/>
      <c r="G454" s="2397" t="s">
        <v>507</v>
      </c>
      <c r="H454" s="2340">
        <v>2020</v>
      </c>
      <c r="I454" s="2340" t="s">
        <v>4066</v>
      </c>
      <c r="J454" s="2390" t="s">
        <v>3333</v>
      </c>
      <c r="K454" s="2390"/>
      <c r="L454" s="2396"/>
      <c r="M454" s="2390"/>
      <c r="N454" s="2390"/>
      <c r="O454" s="2390"/>
      <c r="P454" s="2390"/>
      <c r="Q454" s="2390"/>
      <c r="R454" s="2390"/>
      <c r="S454" s="2390"/>
    </row>
    <row r="455" spans="2:65">
      <c r="B455" s="2390"/>
      <c r="C455" s="2390"/>
      <c r="D455" s="2390"/>
      <c r="E455" s="2390"/>
      <c r="F455" s="2390"/>
      <c r="G455" s="2397" t="s">
        <v>376</v>
      </c>
      <c r="H455" s="2340">
        <v>2020</v>
      </c>
      <c r="I455" s="2340" t="s">
        <v>4066</v>
      </c>
      <c r="J455" s="2390" t="s">
        <v>3336</v>
      </c>
      <c r="K455" s="2390"/>
      <c r="L455" s="2390"/>
      <c r="M455" s="2390"/>
      <c r="N455" s="2390"/>
      <c r="O455" s="2390"/>
      <c r="P455" s="2390"/>
      <c r="Q455" s="2390"/>
      <c r="R455" s="2390"/>
      <c r="S455" s="2390"/>
    </row>
    <row r="456" spans="2:65">
      <c r="B456" s="2390"/>
      <c r="C456" s="2390"/>
      <c r="D456" s="2399"/>
      <c r="E456" s="2390"/>
      <c r="F456" s="2390"/>
      <c r="G456" s="2397" t="s">
        <v>1349</v>
      </c>
      <c r="H456" s="2340" t="s">
        <v>4067</v>
      </c>
      <c r="I456" s="2395" t="s">
        <v>2453</v>
      </c>
      <c r="J456" s="2390" t="s">
        <v>3257</v>
      </c>
      <c r="K456" s="2390"/>
      <c r="L456" s="2396"/>
      <c r="M456" s="2390"/>
      <c r="N456" s="2390"/>
      <c r="O456" s="2390"/>
      <c r="P456" s="2390"/>
      <c r="Q456" s="2390"/>
      <c r="R456" s="2390"/>
      <c r="S456" s="2390"/>
    </row>
    <row r="457" spans="2:65">
      <c r="B457" s="2390"/>
      <c r="C457" s="2390"/>
      <c r="D457" s="2399"/>
      <c r="E457" s="2390"/>
      <c r="F457" s="2390"/>
      <c r="G457" s="2397" t="s">
        <v>1707</v>
      </c>
      <c r="H457" s="2340" t="s">
        <v>4067</v>
      </c>
      <c r="I457" s="2395" t="s">
        <v>2453</v>
      </c>
      <c r="J457" s="2390" t="s">
        <v>3258</v>
      </c>
      <c r="K457" s="2390"/>
      <c r="L457" s="2396"/>
      <c r="M457" s="2390"/>
      <c r="N457" s="2390"/>
      <c r="O457" s="2390"/>
      <c r="P457" s="2390"/>
      <c r="Q457" s="2390"/>
      <c r="R457" s="2390"/>
      <c r="S457" s="2390"/>
    </row>
    <row r="458" spans="2:65">
      <c r="B458" s="2390"/>
      <c r="C458" s="2390"/>
      <c r="D458" s="2390"/>
      <c r="E458" s="2390"/>
      <c r="F458" s="2390"/>
      <c r="G458" s="2397" t="s">
        <v>1969</v>
      </c>
      <c r="H458" s="2340">
        <v>2020</v>
      </c>
      <c r="I458" s="2340" t="s">
        <v>4066</v>
      </c>
      <c r="J458" s="2390" t="s">
        <v>3331</v>
      </c>
      <c r="K458" s="2390"/>
      <c r="L458" s="2396"/>
      <c r="M458" s="2390"/>
      <c r="N458" s="2390"/>
      <c r="O458" s="2390"/>
      <c r="P458" s="2390"/>
      <c r="Q458" s="2390"/>
      <c r="R458" s="2390"/>
      <c r="S458" s="2390"/>
    </row>
    <row r="459" spans="2:65">
      <c r="B459" s="2390"/>
      <c r="C459" s="2390"/>
      <c r="D459" s="2390"/>
      <c r="E459" s="2390"/>
      <c r="F459" s="2390"/>
      <c r="G459" s="2397" t="s">
        <v>1352</v>
      </c>
      <c r="H459" s="2340">
        <v>2019</v>
      </c>
      <c r="I459" s="2340" t="s">
        <v>4066</v>
      </c>
      <c r="J459" s="2390" t="s">
        <v>3334</v>
      </c>
      <c r="K459" s="2390"/>
      <c r="L459" s="2390"/>
      <c r="M459" s="2390"/>
      <c r="N459" s="2390"/>
      <c r="O459" s="2390"/>
      <c r="P459" s="2390"/>
      <c r="Q459" s="2390"/>
      <c r="R459" s="2390"/>
      <c r="S459" s="2390"/>
    </row>
    <row r="460" spans="2:65">
      <c r="B460" s="2390"/>
      <c r="C460" s="2390"/>
      <c r="D460" s="2390"/>
      <c r="E460" s="2390"/>
      <c r="F460" s="2390"/>
      <c r="G460" s="2397" t="s">
        <v>235</v>
      </c>
      <c r="H460" s="2340">
        <v>2019</v>
      </c>
      <c r="I460" s="2340" t="s">
        <v>4066</v>
      </c>
      <c r="J460" s="2390" t="s">
        <v>3335</v>
      </c>
      <c r="K460" s="2390"/>
      <c r="L460" s="2396"/>
      <c r="M460" s="2390"/>
      <c r="N460" s="2390"/>
      <c r="O460" s="2390"/>
      <c r="P460" s="2390"/>
      <c r="Q460" s="2390"/>
      <c r="R460" s="2390"/>
      <c r="S460" s="2390"/>
    </row>
    <row r="461" spans="2:65">
      <c r="B461" s="2390"/>
      <c r="C461" s="2390"/>
      <c r="D461" s="2390"/>
      <c r="E461" s="2390"/>
      <c r="F461" s="2390"/>
      <c r="G461" s="2397" t="s">
        <v>978</v>
      </c>
      <c r="H461" s="2340">
        <v>2020</v>
      </c>
      <c r="I461" s="2340" t="s">
        <v>4066</v>
      </c>
      <c r="J461" s="2390" t="s">
        <v>3259</v>
      </c>
      <c r="K461" s="2390"/>
      <c r="L461" s="2396"/>
      <c r="M461" s="2390"/>
      <c r="N461" s="2390"/>
      <c r="O461" s="2390"/>
      <c r="P461" s="2390"/>
      <c r="Q461" s="2390"/>
      <c r="R461" s="2390"/>
      <c r="S461" s="2390"/>
    </row>
    <row r="462" spans="2:65">
      <c r="B462" s="2390"/>
      <c r="C462" s="2399"/>
      <c r="D462" s="2390"/>
      <c r="E462" s="2390"/>
      <c r="F462" s="2390"/>
      <c r="G462" s="2397" t="s">
        <v>2096</v>
      </c>
      <c r="H462" s="2340">
        <v>2020</v>
      </c>
      <c r="I462" s="2340" t="s">
        <v>4066</v>
      </c>
      <c r="J462" s="2390" t="s">
        <v>3260</v>
      </c>
      <c r="K462" s="2390"/>
      <c r="L462" s="2396"/>
      <c r="M462" s="2390"/>
      <c r="N462" s="2390"/>
      <c r="O462" s="2390"/>
      <c r="P462" s="2390"/>
      <c r="Q462" s="2390"/>
      <c r="R462" s="2390"/>
      <c r="S462" s="2390"/>
    </row>
    <row r="463" spans="2:65">
      <c r="B463" s="2390"/>
      <c r="C463" s="2399"/>
      <c r="D463" s="2390"/>
      <c r="E463" s="2390"/>
      <c r="F463" s="2390"/>
      <c r="G463" s="2397" t="s">
        <v>4061</v>
      </c>
      <c r="H463" s="2340" t="s">
        <v>4067</v>
      </c>
      <c r="I463" s="2395" t="s">
        <v>2453</v>
      </c>
      <c r="J463" s="2390"/>
      <c r="K463" s="2390"/>
      <c r="L463" s="2396"/>
      <c r="M463" s="2390"/>
      <c r="N463" s="2390"/>
      <c r="O463" s="2390"/>
      <c r="P463" s="2390"/>
      <c r="Q463" s="2390"/>
      <c r="R463" s="2390"/>
      <c r="S463" s="2390"/>
    </row>
    <row r="464" spans="2:65">
      <c r="B464" s="2390"/>
      <c r="C464" s="2399"/>
      <c r="D464" s="2390"/>
      <c r="E464" s="2390"/>
      <c r="F464" s="2390"/>
      <c r="G464" s="2397" t="s">
        <v>1749</v>
      </c>
      <c r="H464" s="2340" t="s">
        <v>4067</v>
      </c>
      <c r="I464" s="2395" t="s">
        <v>2453</v>
      </c>
      <c r="J464" s="2390"/>
      <c r="K464" s="2390"/>
      <c r="L464" s="2396"/>
      <c r="M464" s="2390"/>
      <c r="N464" s="2390"/>
      <c r="O464" s="2390"/>
      <c r="P464" s="2390"/>
      <c r="Q464" s="2390"/>
      <c r="R464" s="2390"/>
      <c r="S464" s="2390"/>
    </row>
    <row r="465" spans="2:19">
      <c r="B465" s="2390"/>
      <c r="C465" s="2399"/>
      <c r="D465" s="2390"/>
      <c r="E465" s="2390"/>
      <c r="F465" s="2390"/>
      <c r="G465" s="2397" t="s">
        <v>472</v>
      </c>
      <c r="H465" s="2340" t="s">
        <v>4067</v>
      </c>
      <c r="I465" s="2395" t="s">
        <v>2453</v>
      </c>
      <c r="J465" s="2390"/>
      <c r="K465" s="2390"/>
      <c r="L465" s="2396"/>
      <c r="M465" s="2390"/>
      <c r="N465" s="2390"/>
      <c r="O465" s="2390"/>
      <c r="P465" s="2390"/>
      <c r="Q465" s="2390"/>
      <c r="R465" s="2390"/>
      <c r="S465" s="2390"/>
    </row>
    <row r="466" spans="2:19">
      <c r="B466" s="2390"/>
      <c r="C466" s="2399"/>
      <c r="D466" s="2390"/>
      <c r="E466" s="2390"/>
      <c r="F466" s="2390"/>
      <c r="G466" s="2397" t="s">
        <v>1951</v>
      </c>
      <c r="H466" s="2340" t="s">
        <v>4067</v>
      </c>
      <c r="I466" s="2395" t="s">
        <v>2453</v>
      </c>
      <c r="J466" s="2390"/>
      <c r="K466" s="2390"/>
      <c r="L466" s="2396"/>
      <c r="M466" s="2390"/>
      <c r="N466" s="2390"/>
      <c r="O466" s="2390"/>
      <c r="P466" s="2390"/>
      <c r="Q466" s="2390"/>
      <c r="R466" s="2390"/>
      <c r="S466" s="2390"/>
    </row>
    <row r="467" spans="2:19">
      <c r="B467" s="2390"/>
      <c r="C467" s="2399"/>
      <c r="D467" s="2390"/>
      <c r="E467" s="2390"/>
      <c r="F467" s="2390"/>
      <c r="G467" s="2397" t="s">
        <v>2088</v>
      </c>
      <c r="H467" s="2340">
        <v>2020</v>
      </c>
      <c r="I467" s="2340" t="s">
        <v>4066</v>
      </c>
      <c r="J467" s="2390"/>
      <c r="K467" s="2390"/>
      <c r="L467" s="2396"/>
      <c r="M467" s="2390"/>
      <c r="N467" s="2390"/>
      <c r="O467" s="2390"/>
      <c r="P467" s="2390"/>
      <c r="Q467" s="2390"/>
      <c r="R467" s="2390"/>
      <c r="S467" s="2390"/>
    </row>
    <row r="468" spans="2:19">
      <c r="B468" s="2390"/>
      <c r="C468" s="2399"/>
      <c r="D468" s="2390"/>
      <c r="E468" s="2390"/>
      <c r="F468" s="2390"/>
      <c r="G468" s="2397" t="s">
        <v>1974</v>
      </c>
      <c r="H468" s="2340">
        <v>2020</v>
      </c>
      <c r="I468" s="2340" t="s">
        <v>4066</v>
      </c>
      <c r="J468" s="2390"/>
      <c r="K468" s="2390"/>
      <c r="L468" s="2390"/>
      <c r="M468" s="2390"/>
      <c r="N468" s="2390"/>
      <c r="O468" s="2390"/>
      <c r="P468" s="2390"/>
      <c r="Q468" s="2390"/>
      <c r="R468" s="2390"/>
      <c r="S468" s="2390"/>
    </row>
    <row r="469" spans="2:19">
      <c r="B469" s="2390"/>
      <c r="C469" s="2390"/>
      <c r="D469" s="2390"/>
      <c r="E469" s="2390"/>
      <c r="F469" s="2390"/>
      <c r="G469" s="2397" t="s">
        <v>2154</v>
      </c>
      <c r="H469" s="2340">
        <v>2019</v>
      </c>
      <c r="I469" s="2340" t="s">
        <v>4066</v>
      </c>
      <c r="J469" s="2390"/>
      <c r="K469" s="2390"/>
      <c r="L469" s="2390"/>
      <c r="M469" s="2390"/>
      <c r="N469" s="2390"/>
      <c r="O469" s="2390"/>
      <c r="P469" s="2390"/>
      <c r="Q469" s="2390"/>
      <c r="R469" s="2390"/>
      <c r="S469" s="2390"/>
    </row>
    <row r="470" spans="2:19">
      <c r="B470" s="2390"/>
      <c r="C470" s="2390"/>
      <c r="D470" s="2390"/>
      <c r="E470" s="2390"/>
      <c r="F470" s="2390"/>
      <c r="G470" s="2397" t="s">
        <v>4062</v>
      </c>
      <c r="H470" s="2390"/>
      <c r="I470" s="2390"/>
      <c r="J470" s="2390"/>
      <c r="K470" s="2390"/>
      <c r="L470" s="2390"/>
      <c r="M470" s="2390"/>
      <c r="N470" s="2340"/>
      <c r="O470" s="2392"/>
      <c r="P470" s="2392"/>
      <c r="Q470" s="2390"/>
      <c r="R470" s="2390"/>
      <c r="S470" s="2390"/>
    </row>
    <row r="471" spans="2:19">
      <c r="B471" s="2390"/>
      <c r="C471" s="2390"/>
      <c r="D471" s="2390"/>
      <c r="E471" s="2390"/>
      <c r="F471" s="2390"/>
      <c r="G471" s="2397" t="s">
        <v>1574</v>
      </c>
      <c r="H471" s="2340">
        <v>2019</v>
      </c>
      <c r="I471" s="2340" t="s">
        <v>4066</v>
      </c>
      <c r="J471" s="2390"/>
      <c r="K471" s="2390"/>
      <c r="L471" s="2390"/>
      <c r="M471" s="2390"/>
      <c r="N471" s="2340"/>
      <c r="O471" s="2392"/>
      <c r="P471" s="2392"/>
      <c r="Q471" s="2390"/>
      <c r="R471" s="2390"/>
      <c r="S471" s="2390"/>
    </row>
    <row r="472" spans="2:19">
      <c r="B472" s="2390"/>
      <c r="C472" s="2390"/>
      <c r="D472" s="2390"/>
      <c r="E472" s="2390"/>
      <c r="F472" s="2390"/>
      <c r="G472" s="2397" t="s">
        <v>1577</v>
      </c>
      <c r="H472" s="2340">
        <v>2020</v>
      </c>
      <c r="I472" s="2340" t="s">
        <v>4066</v>
      </c>
      <c r="J472" s="2390"/>
      <c r="K472" s="2390"/>
      <c r="L472" s="2390"/>
      <c r="M472" s="2390"/>
      <c r="N472" s="2340"/>
      <c r="O472" s="2392"/>
      <c r="P472" s="2392"/>
      <c r="Q472" s="2390"/>
      <c r="R472" s="2390"/>
      <c r="S472" s="2390"/>
    </row>
    <row r="473" spans="2:19">
      <c r="B473" s="2390"/>
      <c r="C473" s="2390"/>
      <c r="D473" s="2390"/>
      <c r="E473" s="2390"/>
      <c r="F473" s="2390"/>
      <c r="G473" s="2397" t="s">
        <v>1582</v>
      </c>
      <c r="H473" s="2340">
        <v>2020</v>
      </c>
      <c r="I473" s="2340" t="s">
        <v>4066</v>
      </c>
      <c r="J473" s="2390"/>
      <c r="K473" s="2390"/>
      <c r="L473" s="2390"/>
      <c r="M473" s="2390"/>
      <c r="N473" s="2340"/>
      <c r="O473" s="2392"/>
      <c r="P473" s="2392"/>
      <c r="Q473" s="2390"/>
      <c r="R473" s="2390"/>
      <c r="S473" s="2390"/>
    </row>
    <row r="474" spans="2:19">
      <c r="B474" s="2390"/>
      <c r="C474" s="2390"/>
      <c r="D474" s="2390"/>
      <c r="E474" s="2390"/>
      <c r="F474" s="2390"/>
      <c r="G474" s="2397" t="s">
        <v>1590</v>
      </c>
      <c r="H474" s="2340">
        <v>2020</v>
      </c>
      <c r="I474" s="2340" t="s">
        <v>4066</v>
      </c>
      <c r="J474" s="2390"/>
      <c r="K474" s="2390"/>
      <c r="L474" s="2390"/>
      <c r="M474" s="2390"/>
      <c r="N474" s="2340"/>
      <c r="O474" s="2392"/>
      <c r="P474" s="2392"/>
      <c r="Q474" s="2390"/>
      <c r="R474" s="2390"/>
      <c r="S474" s="2390"/>
    </row>
    <row r="475" spans="2:19">
      <c r="B475" s="2390"/>
      <c r="C475" s="2390"/>
      <c r="D475" s="2390"/>
      <c r="E475" s="2390"/>
      <c r="F475" s="2390"/>
      <c r="G475" s="2397" t="s">
        <v>1591</v>
      </c>
      <c r="H475" s="2340">
        <v>2019</v>
      </c>
      <c r="I475" s="2340" t="s">
        <v>4066</v>
      </c>
      <c r="J475" s="2390"/>
      <c r="K475" s="2390"/>
      <c r="L475" s="2390"/>
      <c r="M475" s="2390"/>
      <c r="N475" s="2340"/>
      <c r="O475" s="2392"/>
      <c r="P475" s="2392"/>
      <c r="Q475" s="2390"/>
      <c r="R475" s="2390"/>
      <c r="S475" s="2390"/>
    </row>
    <row r="476" spans="2:19">
      <c r="B476" s="2390"/>
      <c r="C476" s="2390"/>
      <c r="D476" s="2390"/>
      <c r="E476" s="2390"/>
      <c r="F476" s="2390"/>
      <c r="G476" s="2397" t="s">
        <v>100</v>
      </c>
      <c r="H476" s="2340">
        <v>2020</v>
      </c>
      <c r="I476" s="2340" t="s">
        <v>4066</v>
      </c>
      <c r="J476" s="2390"/>
      <c r="K476" s="2390"/>
      <c r="L476" s="2390"/>
      <c r="M476" s="2390"/>
      <c r="N476" s="2340"/>
      <c r="O476" s="2392"/>
      <c r="P476" s="2392"/>
      <c r="Q476" s="2390"/>
      <c r="R476" s="2390"/>
      <c r="S476" s="2390"/>
    </row>
    <row r="477" spans="2:19">
      <c r="B477" s="2390"/>
      <c r="C477" s="2390"/>
      <c r="D477" s="2390"/>
      <c r="E477" s="2390"/>
      <c r="F477" s="2390"/>
      <c r="G477" s="2397" t="s">
        <v>285</v>
      </c>
      <c r="H477" s="2340">
        <v>2020</v>
      </c>
      <c r="I477" s="2340" t="s">
        <v>4066</v>
      </c>
      <c r="J477" s="2390"/>
      <c r="K477" s="2390"/>
      <c r="L477" s="2390"/>
      <c r="M477" s="2390"/>
      <c r="N477" s="2340"/>
      <c r="O477" s="2392"/>
      <c r="P477" s="2392"/>
      <c r="Q477" s="2390"/>
      <c r="R477" s="2390"/>
      <c r="S477" s="2390"/>
    </row>
    <row r="478" spans="2:19">
      <c r="B478" s="2390"/>
      <c r="C478" s="2390"/>
      <c r="D478" s="2390"/>
      <c r="E478" s="2390"/>
      <c r="F478" s="2390"/>
      <c r="G478" s="2397" t="s">
        <v>1442</v>
      </c>
      <c r="H478" s="2340" t="s">
        <v>4067</v>
      </c>
      <c r="I478" s="2395" t="s">
        <v>2453</v>
      </c>
      <c r="J478" s="2390"/>
      <c r="K478" s="2390"/>
      <c r="L478" s="2390"/>
      <c r="M478" s="2390"/>
      <c r="N478" s="2340"/>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40"/>
      <c r="O480" s="2392"/>
      <c r="P480" s="2392"/>
      <c r="Q480" s="2390"/>
      <c r="R480" s="2390"/>
      <c r="S480" s="2390"/>
    </row>
    <row r="481" spans="2:19">
      <c r="B481" s="2390"/>
      <c r="C481" s="2390"/>
      <c r="D481" s="2390"/>
      <c r="E481" s="2390"/>
      <c r="F481" s="2390"/>
      <c r="G481" s="2390"/>
      <c r="H481" s="2390"/>
      <c r="I481" s="2390"/>
      <c r="J481" s="2390"/>
      <c r="K481" s="2390"/>
      <c r="L481" s="2390"/>
      <c r="M481" s="2390"/>
      <c r="N481" s="2340"/>
      <c r="O481" s="2392"/>
      <c r="P481" s="2392"/>
      <c r="Q481" s="2390"/>
      <c r="R481" s="2390"/>
      <c r="S481" s="2390"/>
    </row>
    <row r="482" spans="2:19">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row r="613" s="2118" customFormat="1"/>
    <row r="614" s="2118" customFormat="1"/>
    <row r="615" s="2118" customFormat="1"/>
    <row r="616" s="2118" customFormat="1"/>
    <row r="617" s="2118" customFormat="1"/>
    <row r="618" s="2118" customFormat="1"/>
    <row r="619" s="2118" customFormat="1"/>
    <row r="620" s="2118" customFormat="1"/>
    <row r="621" s="2118" customFormat="1"/>
    <row r="622" s="2118" customFormat="1"/>
    <row r="623" s="2118" customFormat="1"/>
    <row r="624" s="2118" customFormat="1"/>
    <row r="625" s="2118" customFormat="1"/>
    <row r="626" s="2118" customFormat="1"/>
    <row r="627" s="2118" customFormat="1"/>
    <row r="628" s="2118" customFormat="1"/>
    <row r="629" s="2118" customFormat="1"/>
    <row r="630" s="2118" customFormat="1"/>
    <row r="631" s="2118" customFormat="1"/>
    <row r="632" s="2118" customFormat="1"/>
    <row r="633" s="2118" customFormat="1"/>
    <row r="634" s="2118" customFormat="1"/>
    <row r="635" s="2118" customFormat="1"/>
    <row r="636" s="2118" customFormat="1"/>
    <row r="637" s="2118" customFormat="1"/>
    <row r="638" s="2118" customFormat="1"/>
    <row r="639" s="2118" customFormat="1"/>
    <row r="640" s="2118" customFormat="1"/>
    <row r="641" s="2118" customFormat="1"/>
    <row r="642" s="2118" customFormat="1"/>
    <row r="643" s="2118" customFormat="1"/>
    <row r="644" s="2118" customFormat="1"/>
    <row r="645" s="2118" customFormat="1"/>
    <row r="646" s="2118" customFormat="1"/>
    <row r="647" s="2118" customFormat="1"/>
    <row r="648" s="2118" customFormat="1"/>
    <row r="649" s="2118" customFormat="1"/>
    <row r="650" s="2118" customFormat="1"/>
    <row r="651" s="2118" customFormat="1"/>
    <row r="652" s="2118" customFormat="1"/>
    <row r="653" s="2118" customFormat="1"/>
    <row r="654" s="2118" customFormat="1"/>
    <row r="655" s="2118" customFormat="1"/>
    <row r="656" s="2118" customFormat="1"/>
    <row r="657" s="2118" customFormat="1"/>
    <row r="658" s="2118" customFormat="1"/>
    <row r="659" s="2118" customFormat="1"/>
    <row r="660" s="2118" customFormat="1"/>
    <row r="661" s="2118" customFormat="1"/>
    <row r="662" s="2118" customFormat="1"/>
    <row r="663" s="2118" customFormat="1"/>
    <row r="664" s="2118" customFormat="1"/>
    <row r="665" s="2118" customFormat="1"/>
    <row r="666" s="2118" customFormat="1"/>
    <row r="667" s="2118" customFormat="1"/>
    <row r="668" s="2118" customFormat="1"/>
    <row r="669" s="2118" customFormat="1"/>
    <row r="670" s="2118" customFormat="1"/>
    <row r="671" s="2118" customFormat="1"/>
    <row r="672" s="2118" customFormat="1"/>
    <row r="673" s="2118" customFormat="1"/>
    <row r="674" s="2118" customFormat="1"/>
    <row r="675" s="2118" customFormat="1"/>
    <row r="676" s="2118" customFormat="1"/>
    <row r="677" s="2118" customFormat="1"/>
    <row r="678" s="2118" customFormat="1"/>
    <row r="679" s="2118" customFormat="1"/>
    <row r="680" s="2118" customFormat="1"/>
    <row r="681" s="2118" customFormat="1"/>
    <row r="682" s="2118" customFormat="1"/>
    <row r="683" s="2118" customFormat="1"/>
    <row r="684" s="2118" customFormat="1"/>
    <row r="685" s="2118" customFormat="1"/>
    <row r="686" s="2118" customFormat="1"/>
    <row r="687" s="2118" customFormat="1"/>
    <row r="688" s="2118" customFormat="1"/>
    <row r="689" s="2118" customFormat="1"/>
    <row r="690" s="2118" customFormat="1"/>
    <row r="691" s="2118" customFormat="1"/>
    <row r="692" s="2118" customFormat="1"/>
    <row r="693" s="2118" customFormat="1"/>
    <row r="694" s="2118" customFormat="1"/>
    <row r="695" s="2118" customFormat="1"/>
    <row r="696" s="2118" customFormat="1"/>
    <row r="697" s="2118" customFormat="1"/>
    <row r="698" s="2118" customFormat="1"/>
    <row r="699" s="2118" customFormat="1"/>
    <row r="700" s="2118" customFormat="1"/>
    <row r="701" s="2118" customFormat="1"/>
    <row r="702" s="2118" customFormat="1"/>
    <row r="703" s="2118" customFormat="1"/>
    <row r="704" s="2118" customFormat="1"/>
    <row r="705" s="2118" customFormat="1"/>
    <row r="706" s="2118" customFormat="1"/>
    <row r="707" s="2118" customFormat="1"/>
    <row r="708" s="2118" customFormat="1"/>
    <row r="709" s="2118" customFormat="1"/>
    <row r="710" s="2118" customFormat="1"/>
    <row r="711" s="2118" customFormat="1"/>
    <row r="712" s="2118" customFormat="1"/>
    <row r="713" s="2118" customFormat="1"/>
    <row r="714" s="2118" customFormat="1"/>
    <row r="715" s="2118" customFormat="1"/>
    <row r="716" s="2118" customFormat="1"/>
    <row r="717" s="2118" customFormat="1"/>
    <row r="718" s="2118" customFormat="1"/>
    <row r="719" s="2118" customFormat="1"/>
    <row r="720" s="2118" customFormat="1"/>
    <row r="721" s="2118" customFormat="1"/>
    <row r="722" s="2118" customFormat="1"/>
    <row r="723" s="2118" customFormat="1"/>
    <row r="724" s="2118" customFormat="1"/>
    <row r="725" s="2118" customFormat="1"/>
    <row r="726" s="2118" customFormat="1"/>
    <row r="727" s="2118" customFormat="1"/>
    <row r="728" s="2118" customFormat="1"/>
    <row r="729" s="2118" customFormat="1"/>
    <row r="730" s="2118" customFormat="1"/>
    <row r="731" s="2118" customFormat="1"/>
    <row r="732" s="2118" customFormat="1"/>
    <row r="733" s="2118" customFormat="1"/>
    <row r="734" s="2118" customFormat="1"/>
    <row r="735" s="2118" customFormat="1"/>
    <row r="736" s="2118" customFormat="1"/>
    <row r="737" s="2118" customFormat="1"/>
    <row r="738" s="2118" customFormat="1"/>
    <row r="739" s="2118" customFormat="1"/>
    <row r="740" s="2118" customFormat="1"/>
    <row r="741" s="2118" customFormat="1"/>
    <row r="742" s="2118" customFormat="1"/>
    <row r="743" s="2118" customFormat="1"/>
    <row r="744" s="2118" customFormat="1"/>
    <row r="745" s="2118" customFormat="1"/>
    <row r="746" s="2118" customFormat="1"/>
    <row r="747" s="2118" customFormat="1"/>
    <row r="748" s="2118" customFormat="1"/>
    <row r="749" s="2118" customFormat="1"/>
    <row r="750" s="2118" customFormat="1"/>
    <row r="751" s="2118" customFormat="1"/>
    <row r="752" s="2118" customFormat="1"/>
    <row r="753" s="2118" customFormat="1"/>
    <row r="754" s="2118" customFormat="1"/>
    <row r="755" s="2118" customFormat="1"/>
    <row r="756" s="2118" customFormat="1"/>
    <row r="757" s="2118" customFormat="1"/>
    <row r="758" s="2118" customFormat="1"/>
    <row r="759" s="2118" customFormat="1"/>
    <row r="760" s="2118" customFormat="1"/>
    <row r="761" s="2118" customFormat="1"/>
    <row r="762" s="2118" customFormat="1"/>
    <row r="763" s="2118" customFormat="1"/>
    <row r="764" s="2118" customFormat="1"/>
    <row r="765" s="2118" customFormat="1"/>
    <row r="766" s="2118" customFormat="1"/>
    <row r="767" s="2118" customFormat="1"/>
    <row r="768" s="2118" customFormat="1"/>
    <row r="769" s="2118" customFormat="1"/>
    <row r="770" s="2118" customFormat="1"/>
    <row r="771" s="2118" customFormat="1"/>
    <row r="772" s="2118" customFormat="1"/>
    <row r="773" s="2118" customFormat="1"/>
    <row r="774" s="2118" customFormat="1"/>
    <row r="775" s="2118" customFormat="1"/>
    <row r="776" s="2118" customFormat="1"/>
    <row r="777" s="2118" customFormat="1"/>
    <row r="778" s="2118" customFormat="1"/>
    <row r="779" s="2118" customFormat="1"/>
    <row r="780" s="2118" customFormat="1"/>
    <row r="781" s="2118" customFormat="1"/>
    <row r="782" s="2118" customFormat="1"/>
    <row r="783" s="2118" customFormat="1"/>
    <row r="784" s="2118" customFormat="1"/>
    <row r="785" s="2118" customFormat="1"/>
    <row r="786" s="2118" customFormat="1"/>
    <row r="787" s="2118" customFormat="1"/>
    <row r="788" s="2118" customFormat="1"/>
    <row r="789" s="2118" customFormat="1"/>
    <row r="790" s="2118" customFormat="1"/>
    <row r="791" s="2118" customFormat="1"/>
    <row r="792" s="2118" customFormat="1"/>
    <row r="793" s="2118" customFormat="1"/>
    <row r="794" s="2118" customFormat="1"/>
    <row r="795" s="2118" customFormat="1"/>
    <row r="796" s="2118" customFormat="1"/>
    <row r="797" s="2118" customFormat="1"/>
    <row r="798" s="2118" customFormat="1"/>
    <row r="799" s="2118" customFormat="1"/>
    <row r="800" s="2118" customFormat="1"/>
  </sheetData>
  <sheetProtection algorithmName="SHA-512" hashValue="rQvaJ8LWMcI+xq2lrYp31jrEUZnVZBRiT7iqujLOZljD1m8rke3joj/oxkB2YdRxvxw8b0DGTOU2QRJXnydl6g==" saltValue="VpPepuCepvkwQf3a+SByHA=="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P13" sqref="P13"/>
    </sheetView>
  </sheetViews>
  <sheetFormatPr defaultColWidth="8.6640625" defaultRowHeight="15.6"/>
  <cols>
    <col min="1" max="1" width="2.33203125" style="809" customWidth="1"/>
    <col min="2" max="13" width="7.6640625" style="809" customWidth="1"/>
    <col min="14" max="15" width="5.6640625" style="809" customWidth="1"/>
    <col min="16" max="16384" width="8.6640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45" t="s">
        <v>2480</v>
      </c>
      <c r="B5" s="4145"/>
      <c r="C5" s="4145"/>
      <c r="D5" s="4145"/>
      <c r="E5" s="4145"/>
      <c r="F5" s="4145"/>
      <c r="G5" s="4145"/>
      <c r="H5" s="4145"/>
      <c r="I5" s="4145"/>
      <c r="J5" s="4145"/>
      <c r="K5" s="4145"/>
      <c r="L5" s="4145"/>
      <c r="M5" s="4145"/>
    </row>
    <row r="6" spans="1:26" ht="11.7"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7" customHeight="1">
      <c r="A8" s="813"/>
      <c r="B8" s="813"/>
      <c r="C8" s="813"/>
      <c r="D8" s="813"/>
      <c r="E8" s="813"/>
      <c r="F8" s="813"/>
      <c r="G8" s="813"/>
      <c r="H8" s="813"/>
      <c r="I8" s="813"/>
      <c r="J8" s="813"/>
      <c r="K8" s="813"/>
      <c r="L8" s="813"/>
      <c r="M8" s="813"/>
    </row>
    <row r="9" spans="1:26">
      <c r="A9" s="4141" t="s">
        <v>1767</v>
      </c>
      <c r="B9" s="4141"/>
      <c r="C9" s="4141"/>
      <c r="D9" s="4141"/>
      <c r="E9" s="4141"/>
      <c r="F9" s="4141"/>
      <c r="G9" s="4141"/>
      <c r="H9" s="4141"/>
      <c r="I9" s="4141"/>
      <c r="J9" s="4141"/>
      <c r="K9" s="4141"/>
      <c r="L9" s="4141"/>
      <c r="M9" s="4141"/>
    </row>
    <row r="10" spans="1:26" ht="6.75" customHeight="1">
      <c r="A10" s="4141"/>
      <c r="B10" s="4141"/>
      <c r="C10" s="4141"/>
      <c r="D10" s="4141"/>
      <c r="E10" s="4141"/>
      <c r="F10" s="4141"/>
      <c r="G10" s="4141"/>
      <c r="H10" s="4141"/>
      <c r="I10" s="4141"/>
      <c r="J10" s="4141"/>
      <c r="K10" s="4141"/>
      <c r="L10" s="4141"/>
      <c r="M10" s="4141"/>
    </row>
    <row r="11" spans="1:26" ht="44.25" customHeight="1">
      <c r="A11" s="4146" t="s">
        <v>6927</v>
      </c>
      <c r="B11" s="4146"/>
      <c r="C11" s="4146"/>
      <c r="D11" s="4146"/>
      <c r="E11" s="4146"/>
      <c r="F11" s="4146"/>
      <c r="G11" s="4146"/>
      <c r="H11" s="4146"/>
      <c r="I11" s="4146"/>
      <c r="J11" s="4146"/>
      <c r="K11" s="4146"/>
      <c r="L11" s="4146"/>
      <c r="M11" s="4146"/>
    </row>
    <row r="12" spans="1:26" ht="3" customHeight="1">
      <c r="A12" s="4141"/>
      <c r="B12" s="4141"/>
      <c r="C12" s="4141"/>
      <c r="D12" s="4141"/>
      <c r="E12" s="4141"/>
      <c r="F12" s="4141"/>
      <c r="G12" s="4141"/>
      <c r="H12" s="4141"/>
      <c r="I12" s="4141"/>
      <c r="J12" s="4141"/>
      <c r="K12" s="4141"/>
      <c r="L12" s="4141"/>
      <c r="M12" s="4141"/>
    </row>
    <row r="13" spans="1:26" ht="101.25" customHeight="1">
      <c r="A13" s="815" t="s">
        <v>1614</v>
      </c>
      <c r="B13" s="4143" t="s">
        <v>3188</v>
      </c>
      <c r="C13" s="4143"/>
      <c r="D13" s="4143"/>
      <c r="E13" s="4143"/>
      <c r="F13" s="4143"/>
      <c r="G13" s="4143"/>
      <c r="H13" s="4143"/>
      <c r="I13" s="4143"/>
      <c r="J13" s="4143"/>
      <c r="K13" s="4143"/>
      <c r="L13" s="4143"/>
      <c r="M13" s="4143"/>
      <c r="U13" s="809" t="s">
        <v>6271</v>
      </c>
    </row>
    <row r="14" spans="1:26" ht="47.25" customHeight="1">
      <c r="A14" s="815" t="s">
        <v>1615</v>
      </c>
      <c r="B14" s="4143" t="s">
        <v>3189</v>
      </c>
      <c r="C14" s="4143"/>
      <c r="D14" s="4143"/>
      <c r="E14" s="4143"/>
      <c r="F14" s="4143"/>
      <c r="G14" s="4143"/>
      <c r="H14" s="4143"/>
      <c r="I14" s="4143"/>
      <c r="J14" s="4143"/>
      <c r="K14" s="4143"/>
      <c r="L14" s="4143"/>
      <c r="M14" s="4143"/>
    </row>
    <row r="15" spans="1:26" ht="117" customHeight="1">
      <c r="A15" s="815" t="s">
        <v>1616</v>
      </c>
      <c r="B15" s="4143" t="s">
        <v>3190</v>
      </c>
      <c r="C15" s="4143"/>
      <c r="D15" s="4143"/>
      <c r="E15" s="4143"/>
      <c r="F15" s="4143"/>
      <c r="G15" s="4143"/>
      <c r="H15" s="4143"/>
      <c r="I15" s="4143"/>
      <c r="J15" s="4143"/>
      <c r="K15" s="4143"/>
      <c r="L15" s="4143"/>
      <c r="M15" s="4143"/>
    </row>
    <row r="16" spans="1:26" ht="147" customHeight="1">
      <c r="A16" s="815" t="s">
        <v>2182</v>
      </c>
      <c r="B16" s="4143" t="s">
        <v>3069</v>
      </c>
      <c r="C16" s="4143"/>
      <c r="D16" s="4143"/>
      <c r="E16" s="4143"/>
      <c r="F16" s="4143"/>
      <c r="G16" s="4143"/>
      <c r="H16" s="4143"/>
      <c r="I16" s="4143"/>
      <c r="J16" s="4143"/>
      <c r="K16" s="4143"/>
      <c r="L16" s="4143"/>
      <c r="M16" s="4143"/>
    </row>
    <row r="17" spans="1:13" ht="48.75" customHeight="1">
      <c r="A17" s="815" t="s">
        <v>1448</v>
      </c>
      <c r="B17" s="4143" t="s">
        <v>637</v>
      </c>
      <c r="C17" s="4143"/>
      <c r="D17" s="4143"/>
      <c r="E17" s="4143"/>
      <c r="F17" s="4143"/>
      <c r="G17" s="4143"/>
      <c r="H17" s="4143"/>
      <c r="I17" s="4143"/>
      <c r="J17" s="4143"/>
      <c r="K17" s="4143"/>
      <c r="L17" s="4143"/>
      <c r="M17" s="4143"/>
    </row>
    <row r="18" spans="1:13" ht="165" customHeight="1">
      <c r="A18" s="815" t="s">
        <v>1449</v>
      </c>
      <c r="B18" s="4143" t="s">
        <v>3068</v>
      </c>
      <c r="C18" s="4143"/>
      <c r="D18" s="4143"/>
      <c r="E18" s="4143"/>
      <c r="F18" s="4143"/>
      <c r="G18" s="4143"/>
      <c r="H18" s="4143"/>
      <c r="I18" s="4143"/>
      <c r="J18" s="4143"/>
      <c r="K18" s="4143"/>
      <c r="L18" s="4143"/>
      <c r="M18" s="4143"/>
    </row>
    <row r="19" spans="1:13" ht="48.75" customHeight="1">
      <c r="A19" s="815" t="s">
        <v>93</v>
      </c>
      <c r="B19" s="4144" t="s">
        <v>3191</v>
      </c>
      <c r="C19" s="4144"/>
      <c r="D19" s="4144"/>
      <c r="E19" s="4144"/>
      <c r="F19" s="4144"/>
      <c r="G19" s="4144"/>
      <c r="H19" s="4144"/>
      <c r="I19" s="4144"/>
      <c r="J19" s="4144"/>
      <c r="K19" s="4144"/>
      <c r="L19" s="4144"/>
      <c r="M19" s="4144"/>
    </row>
    <row r="20" spans="1:13" ht="50.25" customHeight="1">
      <c r="A20" s="815" t="s">
        <v>481</v>
      </c>
      <c r="B20" s="4143" t="s">
        <v>3070</v>
      </c>
      <c r="C20" s="4143"/>
      <c r="D20" s="4143"/>
      <c r="E20" s="4143"/>
      <c r="F20" s="4143"/>
      <c r="G20" s="4143"/>
      <c r="H20" s="4143"/>
      <c r="I20" s="4143"/>
      <c r="J20" s="4143"/>
      <c r="K20" s="4143"/>
      <c r="L20" s="4143"/>
      <c r="M20" s="4143"/>
    </row>
    <row r="21" spans="1:13" ht="31.5" customHeight="1">
      <c r="A21" s="815" t="s">
        <v>482</v>
      </c>
      <c r="B21" s="4143" t="s">
        <v>3087</v>
      </c>
      <c r="C21" s="4143"/>
      <c r="D21" s="4143"/>
      <c r="E21" s="4143"/>
      <c r="F21" s="4143"/>
      <c r="G21" s="4143"/>
      <c r="H21" s="4143"/>
      <c r="I21" s="4143"/>
      <c r="J21" s="4143"/>
      <c r="K21" s="4143"/>
      <c r="L21" s="4143"/>
      <c r="M21" s="4143"/>
    </row>
    <row r="22" spans="1:13" ht="1.5" customHeight="1">
      <c r="A22" s="4141"/>
      <c r="B22" s="4141"/>
      <c r="C22" s="4141"/>
      <c r="D22" s="4141"/>
      <c r="E22" s="4141"/>
      <c r="F22" s="4141"/>
      <c r="G22" s="4141"/>
      <c r="H22" s="4141"/>
      <c r="I22" s="4141"/>
      <c r="J22" s="4141"/>
      <c r="K22" s="4141"/>
      <c r="L22" s="4141"/>
      <c r="M22" s="4141"/>
    </row>
    <row r="23" spans="1:13" ht="3" customHeight="1">
      <c r="A23" s="4141"/>
      <c r="B23" s="4141"/>
      <c r="C23" s="4141"/>
      <c r="D23" s="4141"/>
      <c r="E23" s="4141"/>
      <c r="F23" s="4141"/>
      <c r="G23" s="4141"/>
      <c r="H23" s="4141"/>
      <c r="I23" s="4141"/>
      <c r="J23" s="4141"/>
      <c r="K23" s="4141"/>
      <c r="L23" s="4141"/>
      <c r="M23" s="4141"/>
    </row>
    <row r="24" spans="1:13" ht="13.5" customHeight="1">
      <c r="A24" s="4141" t="s">
        <v>1374</v>
      </c>
      <c r="B24" s="4141"/>
      <c r="C24" s="4141"/>
      <c r="D24" s="4141"/>
      <c r="E24" s="4141"/>
      <c r="F24" s="4141"/>
      <c r="G24" s="4141"/>
      <c r="H24" s="4141"/>
      <c r="I24" s="4141"/>
      <c r="J24" s="4141"/>
      <c r="K24" s="4141"/>
      <c r="L24" s="4141"/>
      <c r="M24" s="4141"/>
    </row>
    <row r="25" spans="1:13" ht="32.25" customHeight="1">
      <c r="A25" s="815" t="s">
        <v>1375</v>
      </c>
      <c r="B25" s="4143" t="s">
        <v>3088</v>
      </c>
      <c r="C25" s="4143"/>
      <c r="D25" s="4143"/>
      <c r="E25" s="4143"/>
      <c r="F25" s="4143"/>
      <c r="G25" s="4143"/>
      <c r="H25" s="4143"/>
      <c r="I25" s="4143"/>
      <c r="J25" s="4143"/>
      <c r="K25" s="4143"/>
      <c r="L25" s="4143"/>
      <c r="M25" s="4143"/>
    </row>
    <row r="26" spans="1:13" ht="31.5" customHeight="1">
      <c r="A26" s="815" t="s">
        <v>1375</v>
      </c>
      <c r="B26" s="4143" t="s">
        <v>3089</v>
      </c>
      <c r="C26" s="4143"/>
      <c r="D26" s="4143"/>
      <c r="E26" s="4143"/>
      <c r="F26" s="4143"/>
      <c r="G26" s="4143"/>
      <c r="H26" s="4143"/>
      <c r="I26" s="4143"/>
      <c r="J26" s="4143"/>
      <c r="K26" s="4143"/>
      <c r="L26" s="4143"/>
      <c r="M26" s="4143"/>
    </row>
    <row r="27" spans="1:13" ht="78.75" customHeight="1">
      <c r="A27" s="815" t="s">
        <v>1375</v>
      </c>
      <c r="B27" s="4143" t="s">
        <v>2481</v>
      </c>
      <c r="C27" s="4143"/>
      <c r="D27" s="4143"/>
      <c r="E27" s="4143"/>
      <c r="F27" s="4143"/>
      <c r="G27" s="4143"/>
      <c r="H27" s="4143"/>
      <c r="I27" s="4143"/>
      <c r="J27" s="4143"/>
      <c r="K27" s="4143"/>
      <c r="L27" s="4143"/>
      <c r="M27" s="4143"/>
    </row>
    <row r="28" spans="1:13" ht="7.5" customHeight="1">
      <c r="A28" s="4141"/>
      <c r="B28" s="4141"/>
      <c r="C28" s="4141"/>
      <c r="D28" s="4141"/>
      <c r="E28" s="4141"/>
      <c r="F28" s="4141"/>
      <c r="G28" s="4141"/>
      <c r="H28" s="4141"/>
      <c r="I28" s="4141"/>
      <c r="J28" s="4141"/>
      <c r="K28" s="4141"/>
      <c r="L28" s="4141"/>
      <c r="M28" s="4141"/>
    </row>
    <row r="29" spans="1:13" ht="43.5" customHeight="1">
      <c r="A29" s="4143" t="s">
        <v>887</v>
      </c>
      <c r="B29" s="4143"/>
      <c r="C29" s="4143"/>
      <c r="D29" s="4143"/>
      <c r="E29" s="4143"/>
      <c r="F29" s="4143"/>
      <c r="G29" s="4143"/>
      <c r="H29" s="4143"/>
      <c r="I29" s="4143"/>
      <c r="J29" s="4143"/>
      <c r="K29" s="4143"/>
      <c r="L29" s="4143"/>
      <c r="M29" s="4143"/>
    </row>
    <row r="30" spans="1:13" ht="3" customHeight="1">
      <c r="A30" s="4141"/>
      <c r="B30" s="4141"/>
      <c r="C30" s="4141"/>
      <c r="D30" s="4141"/>
      <c r="E30" s="4141"/>
      <c r="F30" s="4141"/>
      <c r="G30" s="4141"/>
      <c r="H30" s="4141"/>
      <c r="I30" s="4141"/>
      <c r="J30" s="4141"/>
      <c r="K30" s="4141"/>
      <c r="L30" s="4141"/>
      <c r="M30" s="4141"/>
    </row>
    <row r="31" spans="1:13" ht="32.25" customHeight="1">
      <c r="A31" s="4143" t="s">
        <v>2482</v>
      </c>
      <c r="B31" s="4143"/>
      <c r="C31" s="4143"/>
      <c r="D31" s="4143"/>
      <c r="E31" s="4143"/>
      <c r="F31" s="4143"/>
      <c r="G31" s="4143"/>
      <c r="H31" s="4143"/>
      <c r="I31" s="4143"/>
      <c r="J31" s="4143"/>
      <c r="K31" s="4143"/>
      <c r="L31" s="4143"/>
      <c r="M31" s="4143"/>
    </row>
    <row r="32" spans="1:13" ht="4.5" customHeight="1">
      <c r="A32" s="4141"/>
      <c r="B32" s="4141"/>
      <c r="C32" s="4141"/>
      <c r="D32" s="4141"/>
      <c r="E32" s="4141"/>
      <c r="F32" s="4141"/>
      <c r="G32" s="4141"/>
      <c r="H32" s="4141"/>
      <c r="I32" s="4141"/>
      <c r="J32" s="4141"/>
      <c r="K32" s="4141"/>
      <c r="L32" s="4141"/>
      <c r="M32" s="4141"/>
    </row>
    <row r="33" spans="1:13">
      <c r="A33" s="4141" t="s">
        <v>864</v>
      </c>
      <c r="B33" s="4141"/>
      <c r="C33" s="4141"/>
      <c r="D33" s="4141"/>
      <c r="E33" s="4141"/>
      <c r="F33" s="4141"/>
      <c r="G33" s="4141"/>
      <c r="H33" s="4141"/>
      <c r="I33" s="4141"/>
      <c r="J33" s="4141"/>
      <c r="K33" s="4141"/>
      <c r="L33" s="4141"/>
      <c r="M33" s="4141"/>
    </row>
    <row r="34" spans="1:13" ht="6" customHeight="1">
      <c r="A34" s="835"/>
      <c r="B34" s="835"/>
      <c r="C34" s="835"/>
      <c r="D34" s="835"/>
      <c r="E34" s="835"/>
      <c r="F34" s="835"/>
      <c r="G34" s="835"/>
      <c r="H34" s="835"/>
      <c r="I34" s="835"/>
      <c r="J34" s="835"/>
      <c r="K34" s="835"/>
      <c r="L34" s="835"/>
      <c r="M34" s="835"/>
    </row>
    <row r="35" spans="1:13">
      <c r="A35" s="4142"/>
      <c r="B35" s="4142"/>
      <c r="C35" s="4142"/>
      <c r="D35" s="4142"/>
      <c r="E35" s="4142"/>
      <c r="F35" s="4142"/>
      <c r="G35" s="813"/>
      <c r="H35" s="4142"/>
      <c r="I35" s="4142"/>
      <c r="J35" s="4142"/>
      <c r="K35" s="4142"/>
      <c r="L35" s="4142"/>
      <c r="M35" s="4142"/>
    </row>
    <row r="36" spans="1:13" ht="12" customHeight="1">
      <c r="A36" s="4139" t="s">
        <v>865</v>
      </c>
      <c r="B36" s="4139"/>
      <c r="C36" s="4139"/>
      <c r="D36" s="4139"/>
      <c r="E36" s="4139"/>
      <c r="F36" s="4139"/>
      <c r="G36" s="813"/>
      <c r="H36" s="4139" t="s">
        <v>1839</v>
      </c>
      <c r="I36" s="4139"/>
      <c r="J36" s="4139"/>
      <c r="K36" s="4139"/>
      <c r="L36" s="4139"/>
      <c r="M36" s="4139"/>
    </row>
    <row r="37" spans="1:13" ht="6" customHeight="1">
      <c r="A37" s="813"/>
      <c r="B37" s="813"/>
      <c r="C37" s="813"/>
      <c r="D37" s="813"/>
      <c r="E37" s="813"/>
      <c r="F37" s="813"/>
      <c r="G37" s="813"/>
      <c r="H37" s="813"/>
      <c r="I37" s="813"/>
      <c r="J37" s="813"/>
      <c r="K37" s="813"/>
      <c r="L37" s="813"/>
      <c r="M37" s="813"/>
    </row>
    <row r="38" spans="1:13">
      <c r="A38" s="4137"/>
      <c r="B38" s="4137"/>
      <c r="C38" s="4137"/>
      <c r="D38" s="4137"/>
      <c r="E38" s="4137"/>
      <c r="F38" s="4137"/>
      <c r="G38" s="813"/>
      <c r="H38" s="4138"/>
      <c r="I38" s="4138"/>
      <c r="J38" s="4138"/>
      <c r="K38" s="4138"/>
      <c r="L38" s="4138"/>
      <c r="M38" s="4138"/>
    </row>
    <row r="39" spans="1:13" ht="12" customHeight="1">
      <c r="A39" s="4139" t="s">
        <v>866</v>
      </c>
      <c r="B39" s="4139"/>
      <c r="C39" s="4139"/>
      <c r="D39" s="4139"/>
      <c r="E39" s="4139"/>
      <c r="F39" s="4139"/>
      <c r="G39" s="813"/>
      <c r="H39" s="4139" t="s">
        <v>867</v>
      </c>
      <c r="I39" s="4139"/>
      <c r="J39" s="4139"/>
      <c r="K39" s="4139"/>
      <c r="L39" s="4139"/>
      <c r="M39" s="4139"/>
    </row>
    <row r="40" spans="1:13" ht="3" customHeight="1">
      <c r="A40" s="816"/>
      <c r="B40" s="816"/>
      <c r="C40" s="816"/>
      <c r="D40" s="816"/>
      <c r="E40" s="816"/>
      <c r="F40" s="816"/>
      <c r="G40" s="813"/>
      <c r="H40" s="816"/>
      <c r="I40" s="816"/>
      <c r="J40" s="816"/>
      <c r="K40" s="816"/>
      <c r="L40" s="816"/>
      <c r="M40" s="816"/>
    </row>
    <row r="41" spans="1:13" ht="11.7" customHeight="1">
      <c r="A41" s="813"/>
      <c r="B41" s="813"/>
      <c r="C41" s="813"/>
      <c r="D41" s="813"/>
      <c r="E41" s="813"/>
      <c r="F41" s="813"/>
      <c r="G41" s="813"/>
      <c r="H41" s="4140" t="s">
        <v>868</v>
      </c>
      <c r="I41" s="4140"/>
      <c r="J41" s="4140"/>
      <c r="K41" s="4140"/>
      <c r="L41" s="4140"/>
      <c r="M41" s="4140"/>
    </row>
    <row r="42" spans="1:13" ht="11.7" customHeight="1">
      <c r="A42" s="813"/>
      <c r="B42" s="813"/>
      <c r="C42" s="813"/>
      <c r="D42" s="813"/>
      <c r="E42" s="813"/>
      <c r="F42" s="813"/>
      <c r="G42" s="813"/>
    </row>
    <row r="43" spans="1:13" ht="11.7" customHeight="1">
      <c r="A43" s="813"/>
      <c r="B43" s="813"/>
      <c r="C43" s="813"/>
      <c r="D43" s="813"/>
      <c r="E43" s="813"/>
      <c r="F43" s="813"/>
      <c r="G43" s="813"/>
      <c r="H43" s="813"/>
      <c r="I43" s="813"/>
      <c r="J43" s="813"/>
      <c r="K43" s="813"/>
      <c r="L43" s="813"/>
      <c r="M43" s="813"/>
    </row>
    <row r="44" spans="1:13" ht="11.7" customHeight="1">
      <c r="A44" s="813"/>
      <c r="B44" s="813"/>
      <c r="C44" s="813"/>
      <c r="D44" s="813"/>
      <c r="E44" s="813"/>
      <c r="F44" s="813"/>
      <c r="G44" s="813"/>
      <c r="H44" s="813"/>
      <c r="I44" s="813"/>
      <c r="J44" s="813"/>
      <c r="K44" s="813"/>
      <c r="L44" s="813"/>
      <c r="M44" s="813"/>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3966</v>
      </c>
      <c r="B1" s="1374"/>
      <c r="C1" s="1374"/>
      <c r="D1" s="1374"/>
      <c r="E1" s="1374"/>
      <c r="F1" s="1374"/>
      <c r="G1" s="1374"/>
      <c r="H1" s="1374"/>
    </row>
    <row r="2" spans="1:11" ht="18.600000000000001" thickBot="1">
      <c r="A2" s="1374" t="s">
        <v>3967</v>
      </c>
      <c r="B2" s="1374"/>
      <c r="C2" s="1374"/>
      <c r="D2" s="1374"/>
      <c r="E2" s="1374"/>
      <c r="F2" s="1374"/>
      <c r="G2" s="1374"/>
      <c r="H2" s="1374"/>
    </row>
    <row r="3" spans="1:11" ht="15" customHeight="1" thickBot="1">
      <c r="A3" s="1328" t="s">
        <v>3968</v>
      </c>
      <c r="B3" s="1329"/>
      <c r="C3" s="1330"/>
      <c r="D3" s="4163" t="str">
        <f>'Part I-Project Identification'!F25</f>
        <v>Brightwood Lane Apartments</v>
      </c>
      <c r="E3" s="4164"/>
      <c r="F3" s="4164"/>
      <c r="G3" s="4164"/>
      <c r="H3" s="4164"/>
      <c r="I3" s="4164"/>
      <c r="J3" s="4165" t="s">
        <v>6171</v>
      </c>
      <c r="K3" s="4166"/>
    </row>
    <row r="4" spans="1:11" ht="15" customHeight="1">
      <c r="A4" s="1332" t="s">
        <v>3969</v>
      </c>
      <c r="B4" s="1333"/>
      <c r="C4" s="1334"/>
      <c r="D4" s="4167"/>
      <c r="E4" s="4168"/>
      <c r="F4" s="4168"/>
      <c r="G4" s="4168"/>
      <c r="H4" s="4168"/>
      <c r="I4" s="4168"/>
      <c r="J4" s="4169" t="s">
        <v>4010</v>
      </c>
      <c r="K4" s="4170"/>
    </row>
    <row r="5" spans="1:11" ht="15" customHeight="1" thickBot="1">
      <c r="A5" s="1335" t="s">
        <v>3970</v>
      </c>
      <c r="B5" s="1336"/>
      <c r="C5" s="1337"/>
      <c r="D5" s="4173"/>
      <c r="E5" s="4174"/>
      <c r="F5" s="4174"/>
      <c r="G5" s="4174"/>
      <c r="H5" s="4174"/>
      <c r="I5" s="4174"/>
      <c r="J5" s="4171"/>
      <c r="K5" s="4172"/>
    </row>
    <row r="6" spans="1:11" ht="9" customHeight="1" thickBot="1">
      <c r="E6" s="1327"/>
    </row>
    <row r="7" spans="1:11">
      <c r="A7" s="4155" t="s">
        <v>3972</v>
      </c>
      <c r="B7" s="4156"/>
      <c r="C7" s="4156"/>
      <c r="D7" s="4156"/>
      <c r="E7" s="4156"/>
      <c r="F7" s="4156"/>
      <c r="G7" s="4156"/>
      <c r="H7" s="4156"/>
      <c r="I7" s="4156"/>
      <c r="J7" s="4156"/>
      <c r="K7" s="4157"/>
    </row>
    <row r="8" spans="1:11" ht="14.25" customHeight="1">
      <c r="A8" s="1333"/>
      <c r="B8" s="1333"/>
      <c r="C8" s="1567">
        <v>1</v>
      </c>
      <c r="D8" s="1352" t="s">
        <v>3973</v>
      </c>
      <c r="E8" s="1352"/>
      <c r="F8" s="1352"/>
      <c r="G8" s="1352"/>
      <c r="H8" s="1352"/>
      <c r="I8" s="1352"/>
      <c r="J8" s="4153"/>
      <c r="K8" s="4154"/>
    </row>
    <row r="9" spans="1:11" ht="7.2" customHeight="1">
      <c r="A9" s="4158"/>
      <c r="B9" s="4158"/>
      <c r="C9" s="4158"/>
      <c r="D9" s="4159"/>
      <c r="E9" s="4159"/>
      <c r="F9" s="4159"/>
      <c r="G9" s="4159"/>
      <c r="H9" s="4159"/>
      <c r="I9" s="4159"/>
      <c r="J9" s="4159"/>
      <c r="K9" s="1353"/>
    </row>
    <row r="10" spans="1:11">
      <c r="A10" s="4160" t="s">
        <v>3974</v>
      </c>
      <c r="B10" s="4161"/>
      <c r="C10" s="4161"/>
      <c r="D10" s="4161"/>
      <c r="E10" s="4161"/>
      <c r="F10" s="4161"/>
      <c r="G10" s="4161"/>
      <c r="H10" s="4161"/>
      <c r="I10" s="4161"/>
      <c r="J10" s="4161"/>
      <c r="K10" s="4162"/>
    </row>
    <row r="11" spans="1:11" ht="14.25" customHeight="1">
      <c r="A11" s="1333"/>
      <c r="B11" s="1333"/>
      <c r="C11" s="1567">
        <v>2</v>
      </c>
      <c r="D11" s="1352" t="s">
        <v>3975</v>
      </c>
      <c r="E11" s="1354"/>
      <c r="F11" s="1354"/>
      <c r="G11" s="1354"/>
      <c r="H11" s="1354"/>
      <c r="I11" s="1354"/>
      <c r="J11" s="4151"/>
      <c r="K11" s="4152"/>
    </row>
    <row r="12" spans="1:11" ht="7.2" customHeight="1">
      <c r="A12" s="4158"/>
      <c r="B12" s="4158"/>
      <c r="C12" s="4158"/>
      <c r="D12" s="4159"/>
      <c r="E12" s="4159"/>
      <c r="F12" s="4159"/>
      <c r="G12" s="4159"/>
      <c r="H12" s="4159"/>
      <c r="I12" s="4159"/>
      <c r="J12" s="4159"/>
      <c r="K12" s="1355"/>
    </row>
    <row r="13" spans="1:11">
      <c r="A13" s="4160" t="s">
        <v>3976</v>
      </c>
      <c r="B13" s="4161"/>
      <c r="C13" s="4161"/>
      <c r="D13" s="4161"/>
      <c r="E13" s="4161"/>
      <c r="F13" s="4161"/>
      <c r="G13" s="4161"/>
      <c r="H13" s="4161"/>
      <c r="I13" s="4161"/>
      <c r="J13" s="4161"/>
      <c r="K13" s="4162"/>
    </row>
    <row r="14" spans="1:11" ht="14.25" customHeight="1">
      <c r="A14" s="1333"/>
      <c r="B14" s="1333"/>
      <c r="C14" s="1568">
        <v>3</v>
      </c>
      <c r="D14" s="1356" t="s">
        <v>3977</v>
      </c>
      <c r="E14" s="1356"/>
      <c r="F14" s="1356"/>
      <c r="G14" s="1356"/>
      <c r="H14" s="1356"/>
      <c r="I14" s="1356"/>
      <c r="J14" s="4149"/>
      <c r="K14" s="4150"/>
    </row>
    <row r="15" spans="1:11" ht="14.25" customHeight="1">
      <c r="A15" s="1333"/>
      <c r="B15" s="1333"/>
      <c r="C15" s="1569">
        <v>4</v>
      </c>
      <c r="D15" s="1333" t="s">
        <v>3978</v>
      </c>
      <c r="E15" s="1333"/>
      <c r="F15" s="1333"/>
      <c r="G15" s="1333"/>
      <c r="H15" s="1333"/>
      <c r="I15" s="1333"/>
      <c r="J15" s="4147"/>
      <c r="K15" s="4148"/>
    </row>
    <row r="16" spans="1:11" ht="14.25" customHeight="1">
      <c r="A16" s="1333"/>
      <c r="B16" s="1333"/>
      <c r="C16" s="1569">
        <v>5</v>
      </c>
      <c r="D16" s="1333" t="s">
        <v>3979</v>
      </c>
      <c r="E16" s="1333"/>
      <c r="F16" s="1333"/>
      <c r="G16" s="1333"/>
      <c r="H16" s="1333"/>
      <c r="I16" s="1333"/>
      <c r="J16" s="4147"/>
      <c r="K16" s="4148"/>
    </row>
    <row r="17" spans="1:13" ht="14.25" customHeight="1">
      <c r="A17" s="1333"/>
      <c r="B17" s="1333"/>
      <c r="C17" s="1570">
        <v>6</v>
      </c>
      <c r="D17" s="1336" t="s">
        <v>3980</v>
      </c>
      <c r="E17" s="1336"/>
      <c r="F17" s="1336"/>
      <c r="G17" s="1336"/>
      <c r="H17" s="1336"/>
      <c r="I17" s="1336"/>
      <c r="J17" s="4224"/>
      <c r="K17" s="4225"/>
    </row>
    <row r="18" spans="1:13" ht="7.2" customHeight="1">
      <c r="A18" s="4158"/>
      <c r="B18" s="4158"/>
      <c r="C18" s="4158"/>
      <c r="D18" s="4159"/>
      <c r="E18" s="4159"/>
      <c r="F18" s="4159"/>
      <c r="G18" s="4159"/>
      <c r="H18" s="4159"/>
      <c r="I18" s="4159"/>
      <c r="J18" s="4159"/>
      <c r="K18" s="1355"/>
    </row>
    <row r="19" spans="1:13" ht="14.25" customHeight="1">
      <c r="A19" s="1333"/>
      <c r="B19" s="1333"/>
      <c r="C19" s="1568">
        <v>7</v>
      </c>
      <c r="D19" s="1356" t="s">
        <v>3981</v>
      </c>
      <c r="E19" s="1356"/>
      <c r="F19" s="1356"/>
      <c r="G19" s="1356"/>
      <c r="H19" s="1356"/>
      <c r="I19" s="1356"/>
      <c r="J19" s="4222" t="str">
        <f>IF(J17="No",J14-J15,IF(J17="Yes",J14-J15-J16,"Error"))</f>
        <v>Error</v>
      </c>
      <c r="K19" s="4223"/>
    </row>
    <row r="20" spans="1:13" ht="14.25" customHeight="1">
      <c r="A20" s="1333"/>
      <c r="B20" s="1333"/>
      <c r="C20" s="1570">
        <v>8</v>
      </c>
      <c r="D20" s="1336" t="s">
        <v>3982</v>
      </c>
      <c r="E20" s="1336"/>
      <c r="F20" s="1336"/>
      <c r="G20" s="1336"/>
      <c r="H20" s="1336"/>
      <c r="I20" s="1336"/>
      <c r="J20" s="4220" t="e">
        <f>ROUNDDOWN(J19/J8,2)</f>
        <v>#VALUE!</v>
      </c>
      <c r="K20" s="4221"/>
    </row>
    <row r="21" spans="1:13" ht="7.2" customHeight="1">
      <c r="A21" s="4158"/>
      <c r="B21" s="4158"/>
      <c r="C21" s="4158"/>
      <c r="D21" s="4159"/>
      <c r="E21" s="4159"/>
      <c r="F21" s="4159"/>
      <c r="G21" s="4159"/>
      <c r="H21" s="4159"/>
      <c r="I21" s="4159"/>
      <c r="J21" s="4159"/>
      <c r="K21" s="1355"/>
    </row>
    <row r="22" spans="1:13" ht="14.25" customHeight="1" thickBot="1">
      <c r="A22" s="1333"/>
      <c r="B22" s="1333"/>
      <c r="C22" s="1567">
        <v>9</v>
      </c>
      <c r="D22" s="1357" t="s">
        <v>3983</v>
      </c>
      <c r="E22" s="1357"/>
      <c r="F22" s="1357"/>
      <c r="G22" s="1357"/>
      <c r="H22" s="1357"/>
      <c r="I22" s="1357"/>
      <c r="J22" s="4218" t="e">
        <f>J11/J19</f>
        <v>#VALUE!</v>
      </c>
      <c r="K22" s="4219"/>
    </row>
    <row r="23" spans="1:13" ht="9" customHeight="1">
      <c r="A23" s="1342"/>
      <c r="C23" s="1343"/>
      <c r="D23" s="1343"/>
      <c r="E23" s="1343"/>
      <c r="F23" s="1343"/>
      <c r="G23" s="1343"/>
      <c r="H23" s="1343"/>
      <c r="I23" s="1343"/>
      <c r="J23" s="1343"/>
      <c r="K23" s="1344"/>
    </row>
    <row r="24" spans="1:13" ht="18">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0" t="s">
        <v>4014</v>
      </c>
      <c r="B30" s="4181"/>
      <c r="C30" s="4181"/>
      <c r="D30" s="4181"/>
      <c r="E30" s="4181"/>
      <c r="F30" s="4181"/>
      <c r="G30" s="4181"/>
      <c r="H30" s="4181"/>
      <c r="I30" s="4181"/>
      <c r="J30" s="4181"/>
      <c r="K30" s="4182"/>
    </row>
    <row r="31" spans="1:13">
      <c r="B31" s="4183" t="s">
        <v>6171</v>
      </c>
      <c r="C31" s="4183"/>
      <c r="D31" s="4183"/>
      <c r="E31" s="4183"/>
      <c r="F31" s="4183"/>
      <c r="G31" s="4184" t="s">
        <v>3985</v>
      </c>
      <c r="H31" s="4185"/>
      <c r="I31" s="4185"/>
      <c r="J31" s="4185"/>
      <c r="K31" s="4186"/>
    </row>
    <row r="32" spans="1:13" ht="56.25" customHeight="1">
      <c r="A32" s="1351"/>
      <c r="B32" s="1369" t="s">
        <v>4013</v>
      </c>
      <c r="C32" s="1370" t="s">
        <v>4009</v>
      </c>
      <c r="D32" s="1370" t="s">
        <v>4008</v>
      </c>
      <c r="E32" s="4187" t="s">
        <v>6099</v>
      </c>
      <c r="F32" s="4188"/>
      <c r="G32" s="1371" t="s">
        <v>3986</v>
      </c>
      <c r="H32" s="1371" t="s">
        <v>3987</v>
      </c>
      <c r="J32" s="1371" t="s">
        <v>3988</v>
      </c>
      <c r="K32" s="1371" t="s">
        <v>3989</v>
      </c>
      <c r="L32" s="4175" t="s">
        <v>3990</v>
      </c>
      <c r="M32" s="4175"/>
    </row>
    <row r="33" spans="2:14" ht="12.75" customHeight="1">
      <c r="B33" s="1558"/>
      <c r="C33" s="1559"/>
      <c r="D33" s="1560"/>
      <c r="E33" s="4176"/>
      <c r="F33" s="4177"/>
      <c r="G33" s="1387" t="e">
        <f t="shared" ref="G33:G51" si="0">$J$22*B33</f>
        <v>#VALUE!</v>
      </c>
      <c r="H33" s="1388" t="e">
        <f>ROUNDUP(G33,0)</f>
        <v>#VALUE!</v>
      </c>
      <c r="I33" s="1389"/>
      <c r="J33" s="1390" t="e">
        <f t="shared" ref="J33:J51" si="1">$J$20*E33</f>
        <v>#VALUE!</v>
      </c>
      <c r="K33" s="1390" t="e">
        <f t="shared" ref="K33:K51" si="2">ROUNDDOWN(J33*H33,0)</f>
        <v>#VALUE!</v>
      </c>
      <c r="L33" s="4175"/>
      <c r="M33" s="4175"/>
    </row>
    <row r="34" spans="2:14" ht="12.75" customHeight="1">
      <c r="B34" s="1561"/>
      <c r="C34" s="1562"/>
      <c r="D34" s="1563"/>
      <c r="E34" s="4178"/>
      <c r="F34" s="4179"/>
      <c r="G34" s="1391" t="e">
        <f t="shared" si="0"/>
        <v>#VALUE!</v>
      </c>
      <c r="H34" s="1392" t="e">
        <f t="shared" ref="H34:H51" si="3">ROUNDUP(G34,0)</f>
        <v>#VALUE!</v>
      </c>
      <c r="I34" s="1389"/>
      <c r="J34" s="1393" t="e">
        <f t="shared" si="1"/>
        <v>#VALUE!</v>
      </c>
      <c r="K34" s="1393" t="e">
        <f t="shared" si="2"/>
        <v>#VALUE!</v>
      </c>
      <c r="L34" s="4175"/>
      <c r="M34" s="4175"/>
    </row>
    <row r="35" spans="2:14" ht="12.75" customHeight="1">
      <c r="B35" s="1561"/>
      <c r="C35" s="1562"/>
      <c r="D35" s="1563"/>
      <c r="E35" s="4178"/>
      <c r="F35" s="4179"/>
      <c r="G35" s="1391" t="e">
        <f t="shared" si="0"/>
        <v>#VALUE!</v>
      </c>
      <c r="H35" s="1392" t="e">
        <f t="shared" si="3"/>
        <v>#VALUE!</v>
      </c>
      <c r="I35" s="1389"/>
      <c r="J35" s="1393" t="e">
        <f t="shared" si="1"/>
        <v>#VALUE!</v>
      </c>
      <c r="K35" s="1393" t="e">
        <f t="shared" si="2"/>
        <v>#VALUE!</v>
      </c>
      <c r="L35" s="4175"/>
      <c r="M35" s="4175"/>
    </row>
    <row r="36" spans="2:14" ht="12.75" customHeight="1">
      <c r="B36" s="1561"/>
      <c r="C36" s="1562"/>
      <c r="D36" s="1563"/>
      <c r="E36" s="4178"/>
      <c r="F36" s="4179"/>
      <c r="G36" s="1391" t="e">
        <f t="shared" si="0"/>
        <v>#VALUE!</v>
      </c>
      <c r="H36" s="1392" t="e">
        <f t="shared" si="3"/>
        <v>#VALUE!</v>
      </c>
      <c r="I36" s="1389"/>
      <c r="J36" s="1393" t="e">
        <f t="shared" si="1"/>
        <v>#VALUE!</v>
      </c>
      <c r="K36" s="1393" t="e">
        <f t="shared" si="2"/>
        <v>#VALUE!</v>
      </c>
      <c r="L36" s="4175"/>
      <c r="M36" s="4175"/>
      <c r="N36" s="1346"/>
    </row>
    <row r="37" spans="2:14" ht="12.75" customHeight="1">
      <c r="B37" s="1561"/>
      <c r="C37" s="1562"/>
      <c r="D37" s="1563"/>
      <c r="E37" s="4178"/>
      <c r="F37" s="4179"/>
      <c r="G37" s="1391" t="e">
        <f t="shared" si="0"/>
        <v>#VALUE!</v>
      </c>
      <c r="H37" s="1392" t="e">
        <f t="shared" si="3"/>
        <v>#VALUE!</v>
      </c>
      <c r="I37" s="1389"/>
      <c r="J37" s="1393" t="e">
        <f t="shared" si="1"/>
        <v>#VALUE!</v>
      </c>
      <c r="K37" s="1393" t="e">
        <f t="shared" si="2"/>
        <v>#VALUE!</v>
      </c>
      <c r="L37" s="4175"/>
      <c r="M37" s="4175"/>
    </row>
    <row r="38" spans="2:14" ht="12.75" customHeight="1">
      <c r="B38" s="1561"/>
      <c r="C38" s="1562"/>
      <c r="D38" s="1563"/>
      <c r="E38" s="4178"/>
      <c r="F38" s="4179"/>
      <c r="G38" s="1391" t="e">
        <f t="shared" si="0"/>
        <v>#VALUE!</v>
      </c>
      <c r="H38" s="1392" t="e">
        <f t="shared" si="3"/>
        <v>#VALUE!</v>
      </c>
      <c r="I38" s="1389"/>
      <c r="J38" s="1393" t="e">
        <f t="shared" si="1"/>
        <v>#VALUE!</v>
      </c>
      <c r="K38" s="1393" t="e">
        <f t="shared" si="2"/>
        <v>#VALUE!</v>
      </c>
      <c r="L38" s="4175"/>
      <c r="M38" s="4175"/>
    </row>
    <row r="39" spans="2:14" ht="12.75" customHeight="1">
      <c r="B39" s="1561"/>
      <c r="C39" s="1562"/>
      <c r="D39" s="1563"/>
      <c r="E39" s="4178"/>
      <c r="F39" s="4179"/>
      <c r="G39" s="1391" t="e">
        <f t="shared" si="0"/>
        <v>#VALUE!</v>
      </c>
      <c r="H39" s="1392" t="e">
        <f t="shared" si="3"/>
        <v>#VALUE!</v>
      </c>
      <c r="I39" s="1389"/>
      <c r="J39" s="1393" t="e">
        <f t="shared" si="1"/>
        <v>#VALUE!</v>
      </c>
      <c r="K39" s="1393" t="e">
        <f t="shared" si="2"/>
        <v>#VALUE!</v>
      </c>
      <c r="L39" s="4175"/>
      <c r="M39" s="4175"/>
    </row>
    <row r="40" spans="2:14" ht="12.75" customHeight="1">
      <c r="B40" s="1561"/>
      <c r="C40" s="1562"/>
      <c r="D40" s="1563"/>
      <c r="E40" s="4178"/>
      <c r="F40" s="4179"/>
      <c r="G40" s="1391" t="e">
        <f t="shared" si="0"/>
        <v>#VALUE!</v>
      </c>
      <c r="H40" s="1392" t="e">
        <f t="shared" si="3"/>
        <v>#VALUE!</v>
      </c>
      <c r="I40" s="1389"/>
      <c r="J40" s="1393" t="e">
        <f t="shared" si="1"/>
        <v>#VALUE!</v>
      </c>
      <c r="K40" s="1393" t="e">
        <f t="shared" si="2"/>
        <v>#VALUE!</v>
      </c>
      <c r="L40" s="4175"/>
      <c r="M40" s="4175"/>
    </row>
    <row r="41" spans="2:14" ht="12.75" customHeight="1">
      <c r="B41" s="1561"/>
      <c r="C41" s="1562"/>
      <c r="D41" s="1563"/>
      <c r="E41" s="4178"/>
      <c r="F41" s="4179"/>
      <c r="G41" s="1391" t="e">
        <f t="shared" si="0"/>
        <v>#VALUE!</v>
      </c>
      <c r="H41" s="1392" t="e">
        <f t="shared" si="3"/>
        <v>#VALUE!</v>
      </c>
      <c r="I41" s="1389"/>
      <c r="J41" s="1393" t="e">
        <f t="shared" si="1"/>
        <v>#VALUE!</v>
      </c>
      <c r="K41" s="1393" t="e">
        <f t="shared" si="2"/>
        <v>#VALUE!</v>
      </c>
      <c r="L41" s="4175"/>
      <c r="M41" s="4175"/>
    </row>
    <row r="42" spans="2:14" ht="12.75" customHeight="1">
      <c r="B42" s="1561"/>
      <c r="C42" s="1562"/>
      <c r="D42" s="1563"/>
      <c r="E42" s="4178"/>
      <c r="F42" s="4179"/>
      <c r="G42" s="1391" t="e">
        <f t="shared" si="0"/>
        <v>#VALUE!</v>
      </c>
      <c r="H42" s="1392" t="e">
        <f t="shared" si="3"/>
        <v>#VALUE!</v>
      </c>
      <c r="I42" s="1389"/>
      <c r="J42" s="1393" t="e">
        <f t="shared" si="1"/>
        <v>#VALUE!</v>
      </c>
      <c r="K42" s="1393" t="e">
        <f t="shared" si="2"/>
        <v>#VALUE!</v>
      </c>
      <c r="L42" s="4175"/>
      <c r="M42" s="4175"/>
    </row>
    <row r="43" spans="2:14" ht="12.75" customHeight="1">
      <c r="B43" s="1561"/>
      <c r="C43" s="1562"/>
      <c r="D43" s="1563"/>
      <c r="E43" s="4178"/>
      <c r="F43" s="4179"/>
      <c r="G43" s="1391" t="e">
        <f t="shared" si="0"/>
        <v>#VALUE!</v>
      </c>
      <c r="H43" s="1392" t="e">
        <f t="shared" si="3"/>
        <v>#VALUE!</v>
      </c>
      <c r="I43" s="1389"/>
      <c r="J43" s="1393" t="e">
        <f t="shared" si="1"/>
        <v>#VALUE!</v>
      </c>
      <c r="K43" s="1393" t="e">
        <f t="shared" si="2"/>
        <v>#VALUE!</v>
      </c>
      <c r="L43" s="4175"/>
      <c r="M43" s="4175"/>
    </row>
    <row r="44" spans="2:14" ht="12.75" customHeight="1">
      <c r="B44" s="1561"/>
      <c r="C44" s="1562"/>
      <c r="D44" s="1563"/>
      <c r="E44" s="4178"/>
      <c r="F44" s="4179"/>
      <c r="G44" s="1391" t="e">
        <f t="shared" si="0"/>
        <v>#VALUE!</v>
      </c>
      <c r="H44" s="1392" t="e">
        <f t="shared" si="3"/>
        <v>#VALUE!</v>
      </c>
      <c r="I44" s="1389"/>
      <c r="J44" s="1393" t="e">
        <f t="shared" si="1"/>
        <v>#VALUE!</v>
      </c>
      <c r="K44" s="1393" t="e">
        <f t="shared" si="2"/>
        <v>#VALUE!</v>
      </c>
      <c r="L44" s="4175"/>
      <c r="M44" s="4175"/>
    </row>
    <row r="45" spans="2:14" ht="12.75" customHeight="1">
      <c r="B45" s="1561"/>
      <c r="C45" s="1562"/>
      <c r="D45" s="1563"/>
      <c r="E45" s="4178"/>
      <c r="F45" s="4179"/>
      <c r="G45" s="1391" t="e">
        <f t="shared" si="0"/>
        <v>#VALUE!</v>
      </c>
      <c r="H45" s="1392" t="e">
        <f t="shared" si="3"/>
        <v>#VALUE!</v>
      </c>
      <c r="I45" s="1389"/>
      <c r="J45" s="1393" t="e">
        <f t="shared" si="1"/>
        <v>#VALUE!</v>
      </c>
      <c r="K45" s="1393" t="e">
        <f t="shared" si="2"/>
        <v>#VALUE!</v>
      </c>
      <c r="L45" s="4175"/>
      <c r="M45" s="4175"/>
    </row>
    <row r="46" spans="2:14" ht="12.75" customHeight="1">
      <c r="B46" s="1561"/>
      <c r="C46" s="1562"/>
      <c r="D46" s="1563"/>
      <c r="E46" s="4178"/>
      <c r="F46" s="4179"/>
      <c r="G46" s="1391" t="e">
        <f t="shared" si="0"/>
        <v>#VALUE!</v>
      </c>
      <c r="H46" s="1392" t="e">
        <f t="shared" si="3"/>
        <v>#VALUE!</v>
      </c>
      <c r="I46" s="1389"/>
      <c r="J46" s="1393" t="e">
        <f t="shared" si="1"/>
        <v>#VALUE!</v>
      </c>
      <c r="K46" s="1393" t="e">
        <f t="shared" si="2"/>
        <v>#VALUE!</v>
      </c>
      <c r="L46" s="4175"/>
      <c r="M46" s="4175"/>
    </row>
    <row r="47" spans="2:14" ht="12.75" customHeight="1">
      <c r="B47" s="1561"/>
      <c r="C47" s="1562"/>
      <c r="D47" s="1563"/>
      <c r="E47" s="4178"/>
      <c r="F47" s="4179"/>
      <c r="G47" s="1391" t="e">
        <f t="shared" si="0"/>
        <v>#VALUE!</v>
      </c>
      <c r="H47" s="1392" t="e">
        <f t="shared" si="3"/>
        <v>#VALUE!</v>
      </c>
      <c r="I47" s="1389"/>
      <c r="J47" s="1393" t="e">
        <f t="shared" si="1"/>
        <v>#VALUE!</v>
      </c>
      <c r="K47" s="1393" t="e">
        <f t="shared" si="2"/>
        <v>#VALUE!</v>
      </c>
      <c r="L47" s="4175"/>
      <c r="M47" s="4175"/>
    </row>
    <row r="48" spans="2:14" ht="12.75" customHeight="1">
      <c r="B48" s="1561"/>
      <c r="C48" s="1562"/>
      <c r="D48" s="1563"/>
      <c r="E48" s="4178"/>
      <c r="F48" s="4179"/>
      <c r="G48" s="1391" t="e">
        <f t="shared" si="0"/>
        <v>#VALUE!</v>
      </c>
      <c r="H48" s="1392" t="e">
        <f t="shared" si="3"/>
        <v>#VALUE!</v>
      </c>
      <c r="I48" s="1389"/>
      <c r="J48" s="1393" t="e">
        <f t="shared" si="1"/>
        <v>#VALUE!</v>
      </c>
      <c r="K48" s="1393" t="e">
        <f t="shared" si="2"/>
        <v>#VALUE!</v>
      </c>
      <c r="L48" s="4175"/>
      <c r="M48" s="4175"/>
    </row>
    <row r="49" spans="1:13" ht="12.75" customHeight="1">
      <c r="B49" s="1561"/>
      <c r="C49" s="1562"/>
      <c r="D49" s="1563"/>
      <c r="E49" s="4178"/>
      <c r="F49" s="4179"/>
      <c r="G49" s="1391" t="e">
        <f t="shared" si="0"/>
        <v>#VALUE!</v>
      </c>
      <c r="H49" s="1392" t="e">
        <f t="shared" si="3"/>
        <v>#VALUE!</v>
      </c>
      <c r="I49" s="1389"/>
      <c r="J49" s="1393" t="e">
        <f t="shared" si="1"/>
        <v>#VALUE!</v>
      </c>
      <c r="K49" s="1393" t="e">
        <f t="shared" si="2"/>
        <v>#VALUE!</v>
      </c>
      <c r="L49" s="4175"/>
      <c r="M49" s="4175"/>
    </row>
    <row r="50" spans="1:13" ht="12.75" customHeight="1">
      <c r="B50" s="1561"/>
      <c r="C50" s="1562"/>
      <c r="D50" s="1563"/>
      <c r="E50" s="4178"/>
      <c r="F50" s="4179"/>
      <c r="G50" s="1391" t="e">
        <f t="shared" si="0"/>
        <v>#VALUE!</v>
      </c>
      <c r="H50" s="1392" t="e">
        <f t="shared" si="3"/>
        <v>#VALUE!</v>
      </c>
      <c r="I50" s="1389"/>
      <c r="J50" s="1393" t="e">
        <f t="shared" si="1"/>
        <v>#VALUE!</v>
      </c>
      <c r="K50" s="1393" t="e">
        <f t="shared" si="2"/>
        <v>#VALUE!</v>
      </c>
      <c r="L50" s="4175"/>
      <c r="M50" s="4175"/>
    </row>
    <row r="51" spans="1:13" ht="12.75" customHeight="1" thickBot="1">
      <c r="B51" s="1564"/>
      <c r="C51" s="1565"/>
      <c r="D51" s="1566"/>
      <c r="E51" s="4192"/>
      <c r="F51" s="4193"/>
      <c r="G51" s="1394" t="e">
        <f t="shared" si="0"/>
        <v>#VALUE!</v>
      </c>
      <c r="H51" s="1395" t="e">
        <f t="shared" si="3"/>
        <v>#VALUE!</v>
      </c>
      <c r="I51" s="1389"/>
      <c r="J51" s="1396" t="e">
        <f t="shared" si="1"/>
        <v>#VALUE!</v>
      </c>
      <c r="K51" s="1396" t="e">
        <f t="shared" si="2"/>
        <v>#VALUE!</v>
      </c>
      <c r="L51" s="4175"/>
      <c r="M51" s="4175"/>
    </row>
    <row r="52" spans="1:13" ht="15" customHeight="1" thickBot="1">
      <c r="B52" s="1362"/>
      <c r="D52" s="1356"/>
      <c r="E52" s="1356"/>
      <c r="F52" s="1356"/>
      <c r="G52" s="1373" t="s">
        <v>3991</v>
      </c>
      <c r="H52" s="1372" t="e">
        <f>SUM(H33:H51)</f>
        <v>#VALUE!</v>
      </c>
      <c r="I52" s="1356"/>
      <c r="J52" s="1362" t="s">
        <v>3992</v>
      </c>
      <c r="K52" s="1358" t="e">
        <f>SUM(K33:K51)</f>
        <v>#VALUE!</v>
      </c>
      <c r="L52" s="4175"/>
      <c r="M52" s="4175"/>
    </row>
    <row r="53" spans="1:13" ht="15" customHeight="1">
      <c r="B53" s="1363"/>
      <c r="C53" s="4194" t="s">
        <v>3993</v>
      </c>
      <c r="D53" s="4194"/>
      <c r="E53" s="4194"/>
      <c r="F53" s="4194"/>
      <c r="G53" s="4194"/>
      <c r="H53" s="4194"/>
      <c r="I53" s="4194"/>
      <c r="J53" s="4195"/>
      <c r="K53" s="1364" t="str">
        <f>IF(J17="no",0,IF(J17="yes",J16,"Error"))</f>
        <v>Error</v>
      </c>
      <c r="L53" s="4175"/>
      <c r="M53" s="4175"/>
    </row>
    <row r="54" spans="1:13" ht="15" customHeight="1" thickBot="1">
      <c r="B54" s="1363"/>
      <c r="C54" s="4196" t="s">
        <v>3994</v>
      </c>
      <c r="D54" s="4196"/>
      <c r="E54" s="4196"/>
      <c r="F54" s="4196"/>
      <c r="G54" s="4196"/>
      <c r="H54" s="4196"/>
      <c r="I54" s="4196"/>
      <c r="J54" s="4197"/>
      <c r="K54" s="1375" t="e">
        <f>K52+K53</f>
        <v>#VALUE!</v>
      </c>
    </row>
    <row r="55" spans="1:13" ht="7.95" customHeight="1">
      <c r="A55" s="4198"/>
      <c r="B55" s="4199"/>
      <c r="C55" s="4199"/>
      <c r="D55" s="4199"/>
      <c r="E55" s="4199"/>
      <c r="F55" s="4199"/>
      <c r="G55" s="4199"/>
      <c r="H55" s="4199"/>
      <c r="I55" s="4199"/>
      <c r="J55" s="4199"/>
      <c r="K55" s="1386"/>
    </row>
    <row r="56" spans="1:13" ht="15" customHeight="1">
      <c r="A56" s="4189" t="s">
        <v>3995</v>
      </c>
      <c r="B56" s="4190"/>
      <c r="C56" s="4190"/>
      <c r="D56" s="4190"/>
      <c r="E56" s="4190"/>
      <c r="F56" s="4190"/>
      <c r="G56" s="4190"/>
      <c r="H56" s="4190"/>
      <c r="I56" s="4190"/>
      <c r="J56" s="4190"/>
      <c r="K56" s="4191"/>
    </row>
    <row r="57" spans="1:13" ht="48" customHeight="1">
      <c r="A57" s="1348"/>
      <c r="B57" s="1339"/>
      <c r="C57" s="1350" t="s">
        <v>3996</v>
      </c>
      <c r="D57" s="1483" t="s">
        <v>6064</v>
      </c>
      <c r="E57" s="4200" t="s">
        <v>4012</v>
      </c>
      <c r="F57" s="4201"/>
      <c r="G57" s="4202" t="s">
        <v>3997</v>
      </c>
      <c r="H57" s="4203"/>
      <c r="I57" s="4200" t="s">
        <v>4011</v>
      </c>
      <c r="J57" s="4201"/>
      <c r="K57" s="4204"/>
    </row>
    <row r="58" spans="1:13" ht="15" customHeight="1">
      <c r="A58" s="1465"/>
      <c r="B58" s="1381"/>
      <c r="C58" s="1359">
        <f>SUMIF(C33:C51, "0", H33:H51)</f>
        <v>0</v>
      </c>
      <c r="D58" s="1484">
        <f t="shared" ref="D58:D63" si="4">ROUNDUP(C58*1.1,0)</f>
        <v>0</v>
      </c>
      <c r="E58" s="4206" t="s">
        <v>3998</v>
      </c>
      <c r="F58" s="4207"/>
      <c r="G58" s="4208">
        <f>'DCA Underwriting Assumptions'!H129</f>
        <v>159753.60000000001</v>
      </c>
      <c r="H58" s="4209"/>
      <c r="I58" s="4210">
        <f t="shared" ref="I58:I63" si="5">D58*G58</f>
        <v>0</v>
      </c>
      <c r="J58" s="4210"/>
      <c r="K58" s="4205"/>
    </row>
    <row r="59" spans="1:13">
      <c r="A59" s="1465"/>
      <c r="B59" s="1381"/>
      <c r="C59" s="1360">
        <f>SUMIF(C33:C51, "1", H33:H51)</f>
        <v>0</v>
      </c>
      <c r="D59" s="1485">
        <f t="shared" si="4"/>
        <v>0</v>
      </c>
      <c r="E59" s="4211" t="s">
        <v>2462</v>
      </c>
      <c r="F59" s="4212"/>
      <c r="G59" s="4208">
        <f>'DCA Underwriting Assumptions'!H130</f>
        <v>183132</v>
      </c>
      <c r="H59" s="4209"/>
      <c r="I59" s="4213">
        <f t="shared" si="5"/>
        <v>0</v>
      </c>
      <c r="J59" s="4213"/>
      <c r="K59" s="4205"/>
    </row>
    <row r="60" spans="1:13" ht="15" customHeight="1">
      <c r="A60" s="1465"/>
      <c r="B60" s="1381"/>
      <c r="C60" s="1360">
        <f>SUMIF(C33:C51, "2", H33:H51)</f>
        <v>0</v>
      </c>
      <c r="D60" s="1485">
        <f t="shared" si="4"/>
        <v>0</v>
      </c>
      <c r="E60" s="4211" t="s">
        <v>2463</v>
      </c>
      <c r="F60" s="4212"/>
      <c r="G60" s="4208">
        <f>'DCA Underwriting Assumptions'!H131</f>
        <v>222693.6</v>
      </c>
      <c r="H60" s="4209"/>
      <c r="I60" s="4213">
        <f t="shared" si="5"/>
        <v>0</v>
      </c>
      <c r="J60" s="4213"/>
      <c r="K60" s="4205"/>
    </row>
    <row r="61" spans="1:13">
      <c r="A61" s="1465"/>
      <c r="B61" s="1381"/>
      <c r="C61" s="1360">
        <f>SUMIF(C33:C51, "3", H33:H51)</f>
        <v>0</v>
      </c>
      <c r="D61" s="1485">
        <f t="shared" si="4"/>
        <v>0</v>
      </c>
      <c r="E61" s="4211" t="s">
        <v>2466</v>
      </c>
      <c r="F61" s="4212"/>
      <c r="G61" s="4208">
        <f>'DCA Underwriting Assumptions'!H132</f>
        <v>288093.59999999998</v>
      </c>
      <c r="H61" s="4209"/>
      <c r="I61" s="4213">
        <f t="shared" si="5"/>
        <v>0</v>
      </c>
      <c r="J61" s="4213"/>
      <c r="K61" s="4205"/>
    </row>
    <row r="62" spans="1:13">
      <c r="A62" s="1465"/>
      <c r="B62" s="1381"/>
      <c r="C62" s="1360">
        <f>SUMIF(C33:C51, "4", H33:H51)</f>
        <v>0</v>
      </c>
      <c r="D62" s="1485">
        <f t="shared" si="4"/>
        <v>0</v>
      </c>
      <c r="E62" s="4211" t="s">
        <v>3999</v>
      </c>
      <c r="F62" s="4212"/>
      <c r="G62" s="4208">
        <f>'DCA Underwriting Assumptions'!H133</f>
        <v>316236</v>
      </c>
      <c r="H62" s="4209"/>
      <c r="I62" s="4213">
        <f t="shared" si="5"/>
        <v>0</v>
      </c>
      <c r="J62" s="4213"/>
      <c r="K62" s="4205"/>
    </row>
    <row r="63" spans="1:13">
      <c r="A63" s="1482"/>
      <c r="B63" s="1382"/>
      <c r="C63" s="1361">
        <f>SUMIF(C33:C51, "5", H33:H51)</f>
        <v>0</v>
      </c>
      <c r="D63" s="1486">
        <f t="shared" si="4"/>
        <v>0</v>
      </c>
      <c r="E63" s="4215" t="s">
        <v>4000</v>
      </c>
      <c r="F63" s="4216"/>
      <c r="G63" s="4208">
        <f>'DCA Underwriting Assumptions'!H133</f>
        <v>316236</v>
      </c>
      <c r="H63" s="4209"/>
      <c r="I63" s="4217">
        <f t="shared" si="5"/>
        <v>0</v>
      </c>
      <c r="J63" s="4217"/>
      <c r="K63" s="1384"/>
    </row>
    <row r="64" spans="1:13" ht="14.4" thickBot="1">
      <c r="A64" s="1481" t="s">
        <v>4001</v>
      </c>
      <c r="B64" s="1377">
        <f>SUM(C58:C63)</f>
        <v>0</v>
      </c>
      <c r="C64" s="1487"/>
      <c r="D64" s="1487">
        <f>SUM(D58:D63)</f>
        <v>0</v>
      </c>
      <c r="E64" s="1480"/>
      <c r="F64" s="1480"/>
      <c r="G64" s="1480"/>
      <c r="H64" s="1480"/>
      <c r="I64" s="1480"/>
      <c r="J64" s="1466" t="s">
        <v>4002</v>
      </c>
      <c r="K64" s="1376">
        <f>SUM(I58:I62)</f>
        <v>0</v>
      </c>
    </row>
    <row r="65" spans="1:11">
      <c r="A65" s="4199"/>
      <c r="B65" s="4199"/>
      <c r="C65" s="4199"/>
      <c r="D65" s="4199"/>
      <c r="E65" s="4199"/>
      <c r="F65" s="4199"/>
      <c r="G65" s="4199"/>
      <c r="H65" s="4199"/>
      <c r="I65" s="4199"/>
      <c r="J65" s="4199"/>
    </row>
    <row r="66" spans="1:11">
      <c r="A66" s="4189" t="s">
        <v>4003</v>
      </c>
      <c r="B66" s="4190"/>
      <c r="C66" s="4190"/>
      <c r="D66" s="4190"/>
      <c r="E66" s="4190"/>
      <c r="F66" s="4190"/>
      <c r="G66" s="4190"/>
      <c r="H66" s="4190"/>
      <c r="I66" s="4190"/>
      <c r="J66" s="4190"/>
      <c r="K66" s="4191"/>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4.4" thickBot="1">
      <c r="A69" s="1380"/>
      <c r="B69" s="1340"/>
      <c r="C69" s="1340"/>
      <c r="D69" s="1340"/>
      <c r="E69" s="1340" t="s">
        <v>4006</v>
      </c>
      <c r="F69" s="1340"/>
      <c r="G69" s="1340"/>
      <c r="H69" s="1340"/>
      <c r="I69" s="1340"/>
      <c r="J69" s="1382"/>
      <c r="K69" s="1385">
        <f>K64</f>
        <v>0</v>
      </c>
    </row>
    <row r="70" spans="1:11" ht="14.4" thickBot="1">
      <c r="A70" s="1349"/>
      <c r="B70" s="1341"/>
      <c r="C70" s="4214" t="s">
        <v>4007</v>
      </c>
      <c r="D70" s="4214"/>
      <c r="E70" s="4214"/>
      <c r="F70" s="4214"/>
      <c r="G70" s="4214"/>
      <c r="H70" s="4214"/>
      <c r="I70" s="4214"/>
      <c r="J70" s="4214"/>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333" t="str">
        <f>CONCATENATE("PART SEVEN - THRESHOLD CRITERIA","  -  ",'Part I-Project Identification'!$O$7," ",'Part I-Project Identification'!$F$25,", ",'Part I-Project Identification'!F26,", ",'Part I-Project Identification'!J26," County")</f>
        <v>PART SEVEN - THRESHOLD CRITERIA  -  2023-5 Brightwood Lane Apartments, Washington, Wilkes County</v>
      </c>
      <c r="B1" s="3334"/>
      <c r="C1" s="3334"/>
      <c r="D1" s="3334"/>
      <c r="E1" s="3334"/>
      <c r="F1" s="3334"/>
      <c r="G1" s="3334"/>
      <c r="H1" s="3334"/>
      <c r="I1" s="3334"/>
      <c r="J1" s="3334"/>
      <c r="K1" s="3334"/>
      <c r="L1" s="3334"/>
      <c r="M1" s="3334"/>
      <c r="N1" s="3334"/>
      <c r="O1" s="3334"/>
      <c r="P1" s="3334"/>
      <c r="Q1" s="3334"/>
      <c r="R1" s="1804"/>
      <c r="S1" s="1804"/>
    </row>
    <row r="2" spans="1:19" customFormat="1" ht="3" customHeight="1">
      <c r="R2" s="1804"/>
      <c r="S2" s="1804"/>
    </row>
    <row r="3" spans="1:19" ht="13.5" customHeight="1">
      <c r="A3" s="4307"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07"/>
      <c r="C3" s="4307"/>
      <c r="D3" s="4307"/>
      <c r="E3" s="4307"/>
      <c r="F3" s="4307"/>
      <c r="G3" s="4307"/>
      <c r="H3" s="430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07"/>
      <c r="J3" s="4307"/>
      <c r="K3" s="4307"/>
      <c r="L3" s="4307"/>
      <c r="M3" s="4307"/>
      <c r="N3" s="4307"/>
      <c r="P3" s="4317" t="s">
        <v>876</v>
      </c>
      <c r="Q3" s="4228" t="s">
        <v>6531</v>
      </c>
      <c r="R3" s="1804"/>
      <c r="S3" s="1804"/>
    </row>
    <row r="4" spans="1:19" ht="3" customHeight="1">
      <c r="A4" s="686"/>
      <c r="B4" s="4308"/>
      <c r="C4" s="4308"/>
      <c r="D4" s="4308"/>
      <c r="E4" s="686"/>
      <c r="F4" s="686"/>
      <c r="G4" s="686"/>
      <c r="H4" s="686"/>
      <c r="J4" s="490"/>
      <c r="K4" s="686"/>
      <c r="L4" s="686"/>
      <c r="M4" s="686"/>
      <c r="N4" s="686"/>
      <c r="P4" s="4318"/>
      <c r="Q4" s="4229"/>
      <c r="R4" s="1804"/>
      <c r="S4" s="1804"/>
    </row>
    <row r="5" spans="1:19">
      <c r="E5" s="4316" t="str">
        <f>'Part I-Project Identification'!$A$6</f>
        <v>Sept 2023</v>
      </c>
      <c r="F5" s="4316"/>
      <c r="G5" s="4316"/>
      <c r="H5" s="4316"/>
      <c r="I5" s="4316"/>
      <c r="J5" s="490"/>
      <c r="K5" s="1805"/>
      <c r="L5" s="1806" t="s">
        <v>6530</v>
      </c>
      <c r="M5" s="1807" t="str">
        <f>'Part I-Project Identification'!$F$12</f>
        <v>4% Credit/TE Bond</v>
      </c>
      <c r="N5" s="1808"/>
      <c r="O5" s="1809"/>
      <c r="P5" s="4319"/>
      <c r="Q5" s="4230"/>
      <c r="R5" s="1604"/>
      <c r="S5" s="1604"/>
    </row>
    <row r="6" spans="1:19" ht="17.25" customHeight="1">
      <c r="A6" s="96" t="s">
        <v>6529</v>
      </c>
      <c r="I6" s="490"/>
      <c r="J6" s="490"/>
      <c r="K6" s="4314" t="s">
        <v>3281</v>
      </c>
      <c r="L6" s="4314"/>
      <c r="M6" s="4314"/>
      <c r="N6" s="4314"/>
      <c r="O6" s="4315"/>
      <c r="P6" s="4309"/>
      <c r="Q6" s="4310"/>
      <c r="R6" s="1604"/>
      <c r="S6" s="1604"/>
    </row>
    <row r="7" spans="1:19" ht="12.6" customHeight="1">
      <c r="A7" s="97" t="s">
        <v>3066</v>
      </c>
      <c r="H7" s="1001"/>
      <c r="I7" s="1803"/>
      <c r="J7" s="1803"/>
      <c r="K7" s="1001"/>
      <c r="L7" s="1001"/>
      <c r="M7" s="686"/>
      <c r="N7" s="686"/>
    </row>
    <row r="8" spans="1:19" ht="23.25" customHeight="1">
      <c r="A8" s="4311" t="s">
        <v>1329</v>
      </c>
      <c r="B8" s="4312"/>
      <c r="C8" s="4312"/>
      <c r="D8" s="4312"/>
      <c r="E8" s="4312"/>
      <c r="F8" s="4312"/>
      <c r="G8" s="4312"/>
      <c r="H8" s="4312"/>
      <c r="I8" s="4312"/>
      <c r="J8" s="4312"/>
      <c r="K8" s="4312"/>
      <c r="L8" s="4312"/>
      <c r="M8" s="4312"/>
      <c r="N8" s="4312"/>
      <c r="O8" s="4312"/>
      <c r="P8" s="4312"/>
      <c r="Q8" s="4313"/>
      <c r="R8" s="3028" t="s">
        <v>1883</v>
      </c>
      <c r="S8" s="3027"/>
    </row>
    <row r="9" spans="1:19" ht="23.25" customHeight="1">
      <c r="A9" s="4290" t="s">
        <v>218</v>
      </c>
      <c r="B9" s="4291"/>
      <c r="C9" s="4291"/>
      <c r="D9" s="4291"/>
      <c r="E9" s="4291"/>
      <c r="F9" s="4291"/>
      <c r="G9" s="4291"/>
      <c r="H9" s="4291"/>
      <c r="I9" s="4291"/>
      <c r="J9" s="4291"/>
      <c r="K9" s="4291"/>
      <c r="L9" s="4291"/>
      <c r="M9" s="4291"/>
      <c r="N9" s="4291"/>
      <c r="O9" s="4291"/>
      <c r="P9" s="4291"/>
      <c r="Q9" s="4292"/>
      <c r="R9" s="3028"/>
      <c r="S9" s="3027"/>
    </row>
    <row r="10" spans="1:19" ht="23.25" customHeight="1">
      <c r="A10" s="4290" t="s">
        <v>1325</v>
      </c>
      <c r="B10" s="4291"/>
      <c r="C10" s="4291"/>
      <c r="D10" s="4291"/>
      <c r="E10" s="4291"/>
      <c r="F10" s="4291"/>
      <c r="G10" s="4291"/>
      <c r="H10" s="4291"/>
      <c r="I10" s="4291"/>
      <c r="J10" s="4291"/>
      <c r="K10" s="4291"/>
      <c r="L10" s="4291"/>
      <c r="M10" s="4291"/>
      <c r="N10" s="4291"/>
      <c r="O10" s="4291"/>
      <c r="P10" s="4291"/>
      <c r="Q10" s="4292"/>
      <c r="R10" s="3028"/>
      <c r="S10" s="3027"/>
    </row>
    <row r="11" spans="1:19" ht="23.25" customHeight="1">
      <c r="A11" s="4290" t="s">
        <v>1326</v>
      </c>
      <c r="B11" s="4291"/>
      <c r="C11" s="4291"/>
      <c r="D11" s="4291"/>
      <c r="E11" s="4291"/>
      <c r="F11" s="4291"/>
      <c r="G11" s="4291"/>
      <c r="H11" s="4291"/>
      <c r="I11" s="4291"/>
      <c r="J11" s="4291"/>
      <c r="K11" s="4291"/>
      <c r="L11" s="4291"/>
      <c r="M11" s="4291"/>
      <c r="N11" s="4291"/>
      <c r="O11" s="4291"/>
      <c r="P11" s="4291"/>
      <c r="Q11" s="4292"/>
      <c r="R11" s="3028"/>
      <c r="S11" s="3027"/>
    </row>
    <row r="12" spans="1:19" ht="23.25" customHeight="1">
      <c r="A12" s="4290" t="s">
        <v>1327</v>
      </c>
      <c r="B12" s="4291"/>
      <c r="C12" s="4291"/>
      <c r="D12" s="4291"/>
      <c r="E12" s="4291"/>
      <c r="F12" s="4291"/>
      <c r="G12" s="4291"/>
      <c r="H12" s="4291"/>
      <c r="I12" s="4291"/>
      <c r="J12" s="4291"/>
      <c r="K12" s="4291"/>
      <c r="L12" s="4291"/>
      <c r="M12" s="4291"/>
      <c r="N12" s="4291"/>
      <c r="O12" s="4291"/>
      <c r="P12" s="4291"/>
      <c r="Q12" s="4292"/>
      <c r="R12" s="886"/>
      <c r="S12" s="886"/>
    </row>
    <row r="13" spans="1:19" ht="23.25" customHeight="1">
      <c r="A13" s="4290" t="s">
        <v>1328</v>
      </c>
      <c r="B13" s="4291"/>
      <c r="C13" s="4291"/>
      <c r="D13" s="4291"/>
      <c r="E13" s="4291"/>
      <c r="F13" s="4291"/>
      <c r="G13" s="4291"/>
      <c r="H13" s="4291"/>
      <c r="I13" s="4291"/>
      <c r="J13" s="4291"/>
      <c r="K13" s="4291"/>
      <c r="L13" s="4291"/>
      <c r="M13" s="4291"/>
      <c r="N13" s="4291"/>
      <c r="O13" s="4291"/>
      <c r="P13" s="4291"/>
      <c r="Q13" s="4292"/>
      <c r="R13" s="886"/>
      <c r="S13" s="886"/>
    </row>
    <row r="14" spans="1:19" ht="23.25" customHeight="1">
      <c r="A14" s="4290" t="s">
        <v>1330</v>
      </c>
      <c r="B14" s="4291"/>
      <c r="C14" s="4291"/>
      <c r="D14" s="4291"/>
      <c r="E14" s="4291"/>
      <c r="F14" s="4291"/>
      <c r="G14" s="4291"/>
      <c r="H14" s="4291"/>
      <c r="I14" s="4291"/>
      <c r="J14" s="4291"/>
      <c r="K14" s="4291"/>
      <c r="L14" s="4291"/>
      <c r="M14" s="4291"/>
      <c r="N14" s="4291"/>
      <c r="O14" s="4291"/>
      <c r="P14" s="4291"/>
      <c r="Q14" s="4292"/>
    </row>
    <row r="15" spans="1:19" ht="11.25" customHeight="1">
      <c r="A15" s="4290" t="s">
        <v>1872</v>
      </c>
      <c r="B15" s="4291"/>
      <c r="C15" s="4291"/>
      <c r="D15" s="4291"/>
      <c r="E15" s="4291"/>
      <c r="F15" s="4291"/>
      <c r="G15" s="4291"/>
      <c r="H15" s="4291"/>
      <c r="I15" s="4291"/>
      <c r="J15" s="4291"/>
      <c r="K15" s="4291"/>
      <c r="L15" s="4291"/>
      <c r="M15" s="4291"/>
      <c r="N15" s="4291"/>
      <c r="O15" s="4291"/>
      <c r="P15" s="4291"/>
      <c r="Q15" s="4292"/>
      <c r="R15" s="3028"/>
      <c r="S15" s="3027"/>
    </row>
    <row r="16" spans="1:19" ht="11.25" customHeight="1">
      <c r="A16" s="4290" t="s">
        <v>1873</v>
      </c>
      <c r="B16" s="4291"/>
      <c r="C16" s="4291"/>
      <c r="D16" s="4291"/>
      <c r="E16" s="4291"/>
      <c r="F16" s="4291"/>
      <c r="G16" s="4291"/>
      <c r="H16" s="4291"/>
      <c r="I16" s="4291"/>
      <c r="J16" s="4291"/>
      <c r="K16" s="4291"/>
      <c r="L16" s="4291"/>
      <c r="M16" s="4291"/>
      <c r="N16" s="4291"/>
      <c r="O16" s="4291"/>
      <c r="P16" s="4291"/>
      <c r="Q16" s="4292"/>
      <c r="R16" s="3028"/>
      <c r="S16" s="3027"/>
    </row>
    <row r="17" spans="1:31" ht="11.25" customHeight="1">
      <c r="A17" s="4290" t="s">
        <v>1874</v>
      </c>
      <c r="B17" s="4291"/>
      <c r="C17" s="4291"/>
      <c r="D17" s="4291"/>
      <c r="E17" s="4291"/>
      <c r="F17" s="4291"/>
      <c r="G17" s="4291"/>
      <c r="H17" s="4291"/>
      <c r="I17" s="4291"/>
      <c r="J17" s="4291"/>
      <c r="K17" s="4291"/>
      <c r="L17" s="4291"/>
      <c r="M17" s="4291"/>
      <c r="N17" s="4291"/>
      <c r="O17" s="4291"/>
      <c r="P17" s="4291"/>
      <c r="Q17" s="4292"/>
      <c r="R17" s="3028"/>
      <c r="S17" s="3027"/>
    </row>
    <row r="18" spans="1:31" ht="11.25" customHeight="1">
      <c r="A18" s="4290" t="s">
        <v>1875</v>
      </c>
      <c r="B18" s="4291"/>
      <c r="C18" s="4291"/>
      <c r="D18" s="4291"/>
      <c r="E18" s="4291"/>
      <c r="F18" s="4291"/>
      <c r="G18" s="4291"/>
      <c r="H18" s="4291"/>
      <c r="I18" s="4291"/>
      <c r="J18" s="4291"/>
      <c r="K18" s="4291"/>
      <c r="L18" s="4291"/>
      <c r="M18" s="4291"/>
      <c r="N18" s="4291"/>
      <c r="O18" s="4291"/>
      <c r="P18" s="4291"/>
      <c r="Q18" s="4292"/>
      <c r="R18" s="3028"/>
      <c r="S18" s="3027"/>
    </row>
    <row r="19" spans="1:31" ht="11.25" customHeight="1">
      <c r="A19" s="4290" t="s">
        <v>1876</v>
      </c>
      <c r="B19" s="4291"/>
      <c r="C19" s="4291"/>
      <c r="D19" s="4291"/>
      <c r="E19" s="4291"/>
      <c r="F19" s="4291"/>
      <c r="G19" s="4291"/>
      <c r="H19" s="4291"/>
      <c r="I19" s="4291"/>
      <c r="J19" s="4291"/>
      <c r="K19" s="4291"/>
      <c r="L19" s="4291"/>
      <c r="M19" s="4291"/>
      <c r="N19" s="4291"/>
      <c r="O19" s="4291"/>
      <c r="P19" s="4291"/>
      <c r="Q19" s="4292"/>
      <c r="R19" s="3028"/>
      <c r="S19" s="3027"/>
    </row>
    <row r="20" spans="1:31" ht="11.25" customHeight="1">
      <c r="A20" s="4290" t="s">
        <v>1877</v>
      </c>
      <c r="B20" s="4291"/>
      <c r="C20" s="4291"/>
      <c r="D20" s="4291"/>
      <c r="E20" s="4291"/>
      <c r="F20" s="4291"/>
      <c r="G20" s="4291"/>
      <c r="H20" s="4291"/>
      <c r="I20" s="4291"/>
      <c r="J20" s="4291"/>
      <c r="K20" s="4291"/>
      <c r="L20" s="4291"/>
      <c r="M20" s="4291"/>
      <c r="N20" s="4291"/>
      <c r="O20" s="4291"/>
      <c r="P20" s="4291"/>
      <c r="Q20" s="4292"/>
      <c r="R20" s="3028"/>
      <c r="S20" s="3027"/>
    </row>
    <row r="21" spans="1:31" ht="11.25" customHeight="1">
      <c r="A21" s="4290" t="s">
        <v>1878</v>
      </c>
      <c r="B21" s="4291"/>
      <c r="C21" s="4291"/>
      <c r="D21" s="4291"/>
      <c r="E21" s="4291"/>
      <c r="F21" s="4291"/>
      <c r="G21" s="4291"/>
      <c r="H21" s="4291"/>
      <c r="I21" s="4291"/>
      <c r="J21" s="4291"/>
      <c r="K21" s="4291"/>
      <c r="L21" s="4291"/>
      <c r="M21" s="4291"/>
      <c r="N21" s="4291"/>
      <c r="O21" s="4291"/>
      <c r="P21" s="4291"/>
      <c r="Q21" s="4292"/>
    </row>
    <row r="22" spans="1:31" ht="11.25" customHeight="1">
      <c r="A22" s="4290" t="s">
        <v>1879</v>
      </c>
      <c r="B22" s="4291"/>
      <c r="C22" s="4291"/>
      <c r="D22" s="4291"/>
      <c r="E22" s="4291"/>
      <c r="F22" s="4291"/>
      <c r="G22" s="4291"/>
      <c r="H22" s="4291"/>
      <c r="I22" s="4291"/>
      <c r="J22" s="4291"/>
      <c r="K22" s="4291"/>
      <c r="L22" s="4291"/>
      <c r="M22" s="4291"/>
      <c r="N22" s="4291"/>
      <c r="O22" s="4291"/>
      <c r="P22" s="4291"/>
      <c r="Q22" s="4292"/>
      <c r="R22" s="3028"/>
      <c r="S22" s="3027"/>
    </row>
    <row r="23" spans="1:31" ht="11.25" customHeight="1">
      <c r="A23" s="4290" t="s">
        <v>1880</v>
      </c>
      <c r="B23" s="4291"/>
      <c r="C23" s="4291"/>
      <c r="D23" s="4291"/>
      <c r="E23" s="4291"/>
      <c r="F23" s="4291"/>
      <c r="G23" s="4291"/>
      <c r="H23" s="4291"/>
      <c r="I23" s="4291"/>
      <c r="J23" s="4291"/>
      <c r="K23" s="4291"/>
      <c r="L23" s="4291"/>
      <c r="M23" s="4291"/>
      <c r="N23" s="4291"/>
      <c r="O23" s="4291"/>
      <c r="P23" s="4291"/>
      <c r="Q23" s="4292"/>
      <c r="R23" s="3028"/>
      <c r="S23" s="3027"/>
    </row>
    <row r="24" spans="1:31" ht="11.25" customHeight="1">
      <c r="A24" s="4290" t="s">
        <v>1881</v>
      </c>
      <c r="B24" s="4291"/>
      <c r="C24" s="4291"/>
      <c r="D24" s="4291"/>
      <c r="E24" s="4291"/>
      <c r="F24" s="4291"/>
      <c r="G24" s="4291"/>
      <c r="H24" s="4291"/>
      <c r="I24" s="4291"/>
      <c r="J24" s="4291"/>
      <c r="K24" s="4291"/>
      <c r="L24" s="4291"/>
      <c r="M24" s="4291"/>
      <c r="N24" s="4291"/>
      <c r="O24" s="4291"/>
      <c r="P24" s="4291"/>
      <c r="Q24" s="4292"/>
      <c r="R24" s="3028"/>
      <c r="S24" s="3027"/>
    </row>
    <row r="25" spans="1:31" ht="11.25" customHeight="1">
      <c r="A25" s="4320" t="s">
        <v>1882</v>
      </c>
      <c r="B25" s="4321"/>
      <c r="C25" s="4321"/>
      <c r="D25" s="4321"/>
      <c r="E25" s="4321"/>
      <c r="F25" s="4321"/>
      <c r="G25" s="4321"/>
      <c r="H25" s="4321"/>
      <c r="I25" s="4321"/>
      <c r="J25" s="4321"/>
      <c r="K25" s="4321"/>
      <c r="L25" s="4321"/>
      <c r="M25" s="4321"/>
      <c r="N25" s="4321"/>
      <c r="O25" s="4321"/>
      <c r="P25" s="4321"/>
      <c r="Q25" s="4322"/>
      <c r="R25" s="3028"/>
      <c r="S25" s="3027"/>
    </row>
    <row r="26" spans="1:31" ht="6" customHeight="1"/>
    <row r="27" spans="1:31" ht="14.1" customHeight="1">
      <c r="A27" s="98" t="s">
        <v>689</v>
      </c>
      <c r="B27" s="99" t="s">
        <v>6633</v>
      </c>
      <c r="C27" s="100"/>
      <c r="D27" s="66"/>
      <c r="E27" s="66"/>
      <c r="F27" s="66"/>
      <c r="G27" s="66"/>
      <c r="I27" s="891"/>
      <c r="J27" s="891"/>
      <c r="K27" s="891"/>
      <c r="L27" s="686"/>
      <c r="M27" s="686"/>
      <c r="O27" s="101" t="s">
        <v>1731</v>
      </c>
      <c r="P27" s="4252"/>
      <c r="Q27" s="4241"/>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231"/>
      <c r="B30" s="4232"/>
      <c r="C30" s="4232"/>
      <c r="D30" s="4232"/>
      <c r="E30" s="4232"/>
      <c r="F30" s="4232"/>
      <c r="G30" s="4232"/>
      <c r="H30" s="4232"/>
      <c r="I30" s="4232"/>
      <c r="J30" s="4232"/>
      <c r="K30" s="4232"/>
      <c r="L30" s="4232"/>
      <c r="M30" s="4232"/>
      <c r="N30" s="4232"/>
      <c r="O30" s="4232"/>
      <c r="P30" s="4232"/>
      <c r="Q30" s="4233"/>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31"/>
      <c r="B32" s="4331"/>
      <c r="C32" s="4331"/>
      <c r="D32" s="4331"/>
      <c r="E32" s="4331"/>
      <c r="F32" s="4331"/>
      <c r="G32" s="4331"/>
      <c r="H32" s="4331"/>
      <c r="I32" s="4331"/>
      <c r="J32" s="4331"/>
      <c r="K32" s="4331"/>
      <c r="L32" s="4331"/>
      <c r="M32" s="4331"/>
      <c r="N32" s="4331"/>
      <c r="O32" s="4331"/>
      <c r="P32" s="4331"/>
      <c r="Q32" s="4331"/>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52"/>
      <c r="Q34" s="4241"/>
    </row>
    <row r="35" spans="1:31" ht="12.75" customHeight="1">
      <c r="A35" s="2"/>
      <c r="B35" s="108" t="s">
        <v>6641</v>
      </c>
      <c r="C35" s="4"/>
      <c r="D35" s="4"/>
      <c r="E35" s="887"/>
      <c r="F35" s="887"/>
      <c r="H35" s="887"/>
      <c r="J35" s="3077" t="s">
        <v>6465</v>
      </c>
      <c r="K35" s="3078"/>
      <c r="L35" s="3079"/>
      <c r="M35" s="147" t="s">
        <v>1647</v>
      </c>
      <c r="N35" s="4405"/>
      <c r="O35" s="4406"/>
      <c r="P35" s="4406"/>
      <c r="Q35" s="4407"/>
    </row>
    <row r="36" spans="1:31" ht="12.75" customHeight="1">
      <c r="A36" s="2"/>
      <c r="B36" s="108" t="s">
        <v>6640</v>
      </c>
      <c r="C36" s="4"/>
      <c r="D36" s="4"/>
      <c r="E36" s="887"/>
      <c r="F36" s="887"/>
      <c r="G36" s="1664"/>
      <c r="H36" s="887"/>
      <c r="J36" s="3077" t="s">
        <v>6466</v>
      </c>
      <c r="K36" s="3078"/>
      <c r="L36" s="3079"/>
      <c r="M36" s="147" t="s">
        <v>1647</v>
      </c>
      <c r="N36" s="4405"/>
      <c r="O36" s="4406"/>
      <c r="P36" s="4406"/>
      <c r="Q36" s="4407"/>
    </row>
    <row r="37" spans="1:31" ht="12.75" customHeight="1">
      <c r="B37" s="73" t="s">
        <v>3240</v>
      </c>
      <c r="D37" s="73"/>
      <c r="E37" s="73"/>
      <c r="F37" s="73"/>
      <c r="G37" s="73"/>
      <c r="H37" s="33"/>
      <c r="I37" s="891"/>
      <c r="J37" s="891"/>
      <c r="K37" s="1770" t="s">
        <v>1730</v>
      </c>
      <c r="L37" s="686"/>
      <c r="M37" s="686"/>
      <c r="N37" s="686"/>
      <c r="O37" s="686"/>
      <c r="P37" s="686"/>
      <c r="Q37" s="686"/>
    </row>
    <row r="38" spans="1:31" ht="10.5" customHeight="1">
      <c r="A38" s="4231"/>
      <c r="B38" s="4232"/>
      <c r="C38" s="4232"/>
      <c r="D38" s="4232"/>
      <c r="E38" s="4232"/>
      <c r="F38" s="4232"/>
      <c r="G38" s="4232"/>
      <c r="H38" s="4232"/>
      <c r="I38" s="4232"/>
      <c r="J38" s="4233"/>
      <c r="K38" s="4235"/>
      <c r="L38" s="4236"/>
      <c r="M38" s="4236"/>
      <c r="N38" s="4236"/>
      <c r="O38" s="4236"/>
      <c r="P38" s="4236"/>
      <c r="Q38" s="4237"/>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3789</v>
      </c>
      <c r="M40" s="1319" t="s">
        <v>3790</v>
      </c>
      <c r="O40" s="101" t="s">
        <v>1731</v>
      </c>
      <c r="P40" s="4252"/>
      <c r="Q40" s="4241"/>
    </row>
    <row r="41" spans="1:31" ht="1.5" customHeight="1"/>
    <row r="42" spans="1:31" ht="12" customHeight="1">
      <c r="A42" s="110" t="s">
        <v>1841</v>
      </c>
      <c r="B42" s="4234" t="s">
        <v>3784</v>
      </c>
      <c r="C42" s="4234"/>
      <c r="D42" s="4234"/>
      <c r="E42" s="4234"/>
      <c r="F42" s="4234"/>
      <c r="G42" s="4234"/>
      <c r="H42" s="4234"/>
      <c r="I42" s="4234"/>
      <c r="J42" s="4234"/>
      <c r="K42" s="115"/>
      <c r="L42" s="347" t="s">
        <v>2580</v>
      </c>
      <c r="M42" s="1203">
        <v>2</v>
      </c>
      <c r="N42" s="108" t="s">
        <v>4021</v>
      </c>
      <c r="P42" s="4274"/>
      <c r="Q42" s="4286"/>
    </row>
    <row r="43" spans="1:31" ht="12" customHeight="1">
      <c r="A43" s="110"/>
      <c r="B43" s="4234"/>
      <c r="C43" s="4234"/>
      <c r="D43" s="4234"/>
      <c r="E43" s="4234"/>
      <c r="F43" s="4234"/>
      <c r="G43" s="4234"/>
      <c r="H43" s="4234"/>
      <c r="I43" s="4234"/>
      <c r="J43" s="4234"/>
      <c r="K43" s="115"/>
      <c r="L43" s="347" t="s">
        <v>3788</v>
      </c>
      <c r="M43" s="1204">
        <v>4</v>
      </c>
      <c r="O43" s="111"/>
      <c r="P43" s="4275"/>
      <c r="Q43" s="4287"/>
    </row>
    <row r="44" spans="1:31" ht="12" customHeight="1">
      <c r="A44" s="110"/>
      <c r="D44" s="887"/>
      <c r="E44" s="887"/>
      <c r="F44" s="887"/>
      <c r="G44" s="887"/>
      <c r="H44" s="887"/>
      <c r="I44" s="887"/>
      <c r="J44" s="887"/>
      <c r="K44" s="115"/>
      <c r="L44" s="372" t="s">
        <v>6161</v>
      </c>
      <c r="M44" s="1204"/>
      <c r="O44" s="111"/>
      <c r="P44" s="1553"/>
      <c r="Q44" s="1554"/>
    </row>
    <row r="45" spans="1:31" ht="12" customHeight="1">
      <c r="A45" s="40" t="s">
        <v>1843</v>
      </c>
      <c r="B45" s="108" t="s">
        <v>3791</v>
      </c>
      <c r="C45" s="108"/>
      <c r="D45" s="108"/>
      <c r="E45" s="108"/>
      <c r="F45" s="108"/>
      <c r="G45" s="108"/>
      <c r="H45" s="108"/>
      <c r="I45" s="108"/>
      <c r="J45" s="108"/>
      <c r="K45" s="457"/>
      <c r="L45" s="108"/>
      <c r="M45" s="115"/>
      <c r="N45" s="717"/>
      <c r="O45" s="717"/>
      <c r="P45" s="717"/>
    </row>
    <row r="46" spans="1:31" ht="12.75" customHeight="1">
      <c r="A46" s="396"/>
      <c r="B46" s="1220" t="s">
        <v>1614</v>
      </c>
      <c r="C46" s="108" t="s">
        <v>3795</v>
      </c>
      <c r="D46" s="1175"/>
      <c r="E46" s="1175"/>
      <c r="F46" s="1175"/>
      <c r="G46" s="1175"/>
      <c r="H46" s="1175"/>
      <c r="I46" s="1175"/>
      <c r="J46" s="1175"/>
      <c r="K46" s="1174"/>
      <c r="L46" s="716"/>
      <c r="N46" s="108" t="s">
        <v>4022</v>
      </c>
      <c r="O46" s="717"/>
      <c r="P46" s="175"/>
      <c r="Q46" s="419"/>
    </row>
    <row r="47" spans="1:31" ht="12.75" customHeight="1">
      <c r="A47" s="396"/>
      <c r="B47" s="1220" t="s">
        <v>1615</v>
      </c>
      <c r="C47" s="108" t="s">
        <v>3792</v>
      </c>
      <c r="D47" s="1175"/>
      <c r="E47" s="1175"/>
      <c r="F47" s="1175"/>
      <c r="G47" s="1175"/>
      <c r="H47" s="1175"/>
      <c r="I47" s="1175"/>
      <c r="J47" s="1175"/>
      <c r="K47" s="1174"/>
      <c r="L47" s="716"/>
      <c r="N47" s="108" t="s">
        <v>4023</v>
      </c>
      <c r="O47" s="717"/>
      <c r="P47" s="299"/>
      <c r="Q47" s="420"/>
    </row>
    <row r="48" spans="1:31" ht="12.75" customHeight="1">
      <c r="A48" s="1173"/>
      <c r="B48" s="372" t="s">
        <v>1616</v>
      </c>
      <c r="C48" s="108" t="s">
        <v>3793</v>
      </c>
      <c r="E48" s="1175"/>
      <c r="F48" s="1175"/>
      <c r="G48" s="1175"/>
      <c r="H48" s="1175"/>
      <c r="I48" s="1175"/>
      <c r="J48" s="1175"/>
      <c r="K48" s="1174"/>
      <c r="L48" s="716"/>
      <c r="M48" s="717"/>
      <c r="N48" s="108" t="s">
        <v>4024</v>
      </c>
      <c r="O48" s="717"/>
      <c r="P48" s="299"/>
      <c r="Q48" s="420"/>
    </row>
    <row r="49" spans="1:31" ht="12.75" customHeight="1">
      <c r="A49" s="112"/>
      <c r="B49" s="372" t="s">
        <v>2182</v>
      </c>
      <c r="C49" s="372" t="s">
        <v>3796</v>
      </c>
      <c r="D49" s="103"/>
      <c r="E49" s="103"/>
      <c r="F49" s="103"/>
      <c r="G49" s="103"/>
      <c r="H49" s="103"/>
      <c r="I49" s="35"/>
      <c r="J49" s="35"/>
      <c r="N49" s="108" t="s">
        <v>4025</v>
      </c>
      <c r="O49" s="717"/>
      <c r="P49" s="176"/>
      <c r="Q49" s="421"/>
    </row>
    <row r="50" spans="1:31" ht="12.75" customHeight="1">
      <c r="A50" s="112"/>
      <c r="B50" s="372"/>
      <c r="C50" s="108" t="s">
        <v>3797</v>
      </c>
      <c r="D50" s="103"/>
      <c r="E50" s="103"/>
      <c r="F50" s="103"/>
      <c r="G50" s="103"/>
      <c r="H50" s="103"/>
      <c r="I50" s="35"/>
      <c r="J50" s="35"/>
      <c r="L50" s="4297"/>
      <c r="M50" s="4298"/>
      <c r="N50" s="4298"/>
      <c r="O50" s="4298"/>
      <c r="P50" s="4298"/>
      <c r="Q50" s="4299"/>
    </row>
    <row r="51" spans="1:31" ht="12.75" customHeight="1">
      <c r="A51" s="112"/>
      <c r="B51" s="372" t="s">
        <v>1448</v>
      </c>
      <c r="C51" s="4234" t="s">
        <v>3794</v>
      </c>
      <c r="D51" s="4234"/>
      <c r="E51" s="4234"/>
      <c r="F51" s="4234"/>
      <c r="G51" s="4234"/>
      <c r="H51" s="4234"/>
      <c r="I51" s="4234"/>
      <c r="J51" s="4234"/>
      <c r="K51" s="4234"/>
      <c r="L51" s="4234"/>
      <c r="M51" s="413"/>
      <c r="N51" s="108" t="s">
        <v>4026</v>
      </c>
      <c r="O51" s="717"/>
      <c r="P51" s="373"/>
      <c r="Q51" s="418"/>
    </row>
    <row r="52" spans="1:31" ht="12.75" customHeight="1">
      <c r="A52" s="40"/>
      <c r="C52" s="4234"/>
      <c r="D52" s="4234"/>
      <c r="E52" s="4234"/>
      <c r="F52" s="4234"/>
      <c r="G52" s="4234"/>
      <c r="H52" s="4234"/>
      <c r="I52" s="4234"/>
      <c r="J52" s="4234"/>
      <c r="K52" s="4234"/>
      <c r="L52" s="4234"/>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231"/>
      <c r="B54" s="4232"/>
      <c r="C54" s="4232"/>
      <c r="D54" s="4232"/>
      <c r="E54" s="4232"/>
      <c r="F54" s="4232"/>
      <c r="G54" s="4232"/>
      <c r="H54" s="4232"/>
      <c r="I54" s="4232"/>
      <c r="J54" s="4233"/>
      <c r="K54" s="4235"/>
      <c r="L54" s="4236"/>
      <c r="M54" s="4236"/>
      <c r="N54" s="4236"/>
      <c r="O54" s="4236"/>
      <c r="P54" s="4236"/>
      <c r="Q54" s="4237"/>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4019</v>
      </c>
      <c r="C56" s="2"/>
      <c r="D56" s="887"/>
      <c r="E56" s="887"/>
      <c r="F56" s="887"/>
      <c r="G56" s="887"/>
      <c r="H56" s="1326" t="str">
        <f>'Part I-Project Identification'!$K$28</f>
        <v>Rural</v>
      </c>
      <c r="J56" s="1810" t="s">
        <v>6634</v>
      </c>
      <c r="K56" s="430" t="str">
        <f>'Part VIII Scoring Criteria OLD'!$M$60</f>
        <v>&lt;&lt; Select Pool &gt;&gt;</v>
      </c>
      <c r="L56" s="1810" t="s">
        <v>3821</v>
      </c>
      <c r="M56" s="867" t="str">
        <f>J35</f>
        <v>&lt;&lt; Select PROPOSED Tenancy &gt;&gt;</v>
      </c>
      <c r="O56" s="101" t="s">
        <v>1731</v>
      </c>
      <c r="P56" s="4252"/>
      <c r="Q56" s="4241"/>
    </row>
    <row r="57" spans="1:31" ht="3" customHeight="1"/>
    <row r="58" spans="1:31" ht="12.75" customHeight="1">
      <c r="A58" s="40" t="s">
        <v>1841</v>
      </c>
      <c r="B58" s="32" t="s">
        <v>2264</v>
      </c>
      <c r="D58" s="103"/>
      <c r="E58" s="103"/>
      <c r="F58" s="103"/>
      <c r="G58" s="103"/>
      <c r="H58" s="103"/>
      <c r="I58" s="35"/>
      <c r="J58" s="35"/>
      <c r="K58" s="35"/>
      <c r="L58" s="48" t="s">
        <v>1841</v>
      </c>
      <c r="M58" s="4328"/>
      <c r="N58" s="4329"/>
      <c r="O58" s="4329"/>
      <c r="P58" s="4330"/>
      <c r="Q58" s="419"/>
    </row>
    <row r="59" spans="1:31" ht="12.75" customHeight="1">
      <c r="A59" s="40" t="s">
        <v>1843</v>
      </c>
      <c r="B59" s="29" t="s">
        <v>3946</v>
      </c>
      <c r="D59" s="103"/>
      <c r="E59" s="103"/>
      <c r="F59" s="103"/>
      <c r="L59" s="48" t="s">
        <v>1843</v>
      </c>
      <c r="M59" s="4271"/>
      <c r="N59" s="4272"/>
      <c r="O59" s="4272"/>
      <c r="P59" s="3310"/>
      <c r="Q59" s="420"/>
    </row>
    <row r="60" spans="1:31" ht="12.75" customHeight="1">
      <c r="A60" s="40" t="s">
        <v>698</v>
      </c>
      <c r="B60" s="29" t="s">
        <v>2557</v>
      </c>
      <c r="D60" s="103"/>
      <c r="E60" s="103"/>
      <c r="F60" s="103"/>
      <c r="L60" s="48" t="s">
        <v>698</v>
      </c>
      <c r="M60" s="4267"/>
      <c r="N60" s="4268"/>
      <c r="O60" s="4268"/>
      <c r="P60" s="4269"/>
      <c r="Q60" s="420"/>
    </row>
    <row r="61" spans="1:31" ht="12.75" customHeight="1">
      <c r="A61" s="40" t="s">
        <v>1962</v>
      </c>
      <c r="B61" s="29" t="s">
        <v>3304</v>
      </c>
      <c r="D61" s="103"/>
      <c r="E61" s="103"/>
      <c r="F61" s="103"/>
      <c r="J61" s="48" t="s">
        <v>3305</v>
      </c>
      <c r="K61" s="1531"/>
      <c r="L61" s="1528"/>
      <c r="M61" s="1530"/>
      <c r="N61" s="1529"/>
      <c r="O61" s="877" t="s">
        <v>3390</v>
      </c>
      <c r="P61" s="878"/>
      <c r="Q61" s="1527"/>
    </row>
    <row r="62" spans="1:31" ht="12.75" customHeight="1">
      <c r="A62" s="40" t="s">
        <v>1612</v>
      </c>
      <c r="B62" s="29" t="s">
        <v>3947</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73"/>
      <c r="F64" s="4273"/>
      <c r="G64" s="4273"/>
      <c r="H64" s="48" t="s">
        <v>2182</v>
      </c>
      <c r="I64" s="384"/>
      <c r="J64" s="4273"/>
      <c r="K64" s="4273"/>
      <c r="L64" s="4273"/>
      <c r="M64" s="48" t="s">
        <v>93</v>
      </c>
      <c r="N64" s="384"/>
      <c r="O64" s="4273"/>
      <c r="P64" s="4273"/>
      <c r="Q64" s="4273"/>
    </row>
    <row r="65" spans="1:31" ht="12.75" customHeight="1">
      <c r="C65" s="49" t="s">
        <v>1615</v>
      </c>
      <c r="D65" s="1772"/>
      <c r="E65" s="4383"/>
      <c r="F65" s="4383"/>
      <c r="G65" s="4383"/>
      <c r="H65" s="48" t="s">
        <v>1448</v>
      </c>
      <c r="I65" s="1772"/>
      <c r="J65" s="4383"/>
      <c r="K65" s="4383"/>
      <c r="L65" s="4383"/>
      <c r="M65" s="48" t="s">
        <v>481</v>
      </c>
      <c r="N65" s="1772"/>
      <c r="O65" s="4383"/>
      <c r="P65" s="4383"/>
      <c r="Q65" s="4383"/>
    </row>
    <row r="66" spans="1:31" ht="12.75" customHeight="1">
      <c r="C66" s="49" t="s">
        <v>1616</v>
      </c>
      <c r="D66" s="385"/>
      <c r="E66" s="4323"/>
      <c r="F66" s="4323"/>
      <c r="G66" s="4323"/>
      <c r="H66" s="48" t="s">
        <v>1449</v>
      </c>
      <c r="I66" s="385"/>
      <c r="J66" s="4323"/>
      <c r="K66" s="4323"/>
      <c r="L66" s="4323"/>
      <c r="M66" s="48" t="s">
        <v>482</v>
      </c>
      <c r="N66" s="385"/>
      <c r="O66" s="4323"/>
      <c r="P66" s="4323"/>
      <c r="Q66" s="4323"/>
    </row>
    <row r="67" spans="1:31" ht="12.75" customHeight="1">
      <c r="A67" s="40" t="s">
        <v>1613</v>
      </c>
      <c r="B67" s="29" t="s">
        <v>6105</v>
      </c>
      <c r="D67" s="103"/>
      <c r="E67" s="103"/>
      <c r="F67" s="103"/>
      <c r="G67" s="103"/>
      <c r="H67" s="103"/>
      <c r="I67" s="35"/>
      <c r="J67" s="35"/>
      <c r="K67" s="103"/>
      <c r="L67" s="889"/>
      <c r="M67" s="889"/>
      <c r="O67" s="48" t="s">
        <v>1613</v>
      </c>
      <c r="P67" s="1287"/>
      <c r="Q67" s="1288"/>
    </row>
    <row r="68" spans="1:31" ht="12.75" customHeight="1">
      <c r="A68" s="40" t="s">
        <v>1808</v>
      </c>
      <c r="B68" s="29" t="s">
        <v>6106</v>
      </c>
      <c r="D68" s="103"/>
      <c r="E68" s="103"/>
      <c r="F68" s="103"/>
      <c r="G68" s="103"/>
      <c r="H68" s="103"/>
      <c r="I68" s="35"/>
      <c r="J68" s="35"/>
      <c r="K68" s="103"/>
      <c r="L68" s="889"/>
      <c r="M68" s="889"/>
      <c r="O68" s="48" t="s">
        <v>1808</v>
      </c>
      <c r="P68" s="299"/>
      <c r="Q68" s="420"/>
    </row>
    <row r="69" spans="1:31" ht="10.5" customHeight="1">
      <c r="A69" s="40" t="s">
        <v>3004</v>
      </c>
      <c r="B69" s="29" t="s">
        <v>6107</v>
      </c>
      <c r="D69" s="103"/>
      <c r="E69" s="103"/>
      <c r="F69" s="103"/>
      <c r="G69" s="103"/>
      <c r="H69" s="103"/>
      <c r="I69" s="35"/>
      <c r="J69" s="35"/>
      <c r="K69" s="103"/>
      <c r="L69" s="889"/>
      <c r="M69" s="889"/>
      <c r="O69" s="48" t="s">
        <v>3004</v>
      </c>
      <c r="P69" s="878"/>
      <c r="Q69" s="1527"/>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231"/>
      <c r="B71" s="4232"/>
      <c r="C71" s="4232"/>
      <c r="D71" s="4232"/>
      <c r="E71" s="4232"/>
      <c r="F71" s="4232"/>
      <c r="G71" s="4232"/>
      <c r="H71" s="4232"/>
      <c r="I71" s="4232"/>
      <c r="J71" s="4232"/>
      <c r="K71" s="4232"/>
      <c r="L71" s="4232"/>
      <c r="M71" s="4232"/>
      <c r="N71" s="4232"/>
      <c r="O71" s="4232"/>
      <c r="P71" s="4232"/>
      <c r="Q71" s="4233"/>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35"/>
      <c r="B73" s="4236"/>
      <c r="C73" s="4236"/>
      <c r="D73" s="4236"/>
      <c r="E73" s="4236"/>
      <c r="F73" s="4236"/>
      <c r="G73" s="4236"/>
      <c r="H73" s="4236"/>
      <c r="I73" s="4236"/>
      <c r="J73" s="4236"/>
      <c r="K73" s="4236"/>
      <c r="L73" s="4236"/>
      <c r="M73" s="4236"/>
      <c r="N73" s="4236"/>
      <c r="O73" s="4236"/>
      <c r="P73" s="4236"/>
      <c r="Q73" s="4237"/>
    </row>
    <row r="74" spans="1:31" ht="14.1" customHeight="1">
      <c r="A74" s="2" t="s">
        <v>496</v>
      </c>
      <c r="B74" s="2" t="s">
        <v>2423</v>
      </c>
      <c r="C74" s="2"/>
      <c r="D74" s="887"/>
      <c r="E74" s="887"/>
      <c r="F74" s="887"/>
      <c r="G74" s="887"/>
      <c r="H74" s="887"/>
      <c r="I74" s="887"/>
      <c r="J74" s="887"/>
      <c r="K74" s="887"/>
      <c r="L74" s="887"/>
      <c r="M74" s="887"/>
      <c r="O74" s="101" t="s">
        <v>1731</v>
      </c>
      <c r="P74" s="4252"/>
      <c r="Q74" s="4241"/>
    </row>
    <row r="75" spans="1:31" ht="3" customHeight="1"/>
    <row r="76" spans="1:31" ht="12.75" customHeight="1">
      <c r="A76" s="40" t="s">
        <v>1841</v>
      </c>
      <c r="B76" s="29" t="s">
        <v>4027</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97"/>
      <c r="N77" s="4298"/>
      <c r="O77" s="4298"/>
      <c r="P77" s="4392"/>
      <c r="Q77" s="420"/>
    </row>
    <row r="78" spans="1:31" s="35" customFormat="1" ht="12.75" customHeight="1">
      <c r="B78" s="113" t="s">
        <v>1615</v>
      </c>
      <c r="C78" s="29" t="s">
        <v>3836</v>
      </c>
      <c r="O78" s="49" t="s">
        <v>1615</v>
      </c>
      <c r="P78" s="1287"/>
      <c r="Q78" s="1288"/>
    </row>
    <row r="79" spans="1:31" s="35" customFormat="1" ht="12.75" customHeight="1">
      <c r="B79" s="1220" t="s">
        <v>1616</v>
      </c>
      <c r="C79" s="29" t="s">
        <v>4054</v>
      </c>
      <c r="O79" s="117" t="s">
        <v>1616</v>
      </c>
      <c r="P79" s="1402"/>
      <c r="Q79" s="1403"/>
    </row>
    <row r="80" spans="1:31" ht="12.75" customHeight="1">
      <c r="A80" s="891"/>
      <c r="B80" s="372" t="s">
        <v>2182</v>
      </c>
      <c r="C80" s="33" t="s">
        <v>3798</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234" t="s">
        <v>3949</v>
      </c>
      <c r="D84" s="4234"/>
      <c r="E84" s="4234"/>
      <c r="F84" s="4234"/>
      <c r="G84" s="4234"/>
      <c r="H84" s="4234"/>
      <c r="I84" s="4234"/>
      <c r="J84" s="4234"/>
      <c r="K84" s="4234"/>
      <c r="L84" s="4234"/>
      <c r="M84" s="4234"/>
      <c r="N84" s="4234"/>
      <c r="O84" s="128" t="s">
        <v>481</v>
      </c>
      <c r="P84" s="896"/>
      <c r="Q84" s="895"/>
    </row>
    <row r="85" spans="1:31" ht="12.75" customHeight="1">
      <c r="A85" s="40" t="s">
        <v>1843</v>
      </c>
      <c r="B85" s="29" t="s">
        <v>3948</v>
      </c>
      <c r="C85" s="29"/>
      <c r="E85" s="29"/>
      <c r="F85" s="29"/>
      <c r="G85" s="29"/>
      <c r="H85" s="29"/>
      <c r="I85" s="29"/>
      <c r="J85" s="29"/>
      <c r="K85" s="29"/>
      <c r="L85" s="29"/>
      <c r="M85" s="29"/>
      <c r="O85" s="48" t="s">
        <v>1843</v>
      </c>
      <c r="P85" s="1287"/>
      <c r="Q85" s="1288"/>
    </row>
    <row r="86" spans="1:31" ht="12.75" customHeight="1">
      <c r="B86" s="1220" t="s">
        <v>1614</v>
      </c>
      <c r="C86" s="29" t="s">
        <v>4073</v>
      </c>
      <c r="D86" s="29"/>
      <c r="E86" s="29"/>
      <c r="F86" s="29"/>
      <c r="G86" s="29"/>
      <c r="H86" s="29"/>
      <c r="I86" s="29"/>
      <c r="J86" s="29"/>
      <c r="K86" s="29"/>
      <c r="L86" s="29"/>
      <c r="M86" s="29"/>
      <c r="O86" s="117" t="s">
        <v>1614</v>
      </c>
      <c r="P86" s="1287"/>
      <c r="Q86" s="1288"/>
    </row>
    <row r="87" spans="1:31" ht="12.75" customHeight="1">
      <c r="A87" s="40"/>
      <c r="B87" s="113" t="s">
        <v>1615</v>
      </c>
      <c r="C87" s="29" t="s">
        <v>4072</v>
      </c>
      <c r="D87" s="29"/>
      <c r="E87" s="29"/>
      <c r="F87" s="29"/>
      <c r="G87" s="29"/>
      <c r="H87" s="29"/>
      <c r="I87" s="29"/>
      <c r="J87" s="29"/>
      <c r="K87" s="29"/>
      <c r="L87" s="29"/>
      <c r="M87" s="29"/>
      <c r="O87" s="49" t="s">
        <v>1615</v>
      </c>
      <c r="P87" s="1400"/>
      <c r="Q87" s="1399"/>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231"/>
      <c r="B89" s="4232"/>
      <c r="C89" s="4232"/>
      <c r="D89" s="4232"/>
      <c r="E89" s="4232"/>
      <c r="F89" s="4232"/>
      <c r="G89" s="4232"/>
      <c r="H89" s="4232"/>
      <c r="I89" s="4232"/>
      <c r="J89" s="4232"/>
      <c r="K89" s="4232"/>
      <c r="L89" s="4232"/>
      <c r="M89" s="4232"/>
      <c r="N89" s="4232"/>
      <c r="O89" s="4232"/>
      <c r="P89" s="4232"/>
      <c r="Q89" s="4233"/>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35"/>
      <c r="B91" s="4236"/>
      <c r="C91" s="4236"/>
      <c r="D91" s="4236"/>
      <c r="E91" s="4236"/>
      <c r="F91" s="4236"/>
      <c r="G91" s="4236"/>
      <c r="H91" s="4236"/>
      <c r="I91" s="4236"/>
      <c r="J91" s="4236"/>
      <c r="K91" s="4236"/>
      <c r="L91" s="4236"/>
      <c r="M91" s="4236"/>
      <c r="N91" s="4236"/>
      <c r="O91" s="4236"/>
      <c r="P91" s="4236"/>
      <c r="Q91" s="4237"/>
    </row>
    <row r="92" spans="1:31" ht="14.1" customHeight="1">
      <c r="A92" s="2" t="s">
        <v>720</v>
      </c>
      <c r="B92" s="2" t="s">
        <v>2424</v>
      </c>
      <c r="C92" s="33"/>
      <c r="D92" s="887"/>
      <c r="E92" s="887"/>
      <c r="F92" s="887"/>
      <c r="G92" s="887"/>
      <c r="H92" s="887"/>
      <c r="I92" s="887"/>
      <c r="J92" s="887"/>
      <c r="K92" s="887"/>
      <c r="L92" s="887"/>
      <c r="M92" s="887"/>
      <c r="N92" s="858" t="s">
        <v>6532</v>
      </c>
      <c r="O92" s="101" t="s">
        <v>1731</v>
      </c>
      <c r="P92" s="4252"/>
      <c r="Q92" s="4241"/>
      <c r="R92" s="860" t="s">
        <v>6519</v>
      </c>
    </row>
    <row r="93" spans="1:31" ht="6.6" customHeight="1"/>
    <row r="94" spans="1:31">
      <c r="A94" s="40" t="s">
        <v>1841</v>
      </c>
      <c r="B94" s="29" t="s">
        <v>6186</v>
      </c>
      <c r="D94" s="103"/>
      <c r="E94" s="103"/>
      <c r="F94" s="103"/>
      <c r="G94" s="103"/>
      <c r="H94" s="103"/>
      <c r="I94" s="35"/>
      <c r="J94" s="35"/>
      <c r="K94" s="48" t="s">
        <v>1841</v>
      </c>
      <c r="L94" s="4384"/>
      <c r="M94" s="4384"/>
      <c r="N94" s="4384"/>
      <c r="O94" s="4384"/>
      <c r="P94" s="4385"/>
      <c r="Q94" s="1790"/>
    </row>
    <row r="95" spans="1:31" ht="12" customHeight="1">
      <c r="B95" s="44" t="s">
        <v>6626</v>
      </c>
      <c r="O95" s="49" t="s">
        <v>1615</v>
      </c>
      <c r="P95" s="299"/>
      <c r="Q95" s="420"/>
    </row>
    <row r="96" spans="1:31" ht="12" customHeight="1">
      <c r="B96" s="44" t="s">
        <v>6520</v>
      </c>
      <c r="I96" s="44" t="s">
        <v>6522</v>
      </c>
      <c r="K96" s="1798"/>
      <c r="L96" s="1799"/>
      <c r="N96" s="44" t="s">
        <v>6521</v>
      </c>
      <c r="P96" s="1796"/>
      <c r="Q96" s="1797"/>
    </row>
    <row r="97" spans="1:17" ht="12" customHeight="1">
      <c r="A97" s="40" t="s">
        <v>1843</v>
      </c>
      <c r="B97" s="29" t="s">
        <v>6631</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288"/>
      <c r="M99" s="4288"/>
      <c r="N99" s="4288"/>
      <c r="O99" s="4288"/>
      <c r="P99" s="4289"/>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3785</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6619</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6620</v>
      </c>
      <c r="E104" s="103"/>
      <c r="F104" s="103"/>
      <c r="G104" s="103"/>
      <c r="H104" s="72"/>
      <c r="I104" s="72"/>
      <c r="J104" s="72"/>
      <c r="K104" s="103"/>
      <c r="L104" s="889"/>
      <c r="M104" s="889"/>
      <c r="O104" s="48" t="s">
        <v>1615</v>
      </c>
      <c r="P104" s="299"/>
      <c r="Q104" s="420"/>
    </row>
    <row r="105" spans="1:17" s="115" customFormat="1" ht="12" customHeight="1">
      <c r="A105" s="40"/>
      <c r="B105" s="33"/>
      <c r="C105" s="29" t="s">
        <v>6621</v>
      </c>
      <c r="E105" s="48" t="s">
        <v>2240</v>
      </c>
      <c r="F105" s="29" t="s">
        <v>6622</v>
      </c>
      <c r="G105" s="72"/>
      <c r="H105" s="29"/>
      <c r="I105" s="72"/>
      <c r="J105" s="72"/>
      <c r="K105" s="103"/>
      <c r="L105" s="889"/>
      <c r="M105" s="889"/>
      <c r="O105" s="48" t="s">
        <v>2240</v>
      </c>
      <c r="P105" s="1864"/>
      <c r="Q105" s="1865"/>
    </row>
    <row r="106" spans="1:17" s="115" customFormat="1" ht="12" customHeight="1">
      <c r="A106" s="40"/>
      <c r="B106" s="33"/>
      <c r="E106" s="48" t="s">
        <v>2241</v>
      </c>
      <c r="F106" s="29" t="s">
        <v>6623</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6621</v>
      </c>
      <c r="E108" s="48" t="s">
        <v>2240</v>
      </c>
      <c r="F108" s="29" t="s">
        <v>6624</v>
      </c>
      <c r="G108" s="72"/>
      <c r="H108" s="29"/>
      <c r="I108" s="72"/>
      <c r="J108" s="72"/>
      <c r="K108" s="103"/>
      <c r="L108" s="889"/>
      <c r="O108" s="48" t="s">
        <v>2240</v>
      </c>
      <c r="P108" s="1864"/>
      <c r="Q108" s="1865"/>
    </row>
    <row r="109" spans="1:17" s="115" customFormat="1" ht="12" customHeight="1">
      <c r="A109" s="40"/>
      <c r="B109" s="48"/>
      <c r="E109" s="48" t="s">
        <v>2241</v>
      </c>
      <c r="F109" s="29" t="s">
        <v>6625</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3858</v>
      </c>
      <c r="I111" s="29" t="s">
        <v>2500</v>
      </c>
      <c r="J111" s="1287"/>
      <c r="K111" s="1288"/>
      <c r="L111" s="48" t="s">
        <v>3862</v>
      </c>
      <c r="M111" s="108" t="s">
        <v>6191</v>
      </c>
      <c r="P111" s="1287"/>
      <c r="Q111" s="1288"/>
    </row>
    <row r="112" spans="1:17" ht="12.75" customHeight="1">
      <c r="B112" s="113" t="s">
        <v>1615</v>
      </c>
      <c r="C112" s="29" t="s">
        <v>6187</v>
      </c>
      <c r="E112" s="103"/>
      <c r="F112" s="299"/>
      <c r="G112" s="420"/>
      <c r="H112" s="48" t="s">
        <v>3859</v>
      </c>
      <c r="I112" s="29" t="s">
        <v>6108</v>
      </c>
      <c r="J112" s="299"/>
      <c r="K112" s="420"/>
      <c r="L112" s="48" t="s">
        <v>3863</v>
      </c>
      <c r="M112" s="44" t="s">
        <v>3282</v>
      </c>
      <c r="O112" s="889"/>
      <c r="P112" s="299"/>
      <c r="Q112" s="420"/>
    </row>
    <row r="113" spans="1:31" ht="12" customHeight="1">
      <c r="A113" s="29"/>
      <c r="B113" s="113" t="s">
        <v>1616</v>
      </c>
      <c r="C113" s="29" t="s">
        <v>6188</v>
      </c>
      <c r="E113" s="103"/>
      <c r="F113" s="299"/>
      <c r="G113" s="420"/>
      <c r="H113" s="48" t="s">
        <v>3860</v>
      </c>
      <c r="I113" s="29" t="s">
        <v>6109</v>
      </c>
      <c r="J113" s="299"/>
      <c r="K113" s="420"/>
      <c r="L113" s="48" t="s">
        <v>3864</v>
      </c>
      <c r="M113" s="29" t="s">
        <v>1450</v>
      </c>
      <c r="P113" s="299"/>
      <c r="Q113" s="420"/>
    </row>
    <row r="114" spans="1:31" ht="12" customHeight="1">
      <c r="A114" s="29"/>
      <c r="B114" s="113" t="s">
        <v>2182</v>
      </c>
      <c r="C114" s="44" t="s">
        <v>2415</v>
      </c>
      <c r="E114" s="103"/>
      <c r="F114" s="176"/>
      <c r="G114" s="421"/>
      <c r="H114" s="48" t="s">
        <v>3861</v>
      </c>
      <c r="I114" s="44" t="s">
        <v>6189</v>
      </c>
      <c r="J114" s="176"/>
      <c r="K114" s="421"/>
      <c r="L114" s="48" t="s">
        <v>6190</v>
      </c>
      <c r="M114" s="44" t="s">
        <v>6110</v>
      </c>
      <c r="P114" s="176"/>
      <c r="Q114" s="421"/>
    </row>
    <row r="115" spans="1:31" ht="12" customHeight="1">
      <c r="A115" s="29"/>
      <c r="B115" s="48" t="s">
        <v>6523</v>
      </c>
      <c r="C115" s="29" t="s">
        <v>2501</v>
      </c>
      <c r="E115" s="103"/>
      <c r="F115" s="103"/>
      <c r="G115" s="103"/>
      <c r="H115" s="103"/>
      <c r="I115" s="103"/>
      <c r="J115" s="103"/>
      <c r="K115" s="103"/>
      <c r="L115" s="103"/>
      <c r="M115" s="29"/>
      <c r="O115" s="49"/>
      <c r="P115" s="49"/>
    </row>
    <row r="116" spans="1:31" ht="12" customHeight="1">
      <c r="A116" s="29"/>
      <c r="C116" s="4270"/>
      <c r="D116" s="4270"/>
      <c r="E116" s="4270"/>
      <c r="F116" s="4270"/>
      <c r="G116" s="4270"/>
      <c r="H116" s="4270"/>
      <c r="I116" s="4270"/>
      <c r="J116" s="4270"/>
      <c r="K116" s="4270"/>
      <c r="L116" s="4270"/>
      <c r="M116" s="4270"/>
      <c r="N116" s="4270"/>
      <c r="O116" s="4270"/>
      <c r="P116" s="4270"/>
      <c r="Q116" s="4270"/>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6627</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3846</v>
      </c>
      <c r="E121" s="29"/>
      <c r="F121" s="29"/>
      <c r="G121" s="29"/>
      <c r="H121" s="29"/>
      <c r="I121" s="35"/>
      <c r="J121" s="35"/>
      <c r="K121" s="29"/>
      <c r="L121" s="29"/>
      <c r="M121" s="29"/>
      <c r="O121" s="48" t="s">
        <v>2182</v>
      </c>
      <c r="P121" s="176"/>
      <c r="Q121" s="421"/>
    </row>
    <row r="122" spans="1:31" ht="12" customHeight="1">
      <c r="A122" s="67" t="s">
        <v>3950</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34" t="s">
        <v>141</v>
      </c>
      <c r="C123" s="4234"/>
      <c r="D123" s="4234"/>
      <c r="E123" s="4234"/>
      <c r="F123" s="4234"/>
      <c r="G123" s="4234"/>
      <c r="H123" s="4234"/>
      <c r="I123" s="4234"/>
      <c r="J123" s="4234"/>
      <c r="K123" s="4234"/>
      <c r="L123" s="4234"/>
      <c r="M123" s="128" t="s">
        <v>1808</v>
      </c>
      <c r="N123" s="4248" t="s">
        <v>1646</v>
      </c>
      <c r="O123" s="4249"/>
      <c r="P123" s="4250" t="s">
        <v>1646</v>
      </c>
      <c r="Q123" s="4251"/>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231"/>
      <c r="B125" s="4232"/>
      <c r="C125" s="4232"/>
      <c r="D125" s="4232"/>
      <c r="E125" s="4232"/>
      <c r="F125" s="4232"/>
      <c r="G125" s="4232"/>
      <c r="H125" s="4232"/>
      <c r="I125" s="4232"/>
      <c r="J125" s="4232"/>
      <c r="K125" s="4232"/>
      <c r="L125" s="4232"/>
      <c r="M125" s="4232"/>
      <c r="N125" s="4232"/>
      <c r="O125" s="4232"/>
      <c r="P125" s="4232"/>
      <c r="Q125" s="4233"/>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35"/>
      <c r="B128" s="4236"/>
      <c r="C128" s="4236"/>
      <c r="D128" s="4236"/>
      <c r="E128" s="4236"/>
      <c r="F128" s="4236"/>
      <c r="G128" s="4236"/>
      <c r="H128" s="4236"/>
      <c r="I128" s="4236"/>
      <c r="J128" s="4236"/>
      <c r="K128" s="4236"/>
      <c r="L128" s="4236"/>
      <c r="M128" s="4236"/>
      <c r="N128" s="4236"/>
      <c r="O128" s="4236"/>
      <c r="P128" s="4236"/>
      <c r="Q128" s="4237"/>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6532</v>
      </c>
      <c r="O130" s="101" t="s">
        <v>1731</v>
      </c>
      <c r="P130" s="4252"/>
      <c r="Q130" s="4241"/>
      <c r="R130" s="860" t="s">
        <v>6519</v>
      </c>
    </row>
    <row r="131" spans="1:31" ht="12" customHeight="1">
      <c r="A131" s="40" t="s">
        <v>1841</v>
      </c>
      <c r="B131" s="113" t="s">
        <v>1614</v>
      </c>
      <c r="C131" s="29" t="s">
        <v>6534</v>
      </c>
      <c r="D131" s="29"/>
      <c r="E131" s="29"/>
      <c r="F131" s="29"/>
      <c r="G131" s="29"/>
      <c r="K131" s="29" t="s">
        <v>2460</v>
      </c>
      <c r="M131" s="4276"/>
      <c r="N131" s="4277"/>
      <c r="O131" s="49" t="s">
        <v>1614</v>
      </c>
      <c r="P131" s="74"/>
      <c r="Q131" s="417"/>
    </row>
    <row r="132" spans="1:31" ht="12" customHeight="1">
      <c r="A132" s="40"/>
      <c r="B132" s="113" t="s">
        <v>1615</v>
      </c>
      <c r="C132" s="29" t="s">
        <v>4055</v>
      </c>
      <c r="D132" s="29"/>
      <c r="E132" s="29"/>
      <c r="F132" s="29"/>
      <c r="G132" s="29"/>
      <c r="K132" s="29" t="s">
        <v>2460</v>
      </c>
      <c r="M132" s="4276"/>
      <c r="N132" s="4277"/>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24" t="s">
        <v>6841</v>
      </c>
      <c r="N133" s="4325"/>
      <c r="P133" s="4326" t="s">
        <v>1646</v>
      </c>
      <c r="Q133" s="4327"/>
    </row>
    <row r="134" spans="1:31" ht="12" customHeight="1">
      <c r="A134" s="40" t="s">
        <v>698</v>
      </c>
      <c r="B134" s="108" t="s">
        <v>636</v>
      </c>
      <c r="D134" s="108"/>
      <c r="E134" s="108"/>
      <c r="F134" s="108"/>
      <c r="G134" s="108"/>
      <c r="H134" s="108"/>
      <c r="J134" s="48" t="s">
        <v>698</v>
      </c>
      <c r="K134" s="4297"/>
      <c r="L134" s="4298"/>
      <c r="M134" s="4298"/>
      <c r="N134" s="4298"/>
      <c r="O134" s="4298"/>
      <c r="P134" s="4299"/>
      <c r="Q134" s="417"/>
    </row>
    <row r="135" spans="1:31" ht="21.75" customHeight="1">
      <c r="A135" s="110" t="s">
        <v>1962</v>
      </c>
      <c r="B135" s="4234" t="s">
        <v>6192</v>
      </c>
      <c r="C135" s="4234"/>
      <c r="D135" s="4234"/>
      <c r="E135" s="4234"/>
      <c r="F135" s="4234"/>
      <c r="G135" s="4234"/>
      <c r="H135" s="4234"/>
      <c r="I135" s="4234"/>
      <c r="J135" s="4234"/>
      <c r="K135" s="4234"/>
      <c r="L135" s="4234"/>
      <c r="M135" s="4234"/>
      <c r="N135" s="4234"/>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7" customHeight="1">
      <c r="A137" s="4231"/>
      <c r="B137" s="4232"/>
      <c r="C137" s="4232"/>
      <c r="D137" s="4232"/>
      <c r="E137" s="4232"/>
      <c r="F137" s="4232"/>
      <c r="G137" s="4232"/>
      <c r="H137" s="4232"/>
      <c r="I137" s="4232"/>
      <c r="J137" s="4232"/>
      <c r="K137" s="4232"/>
      <c r="L137" s="4232"/>
      <c r="M137" s="4232"/>
      <c r="N137" s="4232"/>
      <c r="O137" s="4232"/>
      <c r="P137" s="4232"/>
      <c r="Q137" s="4233"/>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7" customHeight="1">
      <c r="A139" s="4235"/>
      <c r="B139" s="4236"/>
      <c r="C139" s="4236"/>
      <c r="D139" s="4236"/>
      <c r="E139" s="4236"/>
      <c r="F139" s="4236"/>
      <c r="G139" s="4236"/>
      <c r="H139" s="4236"/>
      <c r="I139" s="4236"/>
      <c r="J139" s="4236"/>
      <c r="K139" s="4236"/>
      <c r="L139" s="4236"/>
      <c r="M139" s="4236"/>
      <c r="N139" s="4236"/>
      <c r="O139" s="4236"/>
      <c r="P139" s="4236"/>
      <c r="Q139" s="4237"/>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52"/>
      <c r="Q141" s="4241"/>
    </row>
    <row r="142" spans="1:31" ht="21.75" customHeight="1">
      <c r="A142" s="110" t="s">
        <v>1841</v>
      </c>
      <c r="B142" s="4234" t="s">
        <v>3233</v>
      </c>
      <c r="C142" s="4234"/>
      <c r="D142" s="4234"/>
      <c r="E142" s="4234"/>
      <c r="F142" s="4234"/>
      <c r="G142" s="4234"/>
      <c r="H142" s="4234"/>
      <c r="I142" s="4234"/>
      <c r="J142" s="4234"/>
      <c r="K142" s="4234"/>
      <c r="L142" s="4234"/>
      <c r="M142" s="4234"/>
      <c r="N142" s="4234"/>
      <c r="O142" s="128" t="s">
        <v>1841</v>
      </c>
      <c r="P142" s="894"/>
      <c r="Q142" s="893"/>
    </row>
    <row r="143" spans="1:31" ht="22.35" customHeight="1">
      <c r="A143" s="110" t="s">
        <v>1843</v>
      </c>
      <c r="B143" s="4234" t="s">
        <v>3799</v>
      </c>
      <c r="C143" s="4234"/>
      <c r="D143" s="4234"/>
      <c r="E143" s="4234"/>
      <c r="F143" s="4234"/>
      <c r="G143" s="4234"/>
      <c r="H143" s="4234"/>
      <c r="I143" s="4234"/>
      <c r="J143" s="4234"/>
      <c r="K143" s="4234"/>
      <c r="L143" s="4234"/>
      <c r="M143" s="4234"/>
      <c r="N143" s="4234"/>
      <c r="O143" s="128" t="s">
        <v>1843</v>
      </c>
      <c r="P143" s="431"/>
      <c r="Q143" s="422"/>
    </row>
    <row r="144" spans="1:31" ht="22.35" customHeight="1">
      <c r="A144" s="110" t="s">
        <v>698</v>
      </c>
      <c r="B144" s="4234" t="s">
        <v>3234</v>
      </c>
      <c r="C144" s="4234"/>
      <c r="D144" s="4234"/>
      <c r="E144" s="4234"/>
      <c r="F144" s="4234"/>
      <c r="G144" s="4234"/>
      <c r="H144" s="4234"/>
      <c r="I144" s="4234"/>
      <c r="J144" s="4234"/>
      <c r="K144" s="4234"/>
      <c r="L144" s="4234"/>
      <c r="M144" s="4234"/>
      <c r="N144" s="4234"/>
      <c r="O144" s="128" t="s">
        <v>698</v>
      </c>
      <c r="P144" s="431"/>
      <c r="Q144" s="422"/>
    </row>
    <row r="145" spans="1:44" ht="21.75" customHeight="1">
      <c r="A145" s="110" t="s">
        <v>1962</v>
      </c>
      <c r="B145" s="4234" t="s">
        <v>3832</v>
      </c>
      <c r="C145" s="4234"/>
      <c r="D145" s="4234"/>
      <c r="E145" s="4234"/>
      <c r="F145" s="4234"/>
      <c r="G145" s="4234"/>
      <c r="H145" s="4234"/>
      <c r="I145" s="4234"/>
      <c r="J145" s="4234"/>
      <c r="K145" s="4234"/>
      <c r="L145" s="4234"/>
      <c r="M145" s="4234"/>
      <c r="N145" s="4234"/>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7" customHeight="1">
      <c r="A147" s="4231"/>
      <c r="B147" s="4232"/>
      <c r="C147" s="4232"/>
      <c r="D147" s="4232"/>
      <c r="E147" s="4232"/>
      <c r="F147" s="4232"/>
      <c r="G147" s="4232"/>
      <c r="H147" s="4232"/>
      <c r="I147" s="4232"/>
      <c r="J147" s="4232"/>
      <c r="K147" s="4232"/>
      <c r="L147" s="4232"/>
      <c r="M147" s="4232"/>
      <c r="N147" s="4232"/>
      <c r="O147" s="4232"/>
      <c r="P147" s="4232"/>
      <c r="Q147" s="4233"/>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7" customHeight="1">
      <c r="A149" s="4235"/>
      <c r="B149" s="4236"/>
      <c r="C149" s="4236"/>
      <c r="D149" s="4236"/>
      <c r="E149" s="4236"/>
      <c r="F149" s="4236"/>
      <c r="G149" s="4236"/>
      <c r="H149" s="4236"/>
      <c r="I149" s="4236"/>
      <c r="J149" s="4236"/>
      <c r="K149" s="4236"/>
      <c r="L149" s="4236"/>
      <c r="M149" s="4236"/>
      <c r="N149" s="4236"/>
      <c r="O149" s="4236"/>
      <c r="P149" s="4236"/>
      <c r="Q149" s="4237"/>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59" t="s">
        <v>2427</v>
      </c>
      <c r="C151" s="3659"/>
      <c r="D151" s="3659"/>
      <c r="E151" s="236"/>
      <c r="N151" s="858" t="s">
        <v>6532</v>
      </c>
      <c r="O151" s="101" t="s">
        <v>1731</v>
      </c>
      <c r="P151" s="4252"/>
      <c r="Q151" s="4241"/>
      <c r="R151" s="860" t="s">
        <v>6519</v>
      </c>
    </row>
    <row r="152" spans="1:44" customFormat="1" ht="11.7" customHeight="1">
      <c r="B152" s="44" t="s">
        <v>6655</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6111</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3834</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34" t="s">
        <v>3235</v>
      </c>
      <c r="D158" s="4234"/>
      <c r="E158" s="4234"/>
      <c r="F158" s="4234"/>
      <c r="G158" s="4234"/>
      <c r="H158" s="4234"/>
      <c r="I158" s="4234"/>
      <c r="J158" s="4234"/>
      <c r="K158" s="4234"/>
      <c r="L158" s="4234"/>
      <c r="M158" s="4234"/>
      <c r="N158" s="4234"/>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34" t="s">
        <v>2420</v>
      </c>
      <c r="D160" s="4234"/>
      <c r="E160" s="4234"/>
      <c r="F160" s="4234"/>
      <c r="G160" s="4234"/>
      <c r="H160" s="4234"/>
      <c r="I160" s="4234"/>
      <c r="J160" s="4234"/>
      <c r="K160" s="4234"/>
      <c r="L160" s="4234"/>
      <c r="M160" s="4234"/>
      <c r="N160" s="4234"/>
      <c r="O160" s="128" t="s">
        <v>1448</v>
      </c>
      <c r="P160" s="431"/>
      <c r="Q160" s="422"/>
    </row>
    <row r="161" spans="1:44" s="102" customFormat="1" ht="21.75" customHeight="1">
      <c r="A161" s="110"/>
      <c r="B161" s="372" t="s">
        <v>1449</v>
      </c>
      <c r="C161" s="4234" t="s">
        <v>3306</v>
      </c>
      <c r="D161" s="4234"/>
      <c r="E161" s="4234"/>
      <c r="F161" s="4234"/>
      <c r="G161" s="4234"/>
      <c r="H161" s="4234"/>
      <c r="I161" s="4234"/>
      <c r="J161" s="4234"/>
      <c r="K161" s="4234"/>
      <c r="L161" s="4234"/>
      <c r="M161" s="4234"/>
      <c r="N161" s="4234"/>
      <c r="O161" s="128" t="s">
        <v>1449</v>
      </c>
      <c r="P161" s="431"/>
      <c r="Q161" s="422"/>
    </row>
    <row r="162" spans="1:44" ht="21.75" customHeight="1">
      <c r="A162" s="110" t="s">
        <v>1962</v>
      </c>
      <c r="B162" s="4234" t="s">
        <v>2421</v>
      </c>
      <c r="C162" s="4234"/>
      <c r="D162" s="4234"/>
      <c r="E162" s="4234"/>
      <c r="F162" s="4234"/>
      <c r="G162" s="4234"/>
      <c r="H162" s="4234"/>
      <c r="I162" s="4234"/>
      <c r="J162" s="4234"/>
      <c r="K162" s="4234"/>
      <c r="L162" s="4234"/>
      <c r="M162" s="4234"/>
      <c r="N162" s="4234"/>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7" customHeight="1">
      <c r="A165" s="4231"/>
      <c r="B165" s="4232"/>
      <c r="C165" s="4232"/>
      <c r="D165" s="4232"/>
      <c r="E165" s="4232"/>
      <c r="F165" s="4232"/>
      <c r="G165" s="4232"/>
      <c r="H165" s="4232"/>
      <c r="I165" s="4232"/>
      <c r="J165" s="4232"/>
      <c r="K165" s="4232"/>
      <c r="L165" s="4232"/>
      <c r="M165" s="4232"/>
      <c r="N165" s="4232"/>
      <c r="O165" s="4232"/>
      <c r="P165" s="4232"/>
      <c r="Q165" s="4233"/>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7" customHeight="1">
      <c r="A167" s="4235"/>
      <c r="B167" s="4236"/>
      <c r="C167" s="4236"/>
      <c r="D167" s="4236"/>
      <c r="E167" s="4236"/>
      <c r="F167" s="4236"/>
      <c r="G167" s="4236"/>
      <c r="H167" s="4236"/>
      <c r="I167" s="4236"/>
      <c r="J167" s="4236"/>
      <c r="K167" s="4236"/>
      <c r="L167" s="4236"/>
      <c r="M167" s="4236"/>
      <c r="N167" s="4236"/>
      <c r="O167" s="4236"/>
      <c r="P167" s="4236"/>
      <c r="Q167" s="4237"/>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6532</v>
      </c>
      <c r="O169" s="101" t="s">
        <v>1731</v>
      </c>
      <c r="P169" s="4252"/>
      <c r="Q169" s="4241"/>
      <c r="R169" s="860" t="s">
        <v>6519</v>
      </c>
    </row>
    <row r="170" spans="1:44" customFormat="1" ht="12.75" customHeight="1">
      <c r="B170" s="44" t="s">
        <v>6655</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328" t="s">
        <v>1710</v>
      </c>
      <c r="K171" s="4329"/>
      <c r="L171" s="4329"/>
      <c r="M171" s="4329"/>
      <c r="N171" s="4336"/>
      <c r="O171" s="49" t="s">
        <v>1614</v>
      </c>
      <c r="P171" s="175"/>
      <c r="Q171" s="419"/>
    </row>
    <row r="172" spans="1:44" ht="12.75" customHeight="1">
      <c r="A172" s="107"/>
      <c r="B172" s="109" t="s">
        <v>3240</v>
      </c>
      <c r="C172" s="82"/>
      <c r="D172" s="82"/>
      <c r="E172" s="82"/>
      <c r="F172" s="82"/>
      <c r="H172" s="49" t="s">
        <v>1615</v>
      </c>
      <c r="I172" s="29" t="s">
        <v>1491</v>
      </c>
      <c r="J172" s="4242" t="s">
        <v>1710</v>
      </c>
      <c r="K172" s="4243"/>
      <c r="L172" s="4243"/>
      <c r="M172" s="4243"/>
      <c r="N172" s="4244"/>
      <c r="O172" s="49" t="s">
        <v>1615</v>
      </c>
      <c r="P172" s="176"/>
      <c r="Q172" s="421"/>
    </row>
    <row r="173" spans="1:44" ht="12.75" customHeight="1">
      <c r="A173" s="4231"/>
      <c r="B173" s="4232"/>
      <c r="C173" s="4232"/>
      <c r="D173" s="4232"/>
      <c r="E173" s="4232"/>
      <c r="F173" s="4232"/>
      <c r="G173" s="4232"/>
      <c r="H173" s="4232"/>
      <c r="I173" s="4232"/>
      <c r="J173" s="4232"/>
      <c r="K173" s="4232"/>
      <c r="L173" s="4232"/>
      <c r="M173" s="4232"/>
      <c r="N173" s="4232"/>
      <c r="O173" s="4232"/>
      <c r="P173" s="4232"/>
      <c r="Q173" s="4233"/>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35"/>
      <c r="B175" s="4236"/>
      <c r="C175" s="4236"/>
      <c r="D175" s="4236"/>
      <c r="E175" s="4236"/>
      <c r="F175" s="4236"/>
      <c r="G175" s="4236"/>
      <c r="H175" s="4236"/>
      <c r="I175" s="4236"/>
      <c r="J175" s="4236"/>
      <c r="K175" s="4236"/>
      <c r="L175" s="4236"/>
      <c r="M175" s="4236"/>
      <c r="N175" s="4236"/>
      <c r="O175" s="4236"/>
      <c r="P175" s="4236"/>
      <c r="Q175" s="4237"/>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6532</v>
      </c>
      <c r="O177" s="101" t="s">
        <v>1731</v>
      </c>
      <c r="P177" s="4252"/>
      <c r="Q177" s="4241"/>
      <c r="R177" s="860" t="s">
        <v>6519</v>
      </c>
    </row>
    <row r="178" spans="1:44" customFormat="1" ht="12.75" customHeight="1">
      <c r="B178" s="44" t="s">
        <v>6655</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34" t="s">
        <v>1713</v>
      </c>
      <c r="C179" s="4234"/>
      <c r="D179" s="4234"/>
      <c r="E179" s="4234"/>
      <c r="F179" s="4234"/>
      <c r="G179" s="4234"/>
      <c r="H179" s="49" t="s">
        <v>1614</v>
      </c>
      <c r="I179" s="29" t="s">
        <v>592</v>
      </c>
      <c r="J179" s="4328" t="s">
        <v>1710</v>
      </c>
      <c r="K179" s="4329"/>
      <c r="L179" s="4329"/>
      <c r="M179" s="4329"/>
      <c r="N179" s="4336"/>
      <c r="O179" s="128" t="s">
        <v>1391</v>
      </c>
      <c r="P179" s="1287"/>
      <c r="Q179" s="1288"/>
    </row>
    <row r="180" spans="1:44" ht="12.75" customHeight="1">
      <c r="A180" s="118"/>
      <c r="B180" s="4234"/>
      <c r="C180" s="4234"/>
      <c r="D180" s="4234"/>
      <c r="E180" s="4234"/>
      <c r="F180" s="4234"/>
      <c r="G180" s="4234"/>
      <c r="H180" s="49" t="s">
        <v>1615</v>
      </c>
      <c r="I180" s="29" t="s">
        <v>110</v>
      </c>
      <c r="J180" s="4242" t="s">
        <v>1710</v>
      </c>
      <c r="K180" s="4243"/>
      <c r="L180" s="4243"/>
      <c r="M180" s="4243"/>
      <c r="N180" s="4244"/>
      <c r="O180" s="128" t="s">
        <v>1615</v>
      </c>
      <c r="P180" s="1759"/>
      <c r="Q180" s="687"/>
    </row>
    <row r="181" spans="1:44" ht="12.75" customHeight="1">
      <c r="A181" s="40" t="s">
        <v>1843</v>
      </c>
      <c r="B181" s="113" t="s">
        <v>1614</v>
      </c>
      <c r="C181" s="29" t="s">
        <v>6504</v>
      </c>
      <c r="E181" s="29"/>
      <c r="F181" s="29"/>
      <c r="G181" s="29"/>
      <c r="H181" s="29"/>
      <c r="I181" s="29"/>
      <c r="J181" s="29"/>
      <c r="K181" s="35"/>
      <c r="L181" s="29"/>
      <c r="M181" s="29"/>
      <c r="O181" s="128" t="s">
        <v>6505</v>
      </c>
      <c r="P181" s="1287"/>
      <c r="Q181" s="1288"/>
    </row>
    <row r="182" spans="1:44" ht="12.75" customHeight="1">
      <c r="A182" s="40"/>
      <c r="B182" s="113" t="s">
        <v>1615</v>
      </c>
      <c r="C182" s="29" t="s">
        <v>6503</v>
      </c>
      <c r="D182" s="29"/>
      <c r="E182" s="29"/>
      <c r="F182" s="29"/>
      <c r="G182" s="29"/>
      <c r="H182" s="29"/>
      <c r="I182" s="29"/>
      <c r="J182" s="29"/>
      <c r="K182" s="35"/>
      <c r="L182" s="29"/>
      <c r="M182" s="29"/>
      <c r="O182" s="128" t="s">
        <v>1615</v>
      </c>
      <c r="P182" s="176"/>
      <c r="Q182" s="421"/>
    </row>
    <row r="183" spans="1:44" ht="12.75" customHeight="1">
      <c r="A183" s="40" t="s">
        <v>698</v>
      </c>
      <c r="B183" s="29" t="s">
        <v>6526</v>
      </c>
      <c r="D183" s="29"/>
      <c r="E183" s="29"/>
      <c r="F183" s="29"/>
      <c r="G183" s="29"/>
      <c r="H183" s="29"/>
      <c r="I183" s="29"/>
      <c r="J183" s="29"/>
      <c r="K183" s="35"/>
      <c r="L183" s="29"/>
      <c r="M183" s="29"/>
      <c r="O183" s="48" t="s">
        <v>698</v>
      </c>
      <c r="P183" s="1400"/>
      <c r="Q183" s="1399"/>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231"/>
      <c r="B185" s="4232"/>
      <c r="C185" s="4232"/>
      <c r="D185" s="4232"/>
      <c r="E185" s="4232"/>
      <c r="F185" s="4232"/>
      <c r="G185" s="4232"/>
      <c r="H185" s="4232"/>
      <c r="I185" s="4232"/>
      <c r="J185" s="4232"/>
      <c r="K185" s="4232"/>
      <c r="L185" s="4232"/>
      <c r="M185" s="4232"/>
      <c r="N185" s="4232"/>
      <c r="O185" s="4232"/>
      <c r="P185" s="4232"/>
      <c r="Q185" s="4233"/>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35"/>
      <c r="B187" s="4236"/>
      <c r="C187" s="4236"/>
      <c r="D187" s="4236"/>
      <c r="E187" s="4236"/>
      <c r="F187" s="4236"/>
      <c r="G187" s="4236"/>
      <c r="H187" s="4236"/>
      <c r="I187" s="4236"/>
      <c r="J187" s="4236"/>
      <c r="K187" s="4236"/>
      <c r="L187" s="4236"/>
      <c r="M187" s="4236"/>
      <c r="N187" s="4236"/>
      <c r="O187" s="4236"/>
      <c r="P187" s="4236"/>
      <c r="Q187" s="4237"/>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52"/>
      <c r="Q189" s="4241"/>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4028</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328" t="s">
        <v>1646</v>
      </c>
      <c r="L192" s="4336"/>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6718</v>
      </c>
      <c r="E193" s="33"/>
      <c r="F193" s="33"/>
      <c r="G193" s="33"/>
      <c r="H193" s="33"/>
      <c r="I193" s="35"/>
      <c r="J193" s="49" t="s">
        <v>1392</v>
      </c>
      <c r="K193" s="4281" t="s">
        <v>1646</v>
      </c>
      <c r="L193" s="4282"/>
      <c r="Q193" s="4259"/>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256" t="s">
        <v>6193</v>
      </c>
      <c r="D194" s="4257"/>
      <c r="E194" s="4257"/>
      <c r="F194" s="4257"/>
      <c r="G194" s="4257"/>
      <c r="H194" s="4257"/>
      <c r="I194" s="4257"/>
      <c r="J194" s="4257"/>
      <c r="K194" s="4257"/>
      <c r="L194" s="4257"/>
      <c r="M194" s="4257"/>
      <c r="N194" s="4257"/>
      <c r="O194" s="4258"/>
      <c r="Q194" s="4260"/>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3786</v>
      </c>
      <c r="D195" s="115"/>
      <c r="E195" s="33"/>
      <c r="F195" s="33"/>
      <c r="G195" s="33"/>
      <c r="H195" s="33"/>
      <c r="I195" s="72"/>
      <c r="J195" s="48" t="s">
        <v>1393</v>
      </c>
      <c r="K195" s="4278" t="s">
        <v>1646</v>
      </c>
      <c r="L195" s="4279"/>
      <c r="M195" s="4279"/>
      <c r="N195" s="4280"/>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4029</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3853</v>
      </c>
      <c r="D197" s="29"/>
      <c r="E197" s="29"/>
      <c r="F197" s="29"/>
      <c r="G197" s="29"/>
      <c r="H197" s="29"/>
      <c r="I197" s="29"/>
      <c r="J197" s="29"/>
      <c r="K197" s="35"/>
      <c r="L197" s="35"/>
      <c r="M197" s="35"/>
      <c r="N197" s="48" t="s">
        <v>3151</v>
      </c>
      <c r="O197" s="1233">
        <f>'Part V-Revenues &amp; Expenses'!$P$67</f>
        <v>40</v>
      </c>
      <c r="P197" s="4261" t="s">
        <v>3855</v>
      </c>
      <c r="Q197" s="4262"/>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3856</v>
      </c>
      <c r="D198" s="29"/>
      <c r="E198" s="29"/>
      <c r="F198" s="29"/>
      <c r="H198" s="48" t="s">
        <v>3857</v>
      </c>
      <c r="I198" s="29" t="s">
        <v>3866</v>
      </c>
      <c r="M198" s="35"/>
      <c r="N198" s="35"/>
      <c r="O198" s="231"/>
      <c r="P198" s="876" t="s">
        <v>721</v>
      </c>
      <c r="Q198" s="1219" t="s">
        <v>3854</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263" t="s">
        <v>950</v>
      </c>
      <c r="D199" s="4264"/>
      <c r="E199" s="4264"/>
      <c r="F199" s="4264"/>
      <c r="G199" s="4265"/>
      <c r="H199" s="48" t="s">
        <v>1963</v>
      </c>
      <c r="I199" s="4238" t="s">
        <v>3401</v>
      </c>
      <c r="J199" s="4239"/>
      <c r="K199" s="4239"/>
      <c r="L199" s="4239"/>
      <c r="M199" s="4239"/>
      <c r="N199" s="4239"/>
      <c r="O199" s="4266"/>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253" t="s">
        <v>950</v>
      </c>
      <c r="D200" s="4254"/>
      <c r="E200" s="4254"/>
      <c r="F200" s="4254"/>
      <c r="G200" s="4255"/>
      <c r="H200" s="48" t="s">
        <v>1964</v>
      </c>
      <c r="I200" s="3124"/>
      <c r="J200" s="3125"/>
      <c r="K200" s="3125"/>
      <c r="L200" s="3125"/>
      <c r="M200" s="3125"/>
      <c r="N200" s="3125"/>
      <c r="O200" s="3127"/>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253" t="s">
        <v>950</v>
      </c>
      <c r="D201" s="4254"/>
      <c r="E201" s="4254"/>
      <c r="F201" s="4254"/>
      <c r="G201" s="4255"/>
      <c r="H201" s="48" t="s">
        <v>1611</v>
      </c>
      <c r="I201" s="3124" t="s">
        <v>3401</v>
      </c>
      <c r="J201" s="3125"/>
      <c r="K201" s="3125"/>
      <c r="L201" s="3125"/>
      <c r="M201" s="3125"/>
      <c r="N201" s="3125"/>
      <c r="O201" s="3127"/>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3865</v>
      </c>
      <c r="C202" s="4283" t="s">
        <v>950</v>
      </c>
      <c r="D202" s="4284"/>
      <c r="E202" s="4284"/>
      <c r="F202" s="4284"/>
      <c r="G202" s="4285"/>
      <c r="H202" s="48" t="s">
        <v>3865</v>
      </c>
      <c r="I202" s="3163"/>
      <c r="J202" s="3164"/>
      <c r="K202" s="3164"/>
      <c r="L202" s="3164"/>
      <c r="M202" s="3164"/>
      <c r="N202" s="3164"/>
      <c r="O202" s="3166"/>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6112</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34" t="s">
        <v>6744</v>
      </c>
      <c r="D209" s="4234"/>
      <c r="E209" s="4234"/>
      <c r="F209" s="4234"/>
      <c r="G209" s="4234"/>
      <c r="H209" s="4234"/>
      <c r="I209" s="4234"/>
      <c r="J209" s="4234"/>
      <c r="K209" s="4234"/>
      <c r="L209" s="4234"/>
      <c r="M209" s="4234"/>
      <c r="N209" s="4234"/>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6098</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3800</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3240</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31"/>
      <c r="B214" s="4232"/>
      <c r="C214" s="4232"/>
      <c r="D214" s="4232"/>
      <c r="E214" s="4232"/>
      <c r="F214" s="4232"/>
      <c r="G214" s="4232"/>
      <c r="H214" s="4232"/>
      <c r="I214" s="4232"/>
      <c r="J214" s="4232"/>
      <c r="K214" s="4232"/>
      <c r="L214" s="4232"/>
      <c r="M214" s="4232"/>
      <c r="N214" s="4232"/>
      <c r="O214" s="4232"/>
      <c r="P214" s="4232"/>
      <c r="Q214" s="4233"/>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35"/>
      <c r="B216" s="4236"/>
      <c r="C216" s="4236"/>
      <c r="D216" s="4236"/>
      <c r="E216" s="4236"/>
      <c r="F216" s="4236"/>
      <c r="G216" s="4236"/>
      <c r="H216" s="4236"/>
      <c r="I216" s="4236"/>
      <c r="J216" s="4236"/>
      <c r="K216" s="4236"/>
      <c r="L216" s="4236"/>
      <c r="M216" s="4236"/>
      <c r="N216" s="4236"/>
      <c r="O216" s="4236"/>
      <c r="P216" s="4236"/>
      <c r="Q216" s="4237"/>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2495</v>
      </c>
      <c r="B217" s="2" t="s">
        <v>6113</v>
      </c>
      <c r="C217" s="33"/>
      <c r="D217" s="887"/>
      <c r="E217" s="887"/>
      <c r="F217" s="887"/>
      <c r="G217" s="887"/>
      <c r="H217" s="887"/>
      <c r="I217" s="887"/>
      <c r="J217" s="887"/>
      <c r="K217" s="396" t="s">
        <v>6740</v>
      </c>
      <c r="L217" s="1326" t="str">
        <f>'Part I-Project Identification'!$P$25</f>
        <v>Yes</v>
      </c>
      <c r="M217" s="887"/>
      <c r="O217" s="101" t="s">
        <v>1731</v>
      </c>
      <c r="P217" s="4252"/>
      <c r="Q217" s="4241"/>
    </row>
    <row r="218" spans="1:44" ht="11.25" customHeight="1">
      <c r="A218" s="110" t="s">
        <v>1841</v>
      </c>
      <c r="B218" s="108" t="s">
        <v>6116</v>
      </c>
    </row>
    <row r="219" spans="1:44" ht="10.5" customHeight="1">
      <c r="A219" s="110"/>
      <c r="B219" s="29" t="s">
        <v>6118</v>
      </c>
      <c r="C219" s="35"/>
      <c r="D219" s="35"/>
      <c r="E219" s="35"/>
      <c r="F219" s="35"/>
      <c r="G219" s="35"/>
      <c r="H219" s="35"/>
      <c r="I219" s="35"/>
      <c r="J219" s="1516" t="s">
        <v>6117</v>
      </c>
      <c r="K219" s="29" t="s">
        <v>6118</v>
      </c>
      <c r="L219" s="35"/>
      <c r="M219" s="35"/>
      <c r="N219" s="35"/>
      <c r="O219" s="35"/>
      <c r="P219" s="35"/>
      <c r="Q219" s="1516" t="s">
        <v>6117</v>
      </c>
    </row>
    <row r="220" spans="1:44" s="102" customFormat="1" ht="11.25" customHeight="1">
      <c r="B220" s="4238"/>
      <c r="C220" s="4239"/>
      <c r="D220" s="4239"/>
      <c r="E220" s="4239"/>
      <c r="F220" s="4239"/>
      <c r="G220" s="4239"/>
      <c r="H220" s="4239"/>
      <c r="I220" s="4239"/>
      <c r="J220" s="1972"/>
      <c r="K220" s="4238"/>
      <c r="L220" s="4239"/>
      <c r="M220" s="4239"/>
      <c r="N220" s="4239"/>
      <c r="O220" s="4239"/>
      <c r="P220" s="4239"/>
      <c r="Q220" s="1972"/>
    </row>
    <row r="221" spans="1:44" s="102" customFormat="1" ht="11.25" customHeight="1">
      <c r="A221" s="110"/>
      <c r="B221" s="3124"/>
      <c r="C221" s="3125"/>
      <c r="D221" s="3125"/>
      <c r="E221" s="3125"/>
      <c r="F221" s="3125"/>
      <c r="G221" s="3125"/>
      <c r="H221" s="3125"/>
      <c r="I221" s="3125"/>
      <c r="J221" s="1973"/>
      <c r="K221" s="3124"/>
      <c r="L221" s="3125"/>
      <c r="M221" s="3125"/>
      <c r="N221" s="3125"/>
      <c r="O221" s="3125"/>
      <c r="P221" s="3125"/>
      <c r="Q221" s="1973"/>
    </row>
    <row r="222" spans="1:44" s="102" customFormat="1" ht="11.25" customHeight="1">
      <c r="A222" s="110"/>
      <c r="B222" s="3124"/>
      <c r="C222" s="3125"/>
      <c r="D222" s="3125"/>
      <c r="E222" s="3125"/>
      <c r="F222" s="3125"/>
      <c r="G222" s="3125"/>
      <c r="H222" s="3125"/>
      <c r="I222" s="3125"/>
      <c r="J222" s="1973"/>
      <c r="K222" s="3124"/>
      <c r="L222" s="3125"/>
      <c r="M222" s="3125"/>
      <c r="N222" s="3125"/>
      <c r="O222" s="3125"/>
      <c r="P222" s="3125"/>
      <c r="Q222" s="1973"/>
    </row>
    <row r="223" spans="1:44" s="102" customFormat="1" ht="11.25" customHeight="1">
      <c r="A223" s="110"/>
      <c r="B223" s="3124"/>
      <c r="C223" s="3125"/>
      <c r="D223" s="3125"/>
      <c r="E223" s="3125"/>
      <c r="F223" s="3125"/>
      <c r="G223" s="3125"/>
      <c r="H223" s="3125"/>
      <c r="I223" s="3125"/>
      <c r="J223" s="1973"/>
      <c r="K223" s="3124"/>
      <c r="L223" s="3125"/>
      <c r="M223" s="3125"/>
      <c r="N223" s="3125"/>
      <c r="O223" s="3125"/>
      <c r="P223" s="3125"/>
      <c r="Q223" s="1973"/>
    </row>
    <row r="224" spans="1:44" s="102" customFormat="1" ht="11.25" customHeight="1">
      <c r="A224" s="110"/>
      <c r="B224" s="3124"/>
      <c r="C224" s="3125"/>
      <c r="D224" s="3125"/>
      <c r="E224" s="3125"/>
      <c r="F224" s="3125"/>
      <c r="G224" s="3125"/>
      <c r="H224" s="3125"/>
      <c r="I224" s="3125"/>
      <c r="J224" s="1973"/>
      <c r="K224" s="3124"/>
      <c r="L224" s="3125"/>
      <c r="M224" s="3125"/>
      <c r="N224" s="3125"/>
      <c r="O224" s="3125"/>
      <c r="P224" s="3125"/>
      <c r="Q224" s="1973"/>
    </row>
    <row r="225" spans="1:44" s="102" customFormat="1" ht="11.25" customHeight="1">
      <c r="A225" s="110"/>
      <c r="B225" s="3124"/>
      <c r="C225" s="3125"/>
      <c r="D225" s="3125"/>
      <c r="E225" s="3125"/>
      <c r="F225" s="3125"/>
      <c r="G225" s="3125"/>
      <c r="H225" s="3125"/>
      <c r="I225" s="3125"/>
      <c r="J225" s="1973"/>
      <c r="K225" s="3124"/>
      <c r="L225" s="3125"/>
      <c r="M225" s="3125"/>
      <c r="N225" s="3125"/>
      <c r="O225" s="3125"/>
      <c r="P225" s="3125"/>
      <c r="Q225" s="1973"/>
    </row>
    <row r="226" spans="1:44" s="102" customFormat="1" ht="11.25" customHeight="1">
      <c r="A226" s="110"/>
      <c r="B226" s="3124"/>
      <c r="C226" s="3125"/>
      <c r="D226" s="3125"/>
      <c r="E226" s="3125"/>
      <c r="F226" s="3125"/>
      <c r="G226" s="3125"/>
      <c r="H226" s="3125"/>
      <c r="I226" s="3125"/>
      <c r="J226" s="1973"/>
      <c r="K226" s="3124"/>
      <c r="L226" s="3125"/>
      <c r="M226" s="3125"/>
      <c r="N226" s="3125"/>
      <c r="O226" s="3125"/>
      <c r="P226" s="3125"/>
      <c r="Q226" s="1973"/>
    </row>
    <row r="227" spans="1:44" s="102" customFormat="1" ht="11.25" customHeight="1">
      <c r="B227" s="3163"/>
      <c r="C227" s="3164"/>
      <c r="D227" s="3164"/>
      <c r="E227" s="3164"/>
      <c r="F227" s="3164"/>
      <c r="G227" s="3164"/>
      <c r="H227" s="3164"/>
      <c r="I227" s="3164"/>
      <c r="J227" s="1974"/>
      <c r="K227" s="3163"/>
      <c r="L227" s="3164"/>
      <c r="M227" s="3164"/>
      <c r="N227" s="3164"/>
      <c r="O227" s="3164"/>
      <c r="P227" s="3164"/>
      <c r="Q227" s="1974"/>
    </row>
    <row r="228" spans="1:44" ht="12" customHeight="1">
      <c r="A228" s="110" t="s">
        <v>1843</v>
      </c>
      <c r="B228" s="1532" t="s">
        <v>6119</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34" t="s">
        <v>6115</v>
      </c>
      <c r="C229" s="4234"/>
      <c r="D229" s="4234"/>
      <c r="E229" s="4234"/>
      <c r="F229" s="4234"/>
      <c r="G229" s="4234"/>
      <c r="H229" s="4234"/>
      <c r="I229" s="4234"/>
      <c r="J229" s="4234"/>
      <c r="K229" s="4234"/>
      <c r="L229" s="4234"/>
      <c r="M229" s="4234"/>
      <c r="N229" s="4234"/>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6114</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3240</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31"/>
      <c r="B232" s="4232"/>
      <c r="C232" s="4232"/>
      <c r="D232" s="4232"/>
      <c r="E232" s="4232"/>
      <c r="F232" s="4232"/>
      <c r="G232" s="4232"/>
      <c r="H232" s="4232"/>
      <c r="I232" s="4232"/>
      <c r="J232" s="4232"/>
      <c r="K232" s="4232"/>
      <c r="L232" s="4232"/>
      <c r="M232" s="4232"/>
      <c r="N232" s="4232"/>
      <c r="O232" s="4232"/>
      <c r="P232" s="4232"/>
      <c r="Q232" s="4233"/>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35"/>
      <c r="B234" s="4236"/>
      <c r="C234" s="4236"/>
      <c r="D234" s="4236"/>
      <c r="E234" s="4236"/>
      <c r="F234" s="4236"/>
      <c r="G234" s="4236"/>
      <c r="H234" s="4236"/>
      <c r="I234" s="4236"/>
      <c r="J234" s="4236"/>
      <c r="K234" s="4236"/>
      <c r="L234" s="4236"/>
      <c r="M234" s="4236"/>
      <c r="N234" s="4236"/>
      <c r="O234" s="4236"/>
      <c r="P234" s="4236"/>
      <c r="Q234" s="4237"/>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3951</v>
      </c>
      <c r="C236" s="4"/>
      <c r="D236" s="66"/>
      <c r="E236" s="66"/>
      <c r="F236" s="66"/>
      <c r="G236" s="66"/>
      <c r="H236" s="887"/>
      <c r="I236" s="887"/>
      <c r="J236" s="887"/>
      <c r="K236" s="887"/>
      <c r="L236" s="669"/>
      <c r="M236" s="1262"/>
      <c r="O236" s="101" t="s">
        <v>1731</v>
      </c>
      <c r="P236" s="4252"/>
      <c r="Q236" s="4241"/>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6194</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7" customHeight="1">
      <c r="A238" s="40" t="s">
        <v>1841</v>
      </c>
      <c r="B238" s="29" t="s">
        <v>1192</v>
      </c>
      <c r="D238" s="35"/>
      <c r="E238" s="29"/>
      <c r="F238" s="29"/>
      <c r="J238" s="48" t="s">
        <v>1841</v>
      </c>
      <c r="K238" s="4297" t="s">
        <v>1646</v>
      </c>
      <c r="L238" s="4298"/>
      <c r="M238" s="4298"/>
      <c r="N238" s="4298"/>
      <c r="O238" s="4299"/>
      <c r="P238" s="4295" t="s">
        <v>1646</v>
      </c>
      <c r="Q238" s="4296"/>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34" t="s">
        <v>6195</v>
      </c>
      <c r="C239" s="4234"/>
      <c r="D239" s="4234"/>
      <c r="E239" s="4234"/>
      <c r="F239" s="4234"/>
      <c r="G239" s="4234"/>
      <c r="H239" s="4234"/>
      <c r="I239" s="4234"/>
      <c r="J239" s="4234"/>
      <c r="K239" s="4234"/>
      <c r="L239" s="4234"/>
      <c r="M239" s="4234"/>
      <c r="N239" s="4234"/>
      <c r="O239" s="4302"/>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341"/>
      <c r="L240" s="4342"/>
      <c r="M240" s="4342"/>
      <c r="N240" s="4342"/>
      <c r="O240" s="4343"/>
      <c r="P240" s="4337"/>
      <c r="Q240" s="4338"/>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42"/>
      <c r="L241" s="4243"/>
      <c r="M241" s="4243"/>
      <c r="N241" s="4243"/>
      <c r="O241" s="4244"/>
      <c r="P241" s="4339"/>
      <c r="Q241" s="4340"/>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6196</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34" t="s">
        <v>6206</v>
      </c>
      <c r="D243" s="4234"/>
      <c r="E243" s="4234"/>
      <c r="F243" s="4234"/>
      <c r="G243" s="4234"/>
      <c r="H243" s="4234"/>
      <c r="I243" s="4234"/>
      <c r="J243" s="4234"/>
      <c r="K243" s="4234"/>
      <c r="L243" s="4234"/>
      <c r="M243" s="4234"/>
      <c r="N243" s="4234"/>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34" t="s">
        <v>6207</v>
      </c>
      <c r="D244" s="4234"/>
      <c r="E244" s="4234"/>
      <c r="F244" s="4234"/>
      <c r="G244" s="4234"/>
      <c r="H244" s="4234"/>
      <c r="I244" s="4234"/>
      <c r="J244" s="4234"/>
      <c r="K244" s="4234"/>
      <c r="L244" s="4234"/>
      <c r="M244" s="4234"/>
      <c r="N244" s="4234"/>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3309</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394" t="s">
        <v>3245</v>
      </c>
      <c r="C246" s="4394"/>
      <c r="D246" s="4394"/>
      <c r="E246" s="44" t="s">
        <v>3382</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394"/>
      <c r="C247" s="4394"/>
      <c r="D247" s="4394"/>
      <c r="E247" s="44" t="s">
        <v>3383</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394"/>
      <c r="C248" s="4394"/>
      <c r="D248" s="4394"/>
      <c r="E248" s="44" t="s">
        <v>3384</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394"/>
      <c r="C249" s="4394"/>
      <c r="D249" s="4394"/>
      <c r="E249" s="44" t="s">
        <v>3385</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34" t="s">
        <v>6502</v>
      </c>
      <c r="F250" s="4234"/>
      <c r="G250" s="4234"/>
      <c r="H250" s="4234"/>
      <c r="I250" s="4234"/>
      <c r="J250" s="4234"/>
      <c r="K250" s="4234"/>
      <c r="L250" s="4234"/>
      <c r="M250" s="4234"/>
      <c r="N250" s="4234"/>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3240</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31"/>
      <c r="B252" s="4232"/>
      <c r="C252" s="4232"/>
      <c r="D252" s="4232"/>
      <c r="E252" s="4232"/>
      <c r="F252" s="4232"/>
      <c r="G252" s="4232"/>
      <c r="H252" s="4232"/>
      <c r="I252" s="4232"/>
      <c r="J252" s="4232"/>
      <c r="K252" s="4232"/>
      <c r="L252" s="4232"/>
      <c r="M252" s="4232"/>
      <c r="N252" s="4232"/>
      <c r="O252" s="4232"/>
      <c r="P252" s="4232"/>
      <c r="Q252" s="4233"/>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35"/>
      <c r="B254" s="4236"/>
      <c r="C254" s="4236"/>
      <c r="D254" s="4236"/>
      <c r="E254" s="4236"/>
      <c r="F254" s="4236"/>
      <c r="G254" s="4236"/>
      <c r="H254" s="4236"/>
      <c r="I254" s="4236"/>
      <c r="J254" s="4236"/>
      <c r="K254" s="4236"/>
      <c r="L254" s="4236"/>
      <c r="M254" s="4236"/>
      <c r="N254" s="4236"/>
      <c r="O254" s="4236"/>
      <c r="P254" s="4236"/>
      <c r="Q254" s="4237"/>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3370</v>
      </c>
      <c r="B256" s="4" t="s">
        <v>2431</v>
      </c>
      <c r="C256" s="4"/>
      <c r="D256" s="66"/>
      <c r="E256" s="66"/>
      <c r="F256" s="66"/>
      <c r="G256" s="66"/>
      <c r="H256" s="887"/>
      <c r="I256" s="887"/>
      <c r="J256" s="887"/>
      <c r="K256" s="887"/>
      <c r="L256" s="887"/>
      <c r="M256" s="887"/>
      <c r="O256" s="101" t="s">
        <v>1731</v>
      </c>
      <c r="P256" s="4252"/>
      <c r="Q256" s="4241"/>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34" t="s">
        <v>4030</v>
      </c>
      <c r="D257" s="4234"/>
      <c r="E257" s="4234"/>
      <c r="F257" s="4234"/>
      <c r="G257" s="4234"/>
      <c r="H257" s="4234"/>
      <c r="I257" s="4234"/>
      <c r="J257" s="4234"/>
      <c r="K257" s="4234"/>
      <c r="L257" s="4234"/>
      <c r="M257" s="4234"/>
      <c r="N257" s="4234"/>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7" customHeight="1">
      <c r="A258" s="40"/>
      <c r="B258" s="887" t="s">
        <v>1615</v>
      </c>
      <c r="C258" s="29" t="s">
        <v>3242</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7" customHeight="1">
      <c r="A259" s="40" t="s">
        <v>1843</v>
      </c>
      <c r="B259" s="29" t="s">
        <v>3243</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34" t="s">
        <v>4056</v>
      </c>
      <c r="D260" s="4234"/>
      <c r="E260" s="4234"/>
      <c r="F260" s="4234"/>
      <c r="G260" s="4234"/>
      <c r="H260" s="4234"/>
      <c r="I260" s="4234"/>
      <c r="J260" s="4234"/>
      <c r="K260" s="4234"/>
      <c r="L260" s="4234"/>
      <c r="M260" s="4234"/>
      <c r="N260" s="4234"/>
      <c r="O260" s="1404" t="s">
        <v>4057</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7" customHeight="1">
      <c r="A261" s="40"/>
      <c r="B261" s="887" t="s">
        <v>1615</v>
      </c>
      <c r="C261" s="29" t="s">
        <v>3244</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34" t="s">
        <v>6120</v>
      </c>
      <c r="C262" s="4234"/>
      <c r="D262" s="4234"/>
      <c r="E262" s="4234"/>
      <c r="F262" s="4234"/>
      <c r="G262" s="4234"/>
      <c r="H262" s="4234"/>
      <c r="I262" s="4234"/>
      <c r="J262" s="4234"/>
      <c r="K262" s="4234"/>
      <c r="L262" s="4234"/>
      <c r="M262" s="4234"/>
      <c r="N262" s="4234"/>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3240</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31"/>
      <c r="B264" s="4232"/>
      <c r="C264" s="4232"/>
      <c r="D264" s="4232"/>
      <c r="E264" s="4232"/>
      <c r="F264" s="4232"/>
      <c r="G264" s="4232"/>
      <c r="H264" s="4232"/>
      <c r="I264" s="4232"/>
      <c r="J264" s="4232"/>
      <c r="K264" s="4232"/>
      <c r="L264" s="4232"/>
      <c r="M264" s="4232"/>
      <c r="N264" s="4232"/>
      <c r="O264" s="4232"/>
      <c r="P264" s="4232"/>
      <c r="Q264" s="4233"/>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35"/>
      <c r="B266" s="4236"/>
      <c r="C266" s="4236"/>
      <c r="D266" s="4236"/>
      <c r="E266" s="4236"/>
      <c r="F266" s="4236"/>
      <c r="G266" s="4236"/>
      <c r="H266" s="4236"/>
      <c r="I266" s="4236"/>
      <c r="J266" s="4236"/>
      <c r="K266" s="4236"/>
      <c r="L266" s="4236"/>
      <c r="M266" s="4236"/>
      <c r="N266" s="4236"/>
      <c r="O266" s="4236"/>
      <c r="P266" s="4236"/>
      <c r="Q266" s="4237"/>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3371</v>
      </c>
      <c r="B268" s="2" t="s">
        <v>2432</v>
      </c>
      <c r="C268" s="2"/>
      <c r="D268" s="887"/>
      <c r="E268" s="887"/>
      <c r="F268" s="887"/>
      <c r="G268" s="887"/>
      <c r="H268" s="887"/>
      <c r="I268" s="887"/>
      <c r="J268" s="887"/>
      <c r="K268" s="887"/>
      <c r="L268" s="887"/>
      <c r="M268" s="887"/>
      <c r="O268" s="101" t="s">
        <v>1731</v>
      </c>
      <c r="P268" s="4252"/>
      <c r="Q268" s="4241"/>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7" customHeight="1">
      <c r="B269" s="44" t="s">
        <v>6194</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7" customHeight="1">
      <c r="A270" s="40" t="s">
        <v>1841</v>
      </c>
      <c r="B270" s="141" t="s">
        <v>6198</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34" t="s">
        <v>3847</v>
      </c>
      <c r="D271" s="4234"/>
      <c r="E271" s="4234"/>
      <c r="F271" s="4234"/>
      <c r="G271" s="4234"/>
      <c r="H271" s="4234"/>
      <c r="I271" s="4234"/>
      <c r="J271" s="4234"/>
      <c r="K271" s="4234"/>
      <c r="L271" s="4234"/>
      <c r="M271" s="4234"/>
      <c r="N271" s="4234"/>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34" t="s">
        <v>2507</v>
      </c>
      <c r="D272" s="4234"/>
      <c r="E272" s="4234"/>
      <c r="F272" s="4234"/>
      <c r="G272" s="4234"/>
      <c r="H272" s="4234"/>
      <c r="I272" s="4234"/>
      <c r="J272" s="4234"/>
      <c r="K272" s="4234"/>
      <c r="L272" s="4234"/>
      <c r="M272" s="4234"/>
      <c r="N272" s="4234"/>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395" t="s">
        <v>3337</v>
      </c>
      <c r="M273" s="4396"/>
      <c r="N273" s="4396"/>
      <c r="O273" s="4396"/>
      <c r="P273" s="4397"/>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7" customHeight="1">
      <c r="A274" s="107" t="s">
        <v>698</v>
      </c>
      <c r="B274" s="141" t="s">
        <v>6197</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7" customHeight="1">
      <c r="A275" s="107"/>
      <c r="B275" s="29" t="s">
        <v>6199</v>
      </c>
      <c r="C275" s="115"/>
      <c r="D275" s="72"/>
      <c r="E275" s="72"/>
      <c r="F275" s="115"/>
      <c r="H275" s="115"/>
      <c r="I275" s="115"/>
      <c r="N275" s="1802" t="s">
        <v>6200</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7" customHeight="1">
      <c r="A276" s="35"/>
      <c r="B276" s="109" t="s">
        <v>3240</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31"/>
      <c r="B277" s="4232"/>
      <c r="C277" s="4232"/>
      <c r="D277" s="4232"/>
      <c r="E277" s="4232"/>
      <c r="F277" s="4232"/>
      <c r="G277" s="4232"/>
      <c r="H277" s="4232"/>
      <c r="I277" s="4232"/>
      <c r="J277" s="4232"/>
      <c r="K277" s="4232"/>
      <c r="L277" s="4232"/>
      <c r="M277" s="4232"/>
      <c r="N277" s="4232"/>
      <c r="O277" s="4232"/>
      <c r="P277" s="4232"/>
      <c r="Q277" s="4233"/>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35"/>
      <c r="B279" s="4236"/>
      <c r="C279" s="4236"/>
      <c r="D279" s="4236"/>
      <c r="E279" s="4236"/>
      <c r="F279" s="4236"/>
      <c r="G279" s="4236"/>
      <c r="H279" s="4236"/>
      <c r="I279" s="4236"/>
      <c r="J279" s="4236"/>
      <c r="K279" s="4236"/>
      <c r="L279" s="4236"/>
      <c r="M279" s="4236"/>
      <c r="N279" s="4236"/>
      <c r="O279" s="4236"/>
      <c r="P279" s="4236"/>
      <c r="Q279" s="4237"/>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3369</v>
      </c>
      <c r="B281" s="2" t="s">
        <v>2433</v>
      </c>
      <c r="C281" s="116"/>
      <c r="D281" s="890"/>
      <c r="E281" s="887"/>
      <c r="F281" s="887"/>
      <c r="G281" s="887"/>
      <c r="H281" s="887"/>
      <c r="I281" s="887"/>
      <c r="J281" s="887"/>
      <c r="K281" s="887"/>
      <c r="L281" s="887"/>
      <c r="M281" s="887"/>
      <c r="O281" s="101" t="s">
        <v>1731</v>
      </c>
      <c r="P281" s="4252"/>
      <c r="Q281" s="4241"/>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7" customHeight="1">
      <c r="B282" s="44" t="s">
        <v>6194</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3386</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34" t="s">
        <v>6656</v>
      </c>
      <c r="D284" s="4234"/>
      <c r="E284" s="4234"/>
      <c r="F284" s="4234"/>
      <c r="G284" s="4234"/>
      <c r="H284" s="4234"/>
      <c r="I284" s="4234"/>
      <c r="J284" s="4234"/>
      <c r="K284" s="4234"/>
      <c r="L284" s="4234"/>
      <c r="M284" s="4234"/>
      <c r="N284" s="4234"/>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34" t="s">
        <v>6657</v>
      </c>
      <c r="D285" s="4234"/>
      <c r="E285" s="4234"/>
      <c r="F285" s="4234"/>
      <c r="G285" s="4234"/>
      <c r="H285" s="4234"/>
      <c r="I285" s="4234"/>
      <c r="J285" s="4234"/>
      <c r="K285" s="4234"/>
      <c r="L285" s="4234"/>
      <c r="M285" s="4234"/>
      <c r="N285" s="4234"/>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34" t="s">
        <v>6201</v>
      </c>
      <c r="D286" s="4234"/>
      <c r="E286" s="4234"/>
      <c r="F286" s="4234"/>
      <c r="G286" s="4234"/>
      <c r="H286" s="4234"/>
      <c r="I286" s="4234"/>
      <c r="J286" s="4234"/>
      <c r="K286" s="4234"/>
      <c r="L286" s="4234"/>
      <c r="M286" s="4234"/>
      <c r="N286" s="4234"/>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3293</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34" t="s">
        <v>6204</v>
      </c>
      <c r="E288" s="4234"/>
      <c r="F288" s="4234"/>
      <c r="G288" s="4234"/>
      <c r="H288" s="4234"/>
      <c r="I288" s="108"/>
      <c r="J288" s="4293" t="s">
        <v>3266</v>
      </c>
      <c r="K288" s="4261"/>
      <c r="L288" s="4261"/>
      <c r="M288" s="4306" t="s">
        <v>3247</v>
      </c>
      <c r="N288" s="4306"/>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34"/>
      <c r="E289" s="4234"/>
      <c r="F289" s="4234"/>
      <c r="G289" s="4234"/>
      <c r="H289" s="4234"/>
      <c r="I289" s="248"/>
      <c r="J289" s="4261"/>
      <c r="K289" s="4261"/>
      <c r="L289" s="4261"/>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34"/>
      <c r="E290" s="4234"/>
      <c r="F290" s="4234"/>
      <c r="G290" s="4234"/>
      <c r="H290" s="4234"/>
      <c r="I290" s="29" t="s">
        <v>3387</v>
      </c>
      <c r="K290" s="1595"/>
      <c r="L290" s="795" t="str">
        <f>IF(K290&lt;M290,"Check!!!","")</f>
        <v>Check!!!</v>
      </c>
      <c r="M290" s="1597">
        <f>ROUNDUP('Part V-Revenues &amp; Expenses'!$P$67*'Part VII-Threshold Criteria OLD'!N290,0)</f>
        <v>2</v>
      </c>
      <c r="N290" s="1205">
        <f>'DCA Underwriting Assumptions'!$Q$122</f>
        <v>0.05</v>
      </c>
      <c r="O290" s="48" t="s">
        <v>3166</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34" t="s">
        <v>6205</v>
      </c>
      <c r="E291" s="4234"/>
      <c r="F291" s="4234"/>
      <c r="G291" s="4234"/>
      <c r="H291" s="4234"/>
      <c r="I291" s="370" t="s">
        <v>3388</v>
      </c>
      <c r="J291" s="144"/>
      <c r="K291" s="1596"/>
      <c r="L291" s="795" t="str">
        <f>IF(K291&lt;M291,"Check!!!","")</f>
        <v/>
      </c>
      <c r="M291" s="1598">
        <f>ROUNDUP(K290*'Part VII-Threshold Criteria OLD'!N291,0)</f>
        <v>0</v>
      </c>
      <c r="N291" s="1205">
        <f>'DCA Underwriting Assumptions'!$Q$123</f>
        <v>0.4</v>
      </c>
      <c r="O291" s="48" t="s">
        <v>1964</v>
      </c>
      <c r="P291" s="4400"/>
      <c r="Q291" s="4398"/>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34"/>
      <c r="E292" s="4234"/>
      <c r="F292" s="4234"/>
      <c r="G292" s="4234"/>
      <c r="H292" s="4234"/>
      <c r="O292" s="33"/>
      <c r="P292" s="4401"/>
      <c r="Q292" s="4399"/>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34" t="s">
        <v>6741</v>
      </c>
      <c r="D293" s="4234"/>
      <c r="E293" s="4234"/>
      <c r="F293" s="4234"/>
      <c r="G293" s="4234"/>
      <c r="H293" s="4234"/>
      <c r="I293" s="29" t="s">
        <v>3389</v>
      </c>
      <c r="J293" s="144"/>
      <c r="K293" s="793"/>
      <c r="L293" s="795" t="str">
        <f>IF(K293&lt;M293,"Check!!!","")</f>
        <v>Check!!!</v>
      </c>
      <c r="M293" s="796">
        <f>ROUNDUP('Part V-Revenues &amp; Expenses'!$P$67*'Part VII-Threshold Criteria OLD'!N293,0)</f>
        <v>1</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34"/>
      <c r="D294" s="4234"/>
      <c r="E294" s="4234"/>
      <c r="F294" s="4234"/>
      <c r="G294" s="4234"/>
      <c r="H294" s="4234"/>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34"/>
      <c r="D295" s="4234"/>
      <c r="E295" s="4234"/>
      <c r="F295" s="4234"/>
      <c r="G295" s="4234"/>
      <c r="H295" s="4234"/>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3294</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34" t="s">
        <v>6719</v>
      </c>
      <c r="C297" s="4234"/>
      <c r="D297" s="4234"/>
      <c r="E297" s="4234"/>
      <c r="F297" s="4234"/>
      <c r="G297" s="4234"/>
      <c r="H297" s="4234"/>
      <c r="I297" s="4234"/>
      <c r="J297" s="4234"/>
      <c r="K297" s="4234"/>
      <c r="L297" s="4234"/>
      <c r="M297" s="4234"/>
      <c r="N297" s="4234"/>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3167</v>
      </c>
      <c r="D298" s="108"/>
      <c r="E298" s="108"/>
      <c r="F298" s="108"/>
      <c r="G298" s="108"/>
      <c r="H298" s="108"/>
      <c r="I298" s="108" t="s">
        <v>3246</v>
      </c>
      <c r="J298" s="108"/>
      <c r="K298" s="108"/>
      <c r="L298" s="4359"/>
      <c r="M298" s="4360"/>
      <c r="N298" s="4360"/>
      <c r="O298" s="4360"/>
      <c r="P298" s="4360"/>
      <c r="Q298" s="4361"/>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34" t="s">
        <v>6658</v>
      </c>
      <c r="D299" s="4234"/>
      <c r="E299" s="4234"/>
      <c r="F299" s="4234"/>
      <c r="G299" s="4234"/>
      <c r="H299" s="4234"/>
      <c r="I299" s="4234"/>
      <c r="J299" s="4234"/>
      <c r="K299" s="4234"/>
      <c r="L299" s="4234"/>
      <c r="M299" s="4234"/>
      <c r="N299" s="4234"/>
      <c r="O299" s="128" t="s">
        <v>3170</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34" t="s">
        <v>3833</v>
      </c>
      <c r="D300" s="4234"/>
      <c r="E300" s="4234"/>
      <c r="F300" s="4234"/>
      <c r="G300" s="4234"/>
      <c r="H300" s="4234"/>
      <c r="I300" s="4234"/>
      <c r="J300" s="4234"/>
      <c r="K300" s="4234"/>
      <c r="L300" s="4234"/>
      <c r="M300" s="4234"/>
      <c r="N300" s="4234"/>
      <c r="O300" s="128" t="s">
        <v>3171</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34" t="s">
        <v>3168</v>
      </c>
      <c r="D301" s="4234"/>
      <c r="E301" s="4234"/>
      <c r="F301" s="4234"/>
      <c r="G301" s="4234"/>
      <c r="H301" s="4234"/>
      <c r="I301" s="4234"/>
      <c r="J301" s="4234"/>
      <c r="K301" s="4234"/>
      <c r="L301" s="4234"/>
      <c r="M301" s="4234"/>
      <c r="N301" s="4234"/>
      <c r="O301" s="128" t="s">
        <v>3172</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34" t="s">
        <v>3169</v>
      </c>
      <c r="D302" s="4234"/>
      <c r="E302" s="4234"/>
      <c r="F302" s="4234"/>
      <c r="G302" s="4234"/>
      <c r="H302" s="4234"/>
      <c r="I302" s="4234"/>
      <c r="J302" s="4234"/>
      <c r="K302" s="4234"/>
      <c r="L302" s="4234"/>
      <c r="M302" s="4234"/>
      <c r="N302" s="4234"/>
      <c r="O302" s="128" t="s">
        <v>3173</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3240</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31"/>
      <c r="B304" s="4232"/>
      <c r="C304" s="4232"/>
      <c r="D304" s="4232"/>
      <c r="E304" s="4232"/>
      <c r="F304" s="4232"/>
      <c r="G304" s="4232"/>
      <c r="H304" s="4232"/>
      <c r="I304" s="4232"/>
      <c r="J304" s="4232"/>
      <c r="K304" s="4232"/>
      <c r="L304" s="4232"/>
      <c r="M304" s="4232"/>
      <c r="N304" s="4232"/>
      <c r="O304" s="4232"/>
      <c r="P304" s="4232"/>
      <c r="Q304" s="4233"/>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402"/>
      <c r="B306" s="4403"/>
      <c r="C306" s="4403"/>
      <c r="D306" s="4403"/>
      <c r="E306" s="4403"/>
      <c r="F306" s="4403"/>
      <c r="G306" s="4403"/>
      <c r="H306" s="4403"/>
      <c r="I306" s="4403"/>
      <c r="J306" s="4403"/>
      <c r="K306" s="4403"/>
      <c r="L306" s="4403"/>
      <c r="M306" s="4403"/>
      <c r="N306" s="4403"/>
      <c r="O306" s="4403"/>
      <c r="P306" s="4403"/>
      <c r="Q306" s="4404"/>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3372</v>
      </c>
      <c r="B307" s="4" t="s">
        <v>2434</v>
      </c>
      <c r="C307" s="4"/>
      <c r="D307" s="4"/>
      <c r="E307" s="4"/>
      <c r="F307" s="4"/>
      <c r="G307" s="4"/>
      <c r="H307" s="887"/>
      <c r="I307" s="887"/>
      <c r="J307" s="887"/>
      <c r="K307" s="887"/>
      <c r="L307" s="887"/>
      <c r="M307" s="887"/>
      <c r="O307" s="101" t="s">
        <v>1731</v>
      </c>
      <c r="P307" s="4300"/>
      <c r="Q307" s="4301"/>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7"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7" customHeight="1">
      <c r="A310" s="40"/>
      <c r="B310" s="33" t="s">
        <v>3787</v>
      </c>
      <c r="E310" s="33"/>
      <c r="F310" s="33"/>
      <c r="G310" s="33"/>
      <c r="H310" s="33"/>
      <c r="I310" s="72"/>
      <c r="J310" s="48"/>
      <c r="K310" s="4297" t="s">
        <v>1646</v>
      </c>
      <c r="L310" s="4298"/>
      <c r="M310" s="4298"/>
      <c r="N310" s="4299"/>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7" customHeight="1">
      <c r="A311" s="110" t="s">
        <v>1841</v>
      </c>
      <c r="B311" s="89" t="s">
        <v>6669</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34" t="s">
        <v>6668</v>
      </c>
      <c r="C312" s="4234"/>
      <c r="D312" s="4234"/>
      <c r="E312" s="4234"/>
      <c r="F312" s="4234"/>
      <c r="G312" s="4234"/>
      <c r="H312" s="4234"/>
      <c r="I312" s="4234"/>
      <c r="J312" s="4234"/>
      <c r="K312" s="4234"/>
      <c r="L312" s="4234"/>
      <c r="M312" s="4234"/>
      <c r="N312" s="4234"/>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49" t="s">
        <v>2147</v>
      </c>
      <c r="H314" s="4350"/>
      <c r="I314" s="4350"/>
      <c r="J314" s="4350"/>
      <c r="K314" s="4350"/>
      <c r="L314" s="4350"/>
      <c r="M314" s="4350"/>
      <c r="N314" s="4351"/>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234" t="s">
        <v>1066</v>
      </c>
      <c r="D315" s="4234"/>
      <c r="E315" s="4234"/>
      <c r="F315" s="4302"/>
      <c r="G315" s="3163" t="s">
        <v>1018</v>
      </c>
      <c r="H315" s="4344"/>
      <c r="I315" s="4344"/>
      <c r="J315" s="4344"/>
      <c r="K315" s="4344"/>
      <c r="L315" s="4344"/>
      <c r="M315" s="4344"/>
      <c r="N315" s="4345"/>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6121</v>
      </c>
      <c r="D317" s="1537"/>
      <c r="E317" s="1537"/>
      <c r="F317" s="1537"/>
      <c r="G317" s="4393" t="s">
        <v>6122</v>
      </c>
      <c r="H317" s="4393"/>
      <c r="I317" s="4393"/>
      <c r="J317" s="4393"/>
      <c r="K317" s="4393"/>
      <c r="L317" s="4393"/>
      <c r="M317" s="4393"/>
      <c r="N317" s="4393"/>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56"/>
      <c r="D318" s="4357"/>
      <c r="E318" s="4357"/>
      <c r="F318" s="4357"/>
      <c r="G318" s="4357"/>
      <c r="H318" s="4357"/>
      <c r="I318" s="4357"/>
      <c r="J318" s="4357"/>
      <c r="K318" s="4357"/>
      <c r="L318" s="4357"/>
      <c r="M318" s="4357"/>
      <c r="N318" s="4358"/>
      <c r="O318" s="128" t="s">
        <v>6301</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83"/>
      <c r="D319" s="4284"/>
      <c r="E319" s="4284"/>
      <c r="F319" s="4284"/>
      <c r="G319" s="4284"/>
      <c r="H319" s="4284"/>
      <c r="I319" s="4284"/>
      <c r="J319" s="4284"/>
      <c r="K319" s="4284"/>
      <c r="L319" s="4284"/>
      <c r="M319" s="4284"/>
      <c r="N319" s="4285"/>
      <c r="O319" s="128" t="s">
        <v>6302</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34" t="s">
        <v>6123</v>
      </c>
      <c r="C320" s="4234"/>
      <c r="D320" s="4234"/>
      <c r="E320" s="4234"/>
      <c r="F320" s="4234"/>
      <c r="G320" s="4234"/>
      <c r="H320" s="4234"/>
      <c r="I320" s="4234"/>
      <c r="J320" s="4234"/>
      <c r="K320" s="4234"/>
      <c r="L320" s="4234"/>
      <c r="M320" s="4234"/>
      <c r="N320" s="4234"/>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7" customHeight="1">
      <c r="A323" s="4231"/>
      <c r="B323" s="4232"/>
      <c r="C323" s="4232"/>
      <c r="D323" s="4232"/>
      <c r="E323" s="4232"/>
      <c r="F323" s="4232"/>
      <c r="G323" s="4232"/>
      <c r="H323" s="4232"/>
      <c r="I323" s="4232"/>
      <c r="J323" s="4232"/>
      <c r="K323" s="4232"/>
      <c r="L323" s="4232"/>
      <c r="M323" s="4232"/>
      <c r="N323" s="4232"/>
      <c r="O323" s="4232"/>
      <c r="P323" s="4232"/>
      <c r="Q323" s="4233"/>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7" customHeight="1">
      <c r="A325" s="4235"/>
      <c r="B325" s="4236"/>
      <c r="C325" s="4236"/>
      <c r="D325" s="4236"/>
      <c r="E325" s="4236"/>
      <c r="F325" s="4236"/>
      <c r="G325" s="4236"/>
      <c r="H325" s="4236"/>
      <c r="I325" s="4236"/>
      <c r="J325" s="4236"/>
      <c r="K325" s="4236"/>
      <c r="L325" s="4236"/>
      <c r="M325" s="4236"/>
      <c r="N325" s="4236"/>
      <c r="O325" s="4236"/>
      <c r="P325" s="4236"/>
      <c r="Q325" s="4237"/>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3373</v>
      </c>
      <c r="B326" s="153" t="s">
        <v>6533</v>
      </c>
      <c r="C326" s="2"/>
      <c r="D326" s="887"/>
      <c r="E326" s="887"/>
      <c r="F326" s="887"/>
      <c r="G326" s="887"/>
      <c r="H326" s="887"/>
      <c r="N326" s="858" t="s">
        <v>6532</v>
      </c>
      <c r="O326" s="101" t="s">
        <v>1731</v>
      </c>
      <c r="P326" s="4252"/>
      <c r="Q326" s="4241"/>
      <c r="R326" s="860" t="s">
        <v>6519</v>
      </c>
    </row>
    <row r="327" spans="1:256" ht="11.7" customHeight="1">
      <c r="A327" s="40" t="s">
        <v>1841</v>
      </c>
      <c r="B327" s="44" t="s">
        <v>6528</v>
      </c>
      <c r="O327" s="128" t="s">
        <v>1841</v>
      </c>
      <c r="P327" s="175"/>
      <c r="Q327" s="419"/>
    </row>
    <row r="328" spans="1:256" ht="11.7" customHeight="1">
      <c r="A328" s="110" t="s">
        <v>1843</v>
      </c>
      <c r="B328" s="44" t="s">
        <v>6535</v>
      </c>
      <c r="O328" s="128" t="s">
        <v>1843</v>
      </c>
      <c r="P328" s="1759"/>
      <c r="Q328" s="687"/>
    </row>
    <row r="329" spans="1:256" ht="11.7" customHeight="1">
      <c r="A329" s="110" t="s">
        <v>698</v>
      </c>
      <c r="B329" s="44" t="s">
        <v>6536</v>
      </c>
      <c r="K329" s="231"/>
      <c r="M329" s="128" t="s">
        <v>698</v>
      </c>
      <c r="N329" s="4352" t="s">
        <v>1646</v>
      </c>
      <c r="O329" s="4353"/>
      <c r="P329" s="4354" t="s">
        <v>1646</v>
      </c>
      <c r="Q329" s="4355"/>
    </row>
    <row r="330" spans="1:256" ht="11.7" customHeight="1">
      <c r="A330" s="40" t="s">
        <v>1962</v>
      </c>
      <c r="B330" s="44" t="s">
        <v>6537</v>
      </c>
      <c r="O330" s="48" t="s">
        <v>1962</v>
      </c>
      <c r="P330" s="1400"/>
      <c r="Q330" s="1399"/>
    </row>
    <row r="331" spans="1:256" ht="11.7" customHeight="1">
      <c r="A331" s="110" t="s">
        <v>1612</v>
      </c>
      <c r="B331" s="44" t="s">
        <v>6538</v>
      </c>
      <c r="N331" s="128" t="s">
        <v>1612</v>
      </c>
      <c r="O331" s="4346" t="s">
        <v>2559</v>
      </c>
      <c r="P331" s="4347"/>
      <c r="Q331" s="4348"/>
    </row>
    <row r="332" spans="1:256" ht="11.7" customHeight="1">
      <c r="A332" s="110" t="s">
        <v>1613</v>
      </c>
      <c r="B332" s="67" t="s">
        <v>2170</v>
      </c>
      <c r="N332" s="128" t="s">
        <v>1613</v>
      </c>
      <c r="O332" s="4303" t="s">
        <v>2559</v>
      </c>
      <c r="P332" s="4304"/>
      <c r="Q332" s="4305"/>
    </row>
    <row r="333" spans="1:256" ht="11.25" customHeight="1">
      <c r="B333" s="109" t="s">
        <v>3240</v>
      </c>
      <c r="D333" s="109"/>
      <c r="E333" s="109"/>
      <c r="F333" s="109"/>
      <c r="G333" s="109"/>
      <c r="H333" s="33"/>
      <c r="I333" s="891"/>
      <c r="J333" s="891"/>
      <c r="K333" s="891"/>
      <c r="L333" s="686"/>
      <c r="M333" s="686"/>
      <c r="N333" s="686"/>
      <c r="O333" s="686"/>
      <c r="P333" s="686"/>
      <c r="Q333" s="686"/>
    </row>
    <row r="334" spans="1:256" ht="13.35" customHeight="1">
      <c r="A334" s="4231"/>
      <c r="B334" s="4232"/>
      <c r="C334" s="4232"/>
      <c r="D334" s="4232"/>
      <c r="E334" s="4232"/>
      <c r="F334" s="4232"/>
      <c r="G334" s="4232"/>
      <c r="H334" s="4232"/>
      <c r="I334" s="4232"/>
      <c r="J334" s="4232"/>
      <c r="K334" s="4232"/>
      <c r="L334" s="4232"/>
      <c r="M334" s="4232"/>
      <c r="N334" s="4232"/>
      <c r="O334" s="4232"/>
      <c r="P334" s="4232"/>
      <c r="Q334" s="4233"/>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35"/>
      <c r="B336" s="4236"/>
      <c r="C336" s="4236"/>
      <c r="D336" s="4236"/>
      <c r="E336" s="4236"/>
      <c r="F336" s="4236"/>
      <c r="G336" s="4236"/>
      <c r="H336" s="4236"/>
      <c r="I336" s="4236"/>
      <c r="J336" s="4236"/>
      <c r="K336" s="4236"/>
      <c r="L336" s="4236"/>
      <c r="M336" s="4236"/>
      <c r="N336" s="4236"/>
      <c r="O336" s="4236"/>
      <c r="P336" s="4236"/>
      <c r="Q336" s="4237"/>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3376</v>
      </c>
      <c r="B338" s="4" t="s">
        <v>6539</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86"/>
      <c r="Q338" s="4387"/>
    </row>
    <row r="339" spans="1:44" ht="14.1" customHeight="1">
      <c r="A339" s="2"/>
      <c r="B339" s="29" t="s">
        <v>6540</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6541</v>
      </c>
      <c r="C340" s="4"/>
      <c r="D340" s="4"/>
      <c r="E340" s="4"/>
      <c r="F340" s="4"/>
      <c r="G340" s="4"/>
      <c r="H340" s="887"/>
      <c r="I340" s="887"/>
      <c r="J340" s="887"/>
      <c r="K340" s="887"/>
      <c r="L340" s="887"/>
      <c r="M340" s="887"/>
      <c r="N340" s="396"/>
      <c r="O340" s="101"/>
      <c r="P340" s="373"/>
      <c r="Q340" s="418"/>
    </row>
    <row r="341" spans="1:44" ht="21.75" customHeight="1">
      <c r="A341" s="110" t="s">
        <v>1841</v>
      </c>
      <c r="B341" s="4234" t="s">
        <v>6686</v>
      </c>
      <c r="C341" s="4234"/>
      <c r="D341" s="4234"/>
      <c r="E341" s="4234"/>
      <c r="F341" s="4234"/>
      <c r="G341" s="4234"/>
      <c r="H341" s="4234"/>
      <c r="I341" s="4234"/>
      <c r="J341" s="4234"/>
      <c r="K341" s="4234"/>
      <c r="L341" s="4234"/>
      <c r="M341" s="4234"/>
      <c r="N341" s="4234"/>
      <c r="O341" s="128" t="s">
        <v>1841</v>
      </c>
      <c r="P341" s="1813"/>
      <c r="Q341" s="1814"/>
    </row>
    <row r="342" spans="1:44" s="35" customFormat="1" ht="12.75" customHeight="1">
      <c r="A342" s="40"/>
      <c r="B342" s="33" t="s">
        <v>1614</v>
      </c>
      <c r="C342" s="29" t="s">
        <v>6124</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40</v>
      </c>
      <c r="F343" s="29" t="s">
        <v>3894</v>
      </c>
      <c r="G343" s="1541">
        <f>'Part V-Revenues &amp; Expenses'!$P$100</f>
        <v>36</v>
      </c>
      <c r="H343" s="72"/>
      <c r="I343" s="29" t="s">
        <v>832</v>
      </c>
      <c r="J343" s="72"/>
      <c r="K343" s="72"/>
      <c r="L343" s="1540">
        <f>'Part V-Revenues &amp; Expenses'!$P$111</f>
        <v>0</v>
      </c>
      <c r="M343" s="48" t="s">
        <v>6742</v>
      </c>
      <c r="N343" s="1539">
        <f>IF(E343=0,"",(G343+L343)/E343)</f>
        <v>0.9</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34" t="s">
        <v>6687</v>
      </c>
      <c r="C344" s="4234"/>
      <c r="D344" s="4234"/>
      <c r="E344" s="4234"/>
      <c r="F344" s="4234"/>
      <c r="G344" s="4234"/>
      <c r="H344" s="4234"/>
      <c r="I344" s="4234"/>
      <c r="J344" s="4234"/>
      <c r="K344" s="4234"/>
      <c r="L344" s="4234"/>
      <c r="M344" s="4234"/>
      <c r="N344" s="4234"/>
      <c r="O344" s="128" t="s">
        <v>1843</v>
      </c>
      <c r="P344" s="905"/>
      <c r="Q344" s="906"/>
    </row>
    <row r="345" spans="1:44" s="115" customFormat="1">
      <c r="A345" s="110"/>
      <c r="B345" s="1220"/>
      <c r="C345" s="29" t="s">
        <v>1667</v>
      </c>
      <c r="D345" s="29"/>
      <c r="E345" s="1540">
        <f>'Part V-Revenues &amp; Expenses'!$P$67</f>
        <v>40</v>
      </c>
      <c r="F345" s="29" t="s">
        <v>6689</v>
      </c>
      <c r="H345" s="72"/>
      <c r="L345" s="1938"/>
      <c r="M345" s="48" t="s">
        <v>6742</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34" t="s">
        <v>6688</v>
      </c>
      <c r="C346" s="4234"/>
      <c r="D346" s="4234"/>
      <c r="E346" s="4234"/>
      <c r="F346" s="4234"/>
      <c r="G346" s="4234"/>
      <c r="H346" s="4234"/>
      <c r="I346" s="4234"/>
      <c r="J346" s="4234"/>
      <c r="K346" s="4234"/>
      <c r="L346" s="4234"/>
      <c r="M346" s="4234"/>
      <c r="N346" s="4234"/>
      <c r="O346" s="128" t="s">
        <v>698</v>
      </c>
      <c r="P346" s="1813"/>
      <c r="Q346" s="1814"/>
    </row>
    <row r="347" spans="1:44" ht="14.1" customHeight="1">
      <c r="A347" s="23"/>
      <c r="B347" s="370" t="s">
        <v>1614</v>
      </c>
      <c r="C347" s="44" t="s">
        <v>6542</v>
      </c>
      <c r="D347" s="10"/>
      <c r="E347" s="10"/>
      <c r="F347" s="10"/>
      <c r="G347" s="10"/>
      <c r="H347" s="1811"/>
      <c r="I347" s="1811"/>
      <c r="J347" s="1811"/>
      <c r="K347" s="1811"/>
      <c r="L347" s="1811"/>
      <c r="M347" s="1811"/>
      <c r="N347" s="1812"/>
      <c r="O347" s="48" t="s">
        <v>4057</v>
      </c>
      <c r="P347" s="1817"/>
      <c r="Q347" s="1818"/>
    </row>
    <row r="348" spans="1:44" s="115" customFormat="1">
      <c r="A348" s="110"/>
      <c r="B348" s="1220"/>
      <c r="C348" s="29" t="s">
        <v>1667</v>
      </c>
      <c r="D348" s="29"/>
      <c r="E348" s="1540">
        <f>'Part V-Revenues &amp; Expenses'!$P$67</f>
        <v>40</v>
      </c>
      <c r="F348" s="29" t="s">
        <v>3894</v>
      </c>
      <c r="G348" s="1541">
        <f>'Part V-Revenues &amp; Expenses'!$P$100</f>
        <v>36</v>
      </c>
      <c r="H348" s="72"/>
      <c r="I348" s="29" t="s">
        <v>832</v>
      </c>
      <c r="J348" s="72"/>
      <c r="K348" s="72"/>
      <c r="L348" s="1540">
        <f>'Part V-Revenues &amp; Expenses'!$P$111</f>
        <v>0</v>
      </c>
      <c r="M348" s="48" t="s">
        <v>6742</v>
      </c>
      <c r="N348" s="1539">
        <f>IF(E348=0,"",(G348+L348)/E348)</f>
        <v>0.9</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231"/>
      <c r="B350" s="4232"/>
      <c r="C350" s="4232"/>
      <c r="D350" s="4232"/>
      <c r="E350" s="4232"/>
      <c r="F350" s="4232"/>
      <c r="G350" s="4232"/>
      <c r="H350" s="4232"/>
      <c r="I350" s="4232"/>
      <c r="J350" s="4232"/>
      <c r="K350" s="4232"/>
      <c r="L350" s="4232"/>
      <c r="M350" s="4232"/>
      <c r="N350" s="4232"/>
      <c r="O350" s="4232"/>
      <c r="P350" s="4232"/>
      <c r="Q350" s="4233"/>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35"/>
      <c r="B352" s="4236"/>
      <c r="C352" s="4236"/>
      <c r="D352" s="4236"/>
      <c r="E352" s="4236"/>
      <c r="F352" s="4236"/>
      <c r="G352" s="4236"/>
      <c r="H352" s="4236"/>
      <c r="I352" s="4236"/>
      <c r="J352" s="4236"/>
      <c r="K352" s="4236"/>
      <c r="L352" s="4236"/>
      <c r="M352" s="4236"/>
      <c r="N352" s="4236"/>
      <c r="O352" s="4236"/>
      <c r="P352" s="4236"/>
      <c r="Q352" s="4237"/>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3377</v>
      </c>
      <c r="B354" s="4" t="s">
        <v>3358</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40"/>
      <c r="Q354" s="4241"/>
    </row>
    <row r="355" spans="1:31" ht="10.5" customHeight="1">
      <c r="A355" s="40" t="s">
        <v>1841</v>
      </c>
      <c r="B355" s="29" t="s">
        <v>3359</v>
      </c>
      <c r="D355" s="118"/>
      <c r="E355" s="118"/>
      <c r="F355" s="118"/>
      <c r="G355" s="118"/>
      <c r="H355" s="48" t="s">
        <v>1841</v>
      </c>
      <c r="I355" s="4245"/>
      <c r="J355" s="4246"/>
      <c r="K355" s="4246"/>
      <c r="L355" s="4246"/>
      <c r="M355" s="4246"/>
      <c r="N355" s="4246"/>
      <c r="O355" s="4246"/>
      <c r="P355" s="4247"/>
      <c r="Q355" s="419"/>
    </row>
    <row r="356" spans="1:31" ht="10.5" customHeight="1">
      <c r="A356" s="110" t="s">
        <v>1843</v>
      </c>
      <c r="B356" s="29" t="s">
        <v>3360</v>
      </c>
      <c r="D356" s="118"/>
      <c r="E356" s="118"/>
      <c r="F356" s="118"/>
      <c r="G356" s="118"/>
      <c r="H356" s="128" t="s">
        <v>1843</v>
      </c>
      <c r="I356" s="4242"/>
      <c r="J356" s="4243"/>
      <c r="K356" s="4243"/>
      <c r="L356" s="4243"/>
      <c r="M356" s="4243"/>
      <c r="N356" s="4243"/>
      <c r="O356" s="4243"/>
      <c r="P356" s="4244"/>
      <c r="Q356" s="421"/>
    </row>
    <row r="357" spans="1:31" ht="21.75" customHeight="1">
      <c r="A357" s="110" t="s">
        <v>698</v>
      </c>
      <c r="B357" s="4391" t="s">
        <v>3351</v>
      </c>
      <c r="C357" s="4391"/>
      <c r="D357" s="4391"/>
      <c r="E357" s="4391"/>
      <c r="F357" s="4391"/>
      <c r="G357" s="4391"/>
      <c r="H357" s="4391"/>
      <c r="I357" s="4391"/>
      <c r="J357" s="4391"/>
      <c r="K357" s="4391"/>
      <c r="L357" s="4391"/>
      <c r="M357" s="4391"/>
      <c r="N357" s="4391"/>
      <c r="O357" s="128" t="s">
        <v>698</v>
      </c>
      <c r="P357" s="838"/>
      <c r="Q357" s="893"/>
    </row>
    <row r="358" spans="1:31" ht="21.75" customHeight="1">
      <c r="A358" s="110" t="s">
        <v>1962</v>
      </c>
      <c r="B358" s="4234" t="s">
        <v>3352</v>
      </c>
      <c r="C358" s="4234"/>
      <c r="D358" s="4234"/>
      <c r="E358" s="4234"/>
      <c r="F358" s="4234"/>
      <c r="G358" s="4234"/>
      <c r="H358" s="4234"/>
      <c r="I358" s="4234"/>
      <c r="J358" s="4234"/>
      <c r="K358" s="4234"/>
      <c r="L358" s="4234"/>
      <c r="M358" s="4234"/>
      <c r="N358" s="4234"/>
      <c r="O358" s="128" t="s">
        <v>1962</v>
      </c>
      <c r="P358" s="431"/>
      <c r="Q358" s="422"/>
    </row>
    <row r="359" spans="1:31" ht="10.5" customHeight="1">
      <c r="A359" s="110" t="s">
        <v>1612</v>
      </c>
      <c r="B359" s="29" t="s">
        <v>3353</v>
      </c>
      <c r="D359" s="29"/>
      <c r="E359" s="29"/>
      <c r="F359" s="29"/>
      <c r="G359" s="29"/>
      <c r="H359" s="29"/>
      <c r="I359" s="29"/>
      <c r="J359" s="29"/>
      <c r="K359" s="29"/>
      <c r="L359" s="29"/>
      <c r="M359" s="29"/>
      <c r="O359" s="128" t="s">
        <v>1612</v>
      </c>
      <c r="P359" s="299"/>
      <c r="Q359" s="420"/>
    </row>
    <row r="360" spans="1:31" s="102" customFormat="1" ht="21.75" customHeight="1">
      <c r="A360" s="110" t="s">
        <v>1613</v>
      </c>
      <c r="B360" s="4234" t="s">
        <v>3354</v>
      </c>
      <c r="C360" s="4234"/>
      <c r="D360" s="4234"/>
      <c r="E360" s="4234"/>
      <c r="F360" s="4234"/>
      <c r="G360" s="4234"/>
      <c r="H360" s="4234"/>
      <c r="I360" s="4234"/>
      <c r="J360" s="4234"/>
      <c r="K360" s="4234"/>
      <c r="L360" s="4234"/>
      <c r="M360" s="4234"/>
      <c r="N360" s="4234"/>
      <c r="O360" s="128" t="s">
        <v>1613</v>
      </c>
      <c r="P360" s="677"/>
      <c r="Q360" s="678"/>
    </row>
    <row r="361" spans="1:31" s="102" customFormat="1" ht="10.5" customHeight="1">
      <c r="A361" s="110" t="s">
        <v>1808</v>
      </c>
      <c r="B361" s="108" t="s">
        <v>3355</v>
      </c>
      <c r="D361" s="457"/>
      <c r="E361" s="457"/>
      <c r="F361" s="457"/>
      <c r="G361" s="457"/>
      <c r="H361" s="457"/>
      <c r="I361" s="457"/>
      <c r="J361" s="457"/>
      <c r="K361" s="457"/>
      <c r="L361" s="457"/>
      <c r="M361" s="457"/>
      <c r="N361" s="457"/>
      <c r="O361" s="128" t="s">
        <v>1808</v>
      </c>
      <c r="P361" s="894"/>
      <c r="Q361" s="893"/>
    </row>
    <row r="362" spans="1:31" s="102" customFormat="1" ht="10.5" customHeight="1">
      <c r="C362" s="372" t="s">
        <v>3871</v>
      </c>
      <c r="E362" s="887"/>
      <c r="F362" s="887"/>
      <c r="G362" s="887"/>
      <c r="H362" s="887"/>
      <c r="I362" s="887"/>
      <c r="J362" s="887"/>
      <c r="K362" s="887"/>
      <c r="L362" s="887"/>
      <c r="M362" s="887"/>
      <c r="N362" s="887"/>
      <c r="P362" s="896"/>
      <c r="Q362" s="895"/>
    </row>
    <row r="363" spans="1:31" ht="21.75" customHeight="1">
      <c r="A363" s="110" t="s">
        <v>3004</v>
      </c>
      <c r="B363" s="4234" t="s">
        <v>3356</v>
      </c>
      <c r="C363" s="4234"/>
      <c r="D363" s="4234"/>
      <c r="E363" s="4234"/>
      <c r="F363" s="4234"/>
      <c r="G363" s="4234"/>
      <c r="H363" s="4234"/>
      <c r="I363" s="4234"/>
      <c r="J363" s="4234"/>
      <c r="K363" s="4234"/>
      <c r="L363" s="4234"/>
      <c r="M363" s="4234"/>
      <c r="N363" s="4234"/>
      <c r="O363" s="128" t="s">
        <v>3004</v>
      </c>
      <c r="P363" s="894"/>
      <c r="Q363" s="893"/>
    </row>
    <row r="364" spans="1:31" ht="33" customHeight="1">
      <c r="A364" s="110" t="s">
        <v>573</v>
      </c>
      <c r="B364" s="4234" t="s">
        <v>3357</v>
      </c>
      <c r="C364" s="4234"/>
      <c r="D364" s="4234"/>
      <c r="E364" s="4234"/>
      <c r="F364" s="4234"/>
      <c r="G364" s="4234"/>
      <c r="H364" s="4234"/>
      <c r="I364" s="4234"/>
      <c r="J364" s="4234"/>
      <c r="K364" s="4234"/>
      <c r="L364" s="4234"/>
      <c r="M364" s="4234"/>
      <c r="N364" s="4234"/>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231"/>
      <c r="B366" s="4232"/>
      <c r="C366" s="4232"/>
      <c r="D366" s="4232"/>
      <c r="E366" s="4232"/>
      <c r="F366" s="4232"/>
      <c r="G366" s="4232"/>
      <c r="H366" s="4232"/>
      <c r="I366" s="4232"/>
      <c r="J366" s="4232"/>
      <c r="K366" s="4232"/>
      <c r="L366" s="4232"/>
      <c r="M366" s="4232"/>
      <c r="N366" s="4232"/>
      <c r="O366" s="4232"/>
      <c r="P366" s="4232"/>
      <c r="Q366" s="4233"/>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35"/>
      <c r="B368" s="4236"/>
      <c r="C368" s="4236"/>
      <c r="D368" s="4236"/>
      <c r="E368" s="4236"/>
      <c r="F368" s="4236"/>
      <c r="G368" s="4236"/>
      <c r="H368" s="4236"/>
      <c r="I368" s="4236"/>
      <c r="J368" s="4236"/>
      <c r="K368" s="4236"/>
      <c r="L368" s="4236"/>
      <c r="M368" s="4236"/>
      <c r="N368" s="4236"/>
      <c r="O368" s="4236"/>
      <c r="P368" s="4236"/>
      <c r="Q368" s="4237"/>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3378</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52"/>
      <c r="Q371" s="4241"/>
    </row>
    <row r="372" spans="1:31" ht="11.7" customHeight="1">
      <c r="A372" s="40" t="s">
        <v>1841</v>
      </c>
      <c r="B372" s="32" t="s">
        <v>970</v>
      </c>
      <c r="E372" s="4366"/>
      <c r="F372" s="4367"/>
      <c r="G372" s="4367"/>
      <c r="H372" s="4367"/>
      <c r="I372" s="4368"/>
      <c r="J372" s="4369" t="s">
        <v>2437</v>
      </c>
      <c r="K372" s="4370"/>
      <c r="L372" s="4371"/>
      <c r="M372" s="4366"/>
      <c r="N372" s="4367"/>
      <c r="O372" s="4367"/>
      <c r="P372" s="4367"/>
      <c r="Q372" s="4368"/>
    </row>
    <row r="373" spans="1:31" s="102" customFormat="1" ht="22.5" customHeight="1">
      <c r="A373" s="110" t="s">
        <v>1843</v>
      </c>
      <c r="B373" s="4234" t="s">
        <v>3081</v>
      </c>
      <c r="C373" s="4234"/>
      <c r="D373" s="4234"/>
      <c r="E373" s="4234"/>
      <c r="F373" s="4234"/>
      <c r="G373" s="4234"/>
      <c r="H373" s="4234"/>
      <c r="I373" s="4234"/>
      <c r="J373" s="4234"/>
      <c r="K373" s="4234"/>
      <c r="L373" s="4234"/>
      <c r="M373" s="4234"/>
      <c r="N373" s="4234"/>
      <c r="O373" s="128" t="s">
        <v>1843</v>
      </c>
      <c r="P373" s="431"/>
      <c r="Q373" s="422"/>
    </row>
    <row r="374" spans="1:31">
      <c r="A374" s="110" t="s">
        <v>698</v>
      </c>
      <c r="B374" s="44" t="s">
        <v>3201</v>
      </c>
      <c r="G374" s="889"/>
      <c r="H374" s="889"/>
      <c r="I374" s="889"/>
      <c r="J374" s="33" t="s">
        <v>3202</v>
      </c>
      <c r="L374" s="889"/>
      <c r="M374" s="4372">
        <f>'Part II-Sources of Funds'!I6</f>
        <v>0</v>
      </c>
      <c r="N374" s="4373"/>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7" customHeight="1">
      <c r="A376" s="4231"/>
      <c r="B376" s="4232"/>
      <c r="C376" s="4232"/>
      <c r="D376" s="4232"/>
      <c r="E376" s="4232"/>
      <c r="F376" s="4232"/>
      <c r="G376" s="4232"/>
      <c r="H376" s="4232"/>
      <c r="I376" s="4232"/>
      <c r="J376" s="4232"/>
      <c r="K376" s="4232"/>
      <c r="L376" s="4232"/>
      <c r="M376" s="4232"/>
      <c r="N376" s="4232"/>
      <c r="O376" s="4232"/>
      <c r="P376" s="4232"/>
      <c r="Q376" s="4233"/>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7" customHeight="1">
      <c r="A378" s="4235"/>
      <c r="B378" s="4236"/>
      <c r="C378" s="4236"/>
      <c r="D378" s="4236"/>
      <c r="E378" s="4236"/>
      <c r="F378" s="4236"/>
      <c r="G378" s="4236"/>
      <c r="H378" s="4236"/>
      <c r="I378" s="4236"/>
      <c r="J378" s="4236"/>
      <c r="K378" s="4236"/>
      <c r="L378" s="4236"/>
      <c r="M378" s="4236"/>
      <c r="N378" s="4236"/>
      <c r="O378" s="4236"/>
      <c r="P378" s="4236"/>
      <c r="Q378" s="4237"/>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3379</v>
      </c>
      <c r="B380" s="4" t="s">
        <v>2435</v>
      </c>
      <c r="C380" s="4"/>
      <c r="D380" s="4"/>
      <c r="E380" s="887"/>
      <c r="G380" s="108" t="s">
        <v>655</v>
      </c>
      <c r="H380" s="887"/>
      <c r="I380" s="887"/>
      <c r="J380" s="887"/>
      <c r="K380" s="887"/>
      <c r="L380" s="887"/>
      <c r="M380" s="887"/>
      <c r="O380" s="101" t="s">
        <v>1731</v>
      </c>
      <c r="P380" s="4252"/>
      <c r="Q380" s="4362"/>
    </row>
    <row r="381" spans="1:31" ht="12" customHeight="1">
      <c r="A381" s="40" t="s">
        <v>1841</v>
      </c>
      <c r="B381" s="29" t="s">
        <v>2438</v>
      </c>
      <c r="D381" s="457"/>
      <c r="E381" s="457"/>
      <c r="O381" s="48" t="s">
        <v>1841</v>
      </c>
      <c r="P381" s="175"/>
      <c r="Q381" s="419"/>
    </row>
    <row r="382" spans="1:31" ht="12" customHeight="1">
      <c r="A382" s="40" t="s">
        <v>1843</v>
      </c>
      <c r="B382" s="29" t="s">
        <v>3142</v>
      </c>
      <c r="D382" s="457"/>
      <c r="E382" s="457"/>
      <c r="O382" s="48" t="s">
        <v>1843</v>
      </c>
      <c r="P382" s="299"/>
      <c r="Q382" s="420"/>
    </row>
    <row r="383" spans="1:31" ht="12" customHeight="1">
      <c r="A383" s="40" t="s">
        <v>698</v>
      </c>
      <c r="B383" s="29" t="s">
        <v>4031</v>
      </c>
      <c r="D383" s="457"/>
      <c r="E383" s="457"/>
      <c r="O383" s="48" t="s">
        <v>698</v>
      </c>
      <c r="P383" s="299"/>
      <c r="Q383" s="420"/>
    </row>
    <row r="384" spans="1:31" ht="12" customHeight="1">
      <c r="A384" s="40" t="s">
        <v>1962</v>
      </c>
      <c r="B384" s="29" t="s">
        <v>3143</v>
      </c>
      <c r="E384" s="108"/>
      <c r="O384" s="48" t="s">
        <v>1962</v>
      </c>
      <c r="P384" s="299"/>
      <c r="Q384" s="420"/>
    </row>
    <row r="385" spans="1:31" ht="12" customHeight="1">
      <c r="A385" s="40" t="s">
        <v>1612</v>
      </c>
      <c r="B385" s="29" t="s">
        <v>1928</v>
      </c>
      <c r="E385" s="108"/>
      <c r="G385" s="48" t="s">
        <v>1612</v>
      </c>
      <c r="H385" s="4410"/>
      <c r="I385" s="4411"/>
      <c r="J385" s="4411"/>
      <c r="K385" s="4411"/>
      <c r="L385" s="4411"/>
      <c r="M385" s="4411"/>
      <c r="N385" s="4411"/>
      <c r="O385" s="4412"/>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7" customHeight="1">
      <c r="A387" s="4231"/>
      <c r="B387" s="4232"/>
      <c r="C387" s="4232"/>
      <c r="D387" s="4232"/>
      <c r="E387" s="4232"/>
      <c r="F387" s="4232"/>
      <c r="G387" s="4232"/>
      <c r="H387" s="4232"/>
      <c r="I387" s="4232"/>
      <c r="J387" s="4232"/>
      <c r="K387" s="4232"/>
      <c r="L387" s="4232"/>
      <c r="M387" s="4232"/>
      <c r="N387" s="4232"/>
      <c r="O387" s="4232"/>
      <c r="P387" s="4232"/>
      <c r="Q387" s="4233"/>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7" customHeight="1">
      <c r="A389" s="4235"/>
      <c r="B389" s="4236"/>
      <c r="C389" s="4236"/>
      <c r="D389" s="4236"/>
      <c r="E389" s="4236"/>
      <c r="F389" s="4236"/>
      <c r="G389" s="4236"/>
      <c r="H389" s="4236"/>
      <c r="I389" s="4236"/>
      <c r="J389" s="4236"/>
      <c r="K389" s="4236"/>
      <c r="L389" s="4236"/>
      <c r="M389" s="4236"/>
      <c r="N389" s="4236"/>
      <c r="O389" s="4236"/>
      <c r="P389" s="4236"/>
      <c r="Q389" s="4237"/>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3380</v>
      </c>
      <c r="B391" s="4" t="s">
        <v>3939</v>
      </c>
      <c r="C391" s="4"/>
      <c r="D391" s="4"/>
      <c r="E391" s="4"/>
      <c r="F391" s="4"/>
      <c r="G391" s="4"/>
      <c r="H391" s="887"/>
      <c r="I391" s="887"/>
      <c r="J391" s="887"/>
      <c r="K391" s="887"/>
      <c r="L391" s="887"/>
      <c r="M391" s="887"/>
      <c r="O391" s="101" t="s">
        <v>1731</v>
      </c>
      <c r="P391" s="4386"/>
      <c r="Q391" s="4387"/>
    </row>
    <row r="392" spans="1:31" ht="12" customHeight="1">
      <c r="B392" s="44" t="s">
        <v>6251</v>
      </c>
      <c r="O392" s="49"/>
      <c r="P392" s="373"/>
      <c r="Q392" s="418"/>
    </row>
    <row r="393" spans="1:31" ht="12" customHeight="1">
      <c r="A393" s="40" t="s">
        <v>1841</v>
      </c>
      <c r="B393" s="66" t="s">
        <v>3938</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4032</v>
      </c>
      <c r="D395" s="44" t="s">
        <v>4033</v>
      </c>
      <c r="E395" s="35"/>
      <c r="F395" s="35"/>
      <c r="G395" s="35"/>
      <c r="H395" s="35"/>
      <c r="I395" s="35"/>
      <c r="J395" s="35"/>
      <c r="K395" s="35"/>
      <c r="L395" s="35"/>
      <c r="M395" s="35"/>
      <c r="N395" s="35"/>
      <c r="O395" s="48" t="s">
        <v>4032</v>
      </c>
      <c r="P395" s="4334"/>
      <c r="Q395" s="4332"/>
    </row>
    <row r="396" spans="1:31" ht="12" customHeight="1">
      <c r="A396" s="40"/>
      <c r="D396" s="29" t="s">
        <v>6501</v>
      </c>
      <c r="E396" s="29"/>
      <c r="F396" s="29"/>
      <c r="G396" s="29"/>
      <c r="H396" s="29"/>
      <c r="I396" s="29"/>
      <c r="J396" s="29"/>
      <c r="K396" s="29"/>
      <c r="L396" s="29"/>
      <c r="M396" s="29"/>
      <c r="N396" s="35"/>
      <c r="O396" s="1398"/>
      <c r="P396" s="4335"/>
      <c r="Q396" s="4333"/>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3942</v>
      </c>
      <c r="D398" s="29" t="s">
        <v>3139</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234" t="s">
        <v>6151</v>
      </c>
      <c r="D400" s="4234"/>
      <c r="E400" s="4234"/>
      <c r="F400" s="4234"/>
      <c r="G400" s="29" t="s">
        <v>3943</v>
      </c>
      <c r="J400" s="718"/>
      <c r="K400" s="426"/>
      <c r="M400" s="29" t="s">
        <v>6225</v>
      </c>
      <c r="P400" s="1760"/>
      <c r="Q400" s="1761"/>
    </row>
    <row r="401" spans="1:44" ht="12" customHeight="1">
      <c r="A401" s="40"/>
      <c r="C401" s="4234"/>
      <c r="D401" s="4234"/>
      <c r="E401" s="4234"/>
      <c r="F401" s="4234"/>
      <c r="G401" s="29" t="s">
        <v>6224</v>
      </c>
      <c r="J401" s="719"/>
      <c r="K401" s="427"/>
      <c r="M401" s="29" t="s">
        <v>6226</v>
      </c>
      <c r="P401" s="719"/>
      <c r="Q401" s="427"/>
    </row>
    <row r="402" spans="1:44" ht="8.25" customHeight="1">
      <c r="A402" s="40"/>
      <c r="C402" s="4234"/>
      <c r="D402" s="4234"/>
      <c r="E402" s="4234"/>
      <c r="F402" s="4234"/>
      <c r="J402" s="1533"/>
      <c r="L402" s="33"/>
      <c r="M402" s="35"/>
      <c r="N402" s="48"/>
    </row>
    <row r="403" spans="1:44" s="72" customFormat="1" ht="12.75" customHeight="1">
      <c r="A403" s="107"/>
      <c r="B403" s="153"/>
      <c r="D403" s="892"/>
      <c r="E403" s="892"/>
      <c r="F403" s="892"/>
      <c r="G403" s="892"/>
      <c r="H403" s="892"/>
      <c r="I403" s="4293" t="s">
        <v>6181</v>
      </c>
      <c r="J403" s="4293" t="s">
        <v>6182</v>
      </c>
      <c r="K403" s="4293" t="s">
        <v>6184</v>
      </c>
      <c r="L403" s="4293"/>
      <c r="M403" s="4293"/>
      <c r="N403" s="4374" t="s">
        <v>6183</v>
      </c>
      <c r="O403" s="48"/>
      <c r="P403" s="4226" t="s">
        <v>6698</v>
      </c>
      <c r="Q403" s="4226"/>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294"/>
      <c r="J404" s="4293"/>
      <c r="K404" s="4293"/>
      <c r="L404" s="4293"/>
      <c r="M404" s="4293"/>
      <c r="N404" s="4375"/>
      <c r="O404" s="48"/>
      <c r="P404" s="4227"/>
      <c r="Q404" s="4227"/>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34" t="s">
        <v>6295</v>
      </c>
      <c r="D405" s="4234"/>
      <c r="E405" s="4234"/>
      <c r="F405" s="4234"/>
      <c r="G405" s="4234"/>
      <c r="H405" s="4234"/>
      <c r="I405" s="365">
        <f>K290</f>
        <v>0</v>
      </c>
      <c r="J405" s="1762"/>
      <c r="K405" s="4376"/>
      <c r="L405" s="4376"/>
      <c r="M405" s="4377"/>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34"/>
      <c r="D406" s="4234"/>
      <c r="E406" s="4234"/>
      <c r="F406" s="4234"/>
      <c r="G406" s="4234"/>
      <c r="H406" s="4234"/>
      <c r="I406" s="248"/>
      <c r="J406" s="1763"/>
      <c r="K406" s="4378"/>
      <c r="L406" s="4378"/>
      <c r="M406" s="4379"/>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6185</v>
      </c>
      <c r="E408" s="108"/>
      <c r="F408" s="108"/>
      <c r="G408" s="108"/>
      <c r="H408" s="108"/>
      <c r="I408" s="365">
        <f>K291</f>
        <v>0</v>
      </c>
      <c r="J408" s="1762"/>
      <c r="K408" s="4376"/>
      <c r="L408" s="4376"/>
      <c r="M408" s="4377"/>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378"/>
      <c r="L409" s="4378"/>
      <c r="M409" s="4379"/>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34" t="s">
        <v>6296</v>
      </c>
      <c r="D411" s="4234"/>
      <c r="E411" s="4234"/>
      <c r="F411" s="4234"/>
      <c r="G411" s="4234"/>
      <c r="H411" s="4234"/>
      <c r="I411" s="365">
        <f>K293</f>
        <v>0</v>
      </c>
      <c r="J411" s="1762"/>
      <c r="K411" s="4376"/>
      <c r="L411" s="4376"/>
      <c r="M411" s="4377"/>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34"/>
      <c r="D412" s="4234"/>
      <c r="E412" s="4234"/>
      <c r="F412" s="4234"/>
      <c r="G412" s="4234"/>
      <c r="H412" s="4234"/>
      <c r="J412" s="1763"/>
      <c r="K412" s="4378"/>
      <c r="L412" s="4378"/>
      <c r="M412" s="4379"/>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3835</v>
      </c>
      <c r="E414" s="33"/>
      <c r="F414" s="33"/>
      <c r="G414" s="33"/>
      <c r="J414" s="35"/>
      <c r="K414" s="33"/>
      <c r="L414" s="33"/>
      <c r="M414" s="35"/>
      <c r="N414" s="48"/>
      <c r="P414" s="48"/>
      <c r="Q414" s="48"/>
    </row>
    <row r="415" spans="1:44" ht="12" customHeight="1">
      <c r="A415" s="40"/>
      <c r="B415" s="44"/>
      <c r="C415" s="33" t="s">
        <v>6228</v>
      </c>
      <c r="D415" s="115"/>
      <c r="E415" s="33"/>
      <c r="F415" s="33"/>
      <c r="L415" s="33"/>
      <c r="M415" s="33"/>
      <c r="O415" s="48" t="s">
        <v>2240</v>
      </c>
      <c r="P415" s="373" t="s">
        <v>1646</v>
      </c>
      <c r="Q415" s="418" t="s">
        <v>1646</v>
      </c>
    </row>
    <row r="416" spans="1:44" ht="12" customHeight="1">
      <c r="A416" s="35"/>
      <c r="B416" s="115"/>
      <c r="D416" s="4409" t="s">
        <v>6229</v>
      </c>
      <c r="E416" s="352" t="s">
        <v>2263</v>
      </c>
      <c r="F416" s="44" t="s">
        <v>3288</v>
      </c>
      <c r="G416" s="4388"/>
      <c r="H416" s="4389"/>
      <c r="I416" s="4389"/>
      <c r="J416" s="4389"/>
      <c r="K416" s="4390"/>
      <c r="L416" s="352"/>
    </row>
    <row r="417" spans="1:31" ht="12" customHeight="1">
      <c r="B417" s="115"/>
      <c r="D417" s="4409"/>
      <c r="E417" s="352" t="s">
        <v>3940</v>
      </c>
      <c r="F417" s="44" t="s">
        <v>3941</v>
      </c>
      <c r="G417" s="4363" t="s">
        <v>3204</v>
      </c>
      <c r="H417" s="4364"/>
      <c r="I417" s="4365"/>
      <c r="J417" s="44" t="s">
        <v>3802</v>
      </c>
      <c r="K417" s="115"/>
      <c r="M417" s="4388"/>
      <c r="N417" s="4389"/>
      <c r="O417" s="4389"/>
      <c r="P417" s="4389"/>
      <c r="Q417" s="4390"/>
    </row>
    <row r="418" spans="1:31" ht="12" customHeight="1">
      <c r="A418" s="35"/>
      <c r="B418" s="115"/>
      <c r="C418" s="44" t="s">
        <v>6227</v>
      </c>
      <c r="D418" s="115"/>
      <c r="E418" s="33"/>
      <c r="F418" s="33"/>
      <c r="G418" s="33"/>
      <c r="H418" s="33"/>
      <c r="I418" s="33"/>
      <c r="J418" s="33"/>
      <c r="K418" s="33"/>
      <c r="L418" s="33"/>
      <c r="M418" s="33"/>
      <c r="N418" s="33"/>
      <c r="O418" s="33"/>
      <c r="P418" s="33"/>
      <c r="Q418" s="33"/>
    </row>
    <row r="419" spans="1:31" ht="44.7" customHeight="1">
      <c r="B419" s="4380"/>
      <c r="C419" s="4381"/>
      <c r="D419" s="4381"/>
      <c r="E419" s="4381"/>
      <c r="F419" s="4381"/>
      <c r="G419" s="4381"/>
      <c r="H419" s="4381"/>
      <c r="I419" s="4381"/>
      <c r="J419" s="4381"/>
      <c r="K419" s="4381"/>
      <c r="L419" s="4381"/>
      <c r="M419" s="4381"/>
      <c r="N419" s="4381"/>
      <c r="O419" s="4381"/>
      <c r="P419" s="4381"/>
      <c r="Q419" s="4382"/>
      <c r="R419" s="354" t="s">
        <v>3801</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408" t="s">
        <v>4034</v>
      </c>
      <c r="C421" s="4234"/>
      <c r="D421" s="4234"/>
      <c r="E421" s="4234"/>
      <c r="F421" s="4234"/>
      <c r="G421" s="4234"/>
      <c r="H421" s="4234"/>
      <c r="I421" s="4234"/>
      <c r="J421" s="4234"/>
      <c r="K421" s="4234"/>
      <c r="L421" s="4234"/>
      <c r="M421" s="4234"/>
      <c r="N421" s="4234"/>
    </row>
    <row r="422" spans="1:31" s="115" customFormat="1" ht="45" customHeight="1">
      <c r="B422" s="4234" t="s">
        <v>6543</v>
      </c>
      <c r="C422" s="4234"/>
      <c r="D422" s="4234"/>
      <c r="E422" s="4234"/>
      <c r="F422" s="4234"/>
      <c r="G422" s="4234"/>
      <c r="H422" s="4234"/>
      <c r="I422" s="4234"/>
      <c r="J422" s="4234"/>
      <c r="K422" s="4234"/>
      <c r="L422" s="4234"/>
      <c r="M422" s="4234"/>
      <c r="N422" s="4234"/>
      <c r="O422" s="128" t="s">
        <v>1843</v>
      </c>
      <c r="P422" s="905"/>
      <c r="Q422" s="906"/>
    </row>
    <row r="423" spans="1:31" ht="12" customHeight="1">
      <c r="B423" s="109" t="s">
        <v>3240</v>
      </c>
      <c r="D423" s="109"/>
      <c r="E423" s="109"/>
      <c r="F423" s="109"/>
      <c r="G423" s="109"/>
      <c r="H423" s="33"/>
      <c r="I423" s="891"/>
      <c r="J423" s="891"/>
      <c r="K423" s="891"/>
    </row>
    <row r="424" spans="1:31" ht="33.6" customHeight="1">
      <c r="A424" s="4231"/>
      <c r="B424" s="4232"/>
      <c r="C424" s="4232"/>
      <c r="D424" s="4232"/>
      <c r="E424" s="4232"/>
      <c r="F424" s="4232"/>
      <c r="G424" s="4232"/>
      <c r="H424" s="4232"/>
      <c r="I424" s="4232"/>
      <c r="J424" s="4232"/>
      <c r="K424" s="4232"/>
      <c r="L424" s="4232"/>
      <c r="M424" s="4232"/>
      <c r="N424" s="4232"/>
      <c r="O424" s="4232"/>
      <c r="P424" s="4232"/>
      <c r="Q424" s="4233"/>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35"/>
      <c r="B426" s="4236"/>
      <c r="C426" s="4236"/>
      <c r="D426" s="4236"/>
      <c r="E426" s="4236"/>
      <c r="F426" s="4236"/>
      <c r="G426" s="4236"/>
      <c r="H426" s="4236"/>
      <c r="I426" s="4236"/>
      <c r="J426" s="4236"/>
      <c r="K426" s="4236"/>
      <c r="L426" s="4236"/>
      <c r="M426" s="4236"/>
      <c r="N426" s="4236"/>
      <c r="O426" s="4236"/>
      <c r="P426" s="4236"/>
      <c r="Q426" s="4237"/>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3381</v>
      </c>
      <c r="B428" s="4" t="s">
        <v>2508</v>
      </c>
      <c r="C428" s="4"/>
      <c r="D428" s="66"/>
      <c r="E428" s="887"/>
      <c r="F428" s="887"/>
      <c r="G428" s="887"/>
      <c r="H428" s="887"/>
      <c r="O428" s="101" t="s">
        <v>1731</v>
      </c>
      <c r="P428" s="4252"/>
      <c r="Q428" s="4241"/>
    </row>
    <row r="429" spans="1:31" ht="14.1" customHeight="1">
      <c r="B429" s="66" t="s">
        <v>3897</v>
      </c>
      <c r="C429" s="4"/>
      <c r="D429" s="66"/>
      <c r="E429" s="887"/>
      <c r="F429" s="887"/>
      <c r="G429" s="887"/>
      <c r="H429" s="887"/>
    </row>
    <row r="430" spans="1:31" s="102" customFormat="1" ht="21.75" customHeight="1">
      <c r="A430" s="110" t="s">
        <v>1841</v>
      </c>
      <c r="B430" s="4234" t="s">
        <v>3312</v>
      </c>
      <c r="C430" s="4234"/>
      <c r="D430" s="4234"/>
      <c r="E430" s="4234"/>
      <c r="F430" s="4234"/>
      <c r="G430" s="4234"/>
      <c r="H430" s="4234"/>
      <c r="I430" s="4234"/>
      <c r="J430" s="4234"/>
      <c r="K430" s="4234"/>
      <c r="L430" s="4234"/>
      <c r="M430" s="4234"/>
      <c r="N430" s="4234"/>
      <c r="O430" s="128" t="s">
        <v>1841</v>
      </c>
      <c r="P430" s="894"/>
      <c r="Q430" s="893"/>
    </row>
    <row r="431" spans="1:31" s="102" customFormat="1" ht="22.5" customHeight="1">
      <c r="A431" s="110" t="s">
        <v>1843</v>
      </c>
      <c r="B431" s="4234" t="s">
        <v>3311</v>
      </c>
      <c r="C431" s="4234"/>
      <c r="D431" s="4234"/>
      <c r="E431" s="4234"/>
      <c r="F431" s="4234"/>
      <c r="G431" s="4234"/>
      <c r="H431" s="4234"/>
      <c r="I431" s="4234"/>
      <c r="J431" s="4234"/>
      <c r="K431" s="4234"/>
      <c r="L431" s="4234"/>
      <c r="M431" s="4234"/>
      <c r="N431" s="4234"/>
      <c r="O431" s="128" t="s">
        <v>1843</v>
      </c>
      <c r="P431" s="431"/>
      <c r="Q431" s="422"/>
    </row>
    <row r="432" spans="1:31" s="102" customFormat="1" ht="22.5" customHeight="1">
      <c r="B432" s="1220" t="s">
        <v>1614</v>
      </c>
      <c r="C432" s="4234" t="s">
        <v>3867</v>
      </c>
      <c r="D432" s="4234"/>
      <c r="E432" s="4234"/>
      <c r="F432" s="4234"/>
      <c r="G432" s="4234"/>
      <c r="H432" s="4234"/>
      <c r="I432" s="4234"/>
      <c r="J432" s="4234"/>
      <c r="K432" s="4234"/>
      <c r="L432" s="4234"/>
      <c r="M432" s="4234"/>
      <c r="N432" s="4234"/>
      <c r="O432" s="128" t="s">
        <v>1614</v>
      </c>
      <c r="P432" s="431"/>
      <c r="Q432" s="422"/>
    </row>
    <row r="433" spans="1:31" s="35" customFormat="1" ht="12" customHeight="1">
      <c r="B433" s="1220" t="s">
        <v>1615</v>
      </c>
      <c r="C433" s="29" t="s">
        <v>3868</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34" t="s">
        <v>3869</v>
      </c>
      <c r="D434" s="4234"/>
      <c r="E434" s="4234"/>
      <c r="F434" s="4234"/>
      <c r="G434" s="4234"/>
      <c r="H434" s="4234"/>
      <c r="I434" s="4234"/>
      <c r="J434" s="4234"/>
      <c r="K434" s="4234"/>
      <c r="L434" s="4234"/>
      <c r="M434" s="4234"/>
      <c r="N434" s="4234"/>
      <c r="O434" s="128" t="s">
        <v>1616</v>
      </c>
      <c r="P434" s="431"/>
      <c r="Q434" s="422"/>
    </row>
    <row r="435" spans="1:31" s="102" customFormat="1" ht="22.5" customHeight="1">
      <c r="B435" s="372" t="s">
        <v>2182</v>
      </c>
      <c r="C435" s="4234" t="s">
        <v>3870</v>
      </c>
      <c r="D435" s="4234"/>
      <c r="E435" s="4234"/>
      <c r="F435" s="4234"/>
      <c r="G435" s="4234"/>
      <c r="H435" s="4234"/>
      <c r="I435" s="4234"/>
      <c r="J435" s="4234"/>
      <c r="K435" s="4234"/>
      <c r="L435" s="4234"/>
      <c r="M435" s="4234"/>
      <c r="N435" s="4234"/>
      <c r="O435" s="128" t="s">
        <v>2182</v>
      </c>
      <c r="P435" s="431"/>
      <c r="Q435" s="422"/>
    </row>
    <row r="436" spans="1:31" s="102" customFormat="1" ht="22.5" customHeight="1">
      <c r="A436" s="110" t="s">
        <v>698</v>
      </c>
      <c r="B436" s="4234" t="s">
        <v>3313</v>
      </c>
      <c r="C436" s="4234"/>
      <c r="D436" s="4234"/>
      <c r="E436" s="4234"/>
      <c r="F436" s="4234"/>
      <c r="G436" s="4234"/>
      <c r="H436" s="4234"/>
      <c r="I436" s="4234"/>
      <c r="J436" s="4234"/>
      <c r="K436" s="4234"/>
      <c r="L436" s="4234"/>
      <c r="M436" s="4234"/>
      <c r="N436" s="4234"/>
      <c r="O436" s="128" t="s">
        <v>698</v>
      </c>
      <c r="P436" s="431"/>
      <c r="Q436" s="422"/>
    </row>
    <row r="437" spans="1:31" s="102" customFormat="1" ht="22.5" customHeight="1">
      <c r="A437" s="110" t="s">
        <v>1962</v>
      </c>
      <c r="B437" s="4234" t="s">
        <v>3918</v>
      </c>
      <c r="C437" s="4234"/>
      <c r="D437" s="4234"/>
      <c r="E437" s="4234"/>
      <c r="F437" s="4234"/>
      <c r="G437" s="4234"/>
      <c r="H437" s="4234"/>
      <c r="I437" s="4234"/>
      <c r="J437" s="4234"/>
      <c r="K437" s="4234"/>
      <c r="L437" s="4234"/>
      <c r="M437" s="4234"/>
      <c r="N437" s="4234"/>
      <c r="O437" s="128" t="s">
        <v>1962</v>
      </c>
      <c r="P437" s="431"/>
      <c r="Q437" s="422"/>
    </row>
    <row r="438" spans="1:31" s="102" customFormat="1" ht="21.75" customHeight="1">
      <c r="A438" s="110" t="s">
        <v>1612</v>
      </c>
      <c r="B438" s="4234" t="s">
        <v>3919</v>
      </c>
      <c r="C438" s="4234"/>
      <c r="D438" s="4234"/>
      <c r="E438" s="4234"/>
      <c r="F438" s="4234"/>
      <c r="G438" s="4234"/>
      <c r="H438" s="4234"/>
      <c r="I438" s="4234"/>
      <c r="J438" s="4234"/>
      <c r="K438" s="4234"/>
      <c r="L438" s="4234"/>
      <c r="M438" s="4234"/>
      <c r="N438" s="4234"/>
      <c r="O438" s="128" t="s">
        <v>1612</v>
      </c>
      <c r="P438" s="431"/>
      <c r="Q438" s="422"/>
    </row>
    <row r="439" spans="1:31" s="334" customFormat="1" ht="21.75" customHeight="1">
      <c r="A439" s="110" t="s">
        <v>1613</v>
      </c>
      <c r="B439" s="4234" t="s">
        <v>3952</v>
      </c>
      <c r="C439" s="4234"/>
      <c r="D439" s="4234"/>
      <c r="E439" s="4234"/>
      <c r="F439" s="4234"/>
      <c r="G439" s="4234"/>
      <c r="H439" s="4234"/>
      <c r="I439" s="4234"/>
      <c r="J439" s="4234"/>
      <c r="K439" s="4234"/>
      <c r="L439" s="4234"/>
      <c r="M439" s="4234"/>
      <c r="N439" s="4234"/>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231"/>
      <c r="B441" s="4232"/>
      <c r="C441" s="4232"/>
      <c r="D441" s="4232"/>
      <c r="E441" s="4232"/>
      <c r="F441" s="4232"/>
      <c r="G441" s="4232"/>
      <c r="H441" s="4232"/>
      <c r="I441" s="4232"/>
      <c r="J441" s="4232"/>
      <c r="K441" s="4232"/>
      <c r="L441" s="4232"/>
      <c r="M441" s="4232"/>
      <c r="N441" s="4232"/>
      <c r="O441" s="4232"/>
      <c r="P441" s="4232"/>
      <c r="Q441" s="4233"/>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35"/>
      <c r="B443" s="4236"/>
      <c r="C443" s="4236"/>
      <c r="D443" s="4236"/>
      <c r="E443" s="4236"/>
      <c r="F443" s="4236"/>
      <c r="G443" s="4236"/>
      <c r="H443" s="4236"/>
      <c r="I443" s="4236"/>
      <c r="J443" s="4236"/>
      <c r="K443" s="4236"/>
      <c r="L443" s="4236"/>
      <c r="M443" s="4236"/>
      <c r="N443" s="4236"/>
      <c r="O443" s="4236"/>
      <c r="P443" s="4236"/>
      <c r="Q443" s="4237"/>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3803</v>
      </c>
      <c r="B445" s="4"/>
      <c r="C445" s="4" t="s">
        <v>2436</v>
      </c>
      <c r="D445" s="66"/>
      <c r="E445" s="887"/>
      <c r="F445" s="887"/>
      <c r="G445" s="887"/>
      <c r="H445" s="887"/>
      <c r="J445" s="887"/>
      <c r="K445" s="887"/>
      <c r="L445" s="887"/>
      <c r="M445" s="887"/>
      <c r="O445" s="101" t="s">
        <v>1731</v>
      </c>
      <c r="P445" s="4252"/>
      <c r="Q445" s="4241"/>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231"/>
      <c r="B447" s="4232"/>
      <c r="C447" s="4232"/>
      <c r="D447" s="4232"/>
      <c r="E447" s="4232"/>
      <c r="F447" s="4232"/>
      <c r="G447" s="4232"/>
      <c r="H447" s="4232"/>
      <c r="I447" s="4232"/>
      <c r="J447" s="4232"/>
      <c r="K447" s="4232"/>
      <c r="L447" s="4232"/>
      <c r="M447" s="4232"/>
      <c r="N447" s="4232"/>
      <c r="O447" s="4232"/>
      <c r="P447" s="4232"/>
      <c r="Q447" s="4233"/>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35"/>
      <c r="B449" s="4236"/>
      <c r="C449" s="4236"/>
      <c r="D449" s="4236"/>
      <c r="E449" s="4236"/>
      <c r="F449" s="4236"/>
      <c r="G449" s="4236"/>
      <c r="H449" s="4236"/>
      <c r="I449" s="4236"/>
      <c r="J449" s="4236"/>
      <c r="K449" s="4236"/>
      <c r="L449" s="4236"/>
      <c r="M449" s="4236"/>
      <c r="N449" s="4236"/>
      <c r="O449" s="4236"/>
      <c r="P449" s="4236"/>
      <c r="Q449" s="4237"/>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199999999999999">
      <c r="A456" s="44"/>
      <c r="B456" s="44"/>
      <c r="C456" s="807" t="s">
        <v>1646</v>
      </c>
      <c r="J456" s="1875" t="s">
        <v>1544</v>
      </c>
      <c r="N456" s="808"/>
      <c r="O456" s="1875" t="s">
        <v>4046</v>
      </c>
      <c r="P456" s="1876"/>
      <c r="R456" s="44"/>
    </row>
    <row r="457" spans="1:18" s="807" customFormat="1" ht="10.199999999999999">
      <c r="A457" s="44"/>
      <c r="B457" s="44"/>
      <c r="C457" s="1877" t="s">
        <v>1312</v>
      </c>
      <c r="J457" s="1875" t="s">
        <v>1953</v>
      </c>
      <c r="N457" s="808"/>
      <c r="O457" s="1875" t="s">
        <v>4047</v>
      </c>
      <c r="P457" s="1876"/>
      <c r="R457" s="44"/>
    </row>
    <row r="458" spans="1:18" s="807" customFormat="1" ht="10.199999999999999">
      <c r="A458" s="44"/>
      <c r="B458" s="44"/>
      <c r="C458" s="1877" t="s">
        <v>1313</v>
      </c>
      <c r="J458" s="1875" t="s">
        <v>1537</v>
      </c>
      <c r="N458" s="808"/>
      <c r="O458" s="1875" t="s">
        <v>4048</v>
      </c>
      <c r="P458" s="1876"/>
      <c r="R458" s="44"/>
    </row>
    <row r="459" spans="1:18" s="807" customFormat="1" ht="10.199999999999999">
      <c r="A459" s="44"/>
      <c r="B459" s="44"/>
      <c r="C459" s="1877" t="s">
        <v>1980</v>
      </c>
      <c r="J459" s="1875" t="s">
        <v>1120</v>
      </c>
      <c r="N459" s="808"/>
      <c r="O459" s="1875" t="s">
        <v>4052</v>
      </c>
      <c r="P459" s="1876"/>
      <c r="R459" s="44"/>
    </row>
    <row r="460" spans="1:18" s="807" customFormat="1" ht="10.199999999999999">
      <c r="A460" s="44"/>
      <c r="B460" s="44"/>
      <c r="C460" s="1877" t="s">
        <v>1309</v>
      </c>
      <c r="J460" s="1875" t="s">
        <v>549</v>
      </c>
      <c r="N460" s="808"/>
      <c r="O460" s="1875" t="s">
        <v>4049</v>
      </c>
      <c r="P460" s="1876"/>
      <c r="R460" s="44"/>
    </row>
    <row r="461" spans="1:18" s="807" customFormat="1" ht="10.199999999999999">
      <c r="A461" s="44"/>
      <c r="B461" s="44"/>
      <c r="C461" s="1877" t="s">
        <v>1310</v>
      </c>
      <c r="J461" s="1875" t="s">
        <v>1543</v>
      </c>
      <c r="N461" s="808"/>
      <c r="O461" s="1875" t="s">
        <v>4050</v>
      </c>
      <c r="P461" s="1876"/>
      <c r="R461" s="44"/>
    </row>
    <row r="462" spans="1:18" s="807" customFormat="1" ht="10.199999999999999">
      <c r="A462" s="44"/>
      <c r="B462" s="44"/>
      <c r="C462" s="1877" t="s">
        <v>1975</v>
      </c>
      <c r="J462" s="1875" t="s">
        <v>1117</v>
      </c>
      <c r="N462" s="808"/>
      <c r="O462" s="1875" t="s">
        <v>4051</v>
      </c>
      <c r="P462" s="1876"/>
      <c r="R462" s="44"/>
    </row>
    <row r="463" spans="1:18" s="807" customFormat="1" ht="10.199999999999999">
      <c r="A463" s="44"/>
      <c r="B463" s="44"/>
      <c r="C463" s="1877" t="s">
        <v>1976</v>
      </c>
      <c r="J463" s="1875" t="s">
        <v>1116</v>
      </c>
      <c r="N463" s="808"/>
      <c r="O463" s="807" t="s">
        <v>3278</v>
      </c>
      <c r="P463" s="1876"/>
      <c r="R463" s="44"/>
    </row>
    <row r="464" spans="1:18" s="807" customFormat="1" ht="10.199999999999999">
      <c r="A464" s="44"/>
      <c r="B464" s="44"/>
      <c r="C464" s="1877" t="s">
        <v>1977</v>
      </c>
      <c r="J464" s="1875" t="s">
        <v>1603</v>
      </c>
      <c r="N464" s="808"/>
      <c r="O464" s="807" t="s">
        <v>3279</v>
      </c>
      <c r="P464" s="1876"/>
      <c r="R464" s="44"/>
    </row>
    <row r="465" spans="1:22" s="807" customFormat="1" ht="10.199999999999999">
      <c r="A465" s="44"/>
      <c r="B465" s="44"/>
      <c r="C465" s="1877" t="s">
        <v>1978</v>
      </c>
      <c r="J465" s="1875" t="s">
        <v>1546</v>
      </c>
      <c r="N465" s="808"/>
      <c r="O465" s="1875"/>
      <c r="P465" s="1876"/>
      <c r="R465" s="44"/>
    </row>
    <row r="466" spans="1:22" s="807" customFormat="1" ht="10.199999999999999">
      <c r="A466" s="44"/>
      <c r="B466" s="44"/>
      <c r="C466" s="1877" t="s">
        <v>1979</v>
      </c>
      <c r="J466" s="1875" t="s">
        <v>1538</v>
      </c>
      <c r="N466" s="808"/>
      <c r="O466" s="1876"/>
      <c r="P466" s="1876"/>
      <c r="R466" s="44"/>
    </row>
    <row r="467" spans="1:22" s="807" customFormat="1" ht="10.199999999999999">
      <c r="A467" s="44"/>
      <c r="B467" s="44"/>
      <c r="C467" s="1877" t="s">
        <v>1311</v>
      </c>
      <c r="J467" s="1875" t="s">
        <v>1952</v>
      </c>
      <c r="N467" s="808"/>
      <c r="O467" s="1875"/>
      <c r="P467" s="1876"/>
      <c r="R467" s="44"/>
    </row>
    <row r="468" spans="1:22" s="807" customFormat="1" ht="10.199999999999999">
      <c r="A468" s="44"/>
      <c r="B468" s="44"/>
      <c r="C468" s="1877" t="s">
        <v>2108</v>
      </c>
      <c r="N468" s="808"/>
      <c r="O468" s="1876"/>
      <c r="P468" s="1876"/>
      <c r="R468" s="44"/>
    </row>
    <row r="469" spans="1:22" s="807" customFormat="1" ht="10.199999999999999">
      <c r="A469" s="44"/>
      <c r="B469" s="44"/>
      <c r="N469" s="808"/>
      <c r="O469" s="1876"/>
      <c r="P469" s="1876"/>
      <c r="R469" s="44"/>
    </row>
    <row r="470" spans="1:22" s="807" customFormat="1" ht="10.199999999999999">
      <c r="A470" s="44"/>
      <c r="B470" s="44"/>
      <c r="R470" s="44"/>
      <c r="S470" s="44"/>
      <c r="T470" s="44"/>
      <c r="U470" s="44"/>
      <c r="V470" s="44"/>
    </row>
    <row r="471" spans="1:22" s="807" customFormat="1" ht="10.199999999999999">
      <c r="A471" s="44"/>
      <c r="B471" s="44"/>
      <c r="C471" s="1878" t="s">
        <v>1664</v>
      </c>
      <c r="R471" s="44"/>
    </row>
    <row r="472" spans="1:22" s="807" customFormat="1" ht="10.199999999999999">
      <c r="A472" s="44"/>
      <c r="B472" s="44"/>
      <c r="C472" s="807" t="s">
        <v>869</v>
      </c>
      <c r="R472" s="44"/>
    </row>
    <row r="473" spans="1:22" s="807" customFormat="1" ht="10.199999999999999">
      <c r="A473" s="44"/>
      <c r="B473" s="44"/>
      <c r="C473" s="1877" t="s">
        <v>1522</v>
      </c>
      <c r="R473" s="44"/>
    </row>
    <row r="474" spans="1:22" s="807" customFormat="1" ht="10.199999999999999">
      <c r="A474" s="44"/>
      <c r="B474" s="44"/>
      <c r="C474" s="1877" t="s">
        <v>672</v>
      </c>
      <c r="L474" s="1877"/>
      <c r="R474" s="44"/>
    </row>
    <row r="475" spans="1:22" s="807" customFormat="1" ht="10.199999999999999">
      <c r="A475" s="44"/>
      <c r="B475" s="44"/>
      <c r="C475" s="1877" t="s">
        <v>673</v>
      </c>
      <c r="L475" s="1877"/>
      <c r="R475" s="44"/>
    </row>
    <row r="476" spans="1:22" s="807" customFormat="1" ht="10.199999999999999">
      <c r="A476" s="44"/>
      <c r="B476" s="44"/>
      <c r="C476" s="1877" t="s">
        <v>2001</v>
      </c>
      <c r="L476" s="1877"/>
      <c r="R476" s="44"/>
    </row>
    <row r="477" spans="1:22" s="807" customFormat="1" ht="10.199999999999999">
      <c r="A477" s="44"/>
      <c r="B477" s="44"/>
      <c r="C477" s="1877" t="s">
        <v>120</v>
      </c>
      <c r="L477" s="1877"/>
      <c r="R477" s="44"/>
    </row>
    <row r="478" spans="1:22" s="807" customFormat="1" ht="10.199999999999999">
      <c r="A478" s="44"/>
      <c r="B478" s="44"/>
      <c r="C478" s="807" t="s">
        <v>118</v>
      </c>
      <c r="L478" s="1877"/>
      <c r="R478" s="44"/>
    </row>
    <row r="479" spans="1:22" s="807" customFormat="1" ht="10.199999999999999">
      <c r="A479" s="44"/>
      <c r="B479" s="44"/>
      <c r="C479" s="807" t="s">
        <v>1741</v>
      </c>
      <c r="R479" s="44"/>
    </row>
    <row r="480" spans="1:22" s="807" customFormat="1" ht="10.199999999999999">
      <c r="A480" s="44"/>
      <c r="B480" s="44"/>
      <c r="C480" s="1877" t="s">
        <v>888</v>
      </c>
      <c r="L480" s="1877"/>
      <c r="R480" s="44"/>
    </row>
    <row r="481" spans="1:18" s="807" customFormat="1" ht="10.199999999999999">
      <c r="A481" s="44"/>
      <c r="B481" s="44"/>
      <c r="C481" s="807" t="s">
        <v>119</v>
      </c>
      <c r="L481" s="1877"/>
      <c r="R481" s="44"/>
    </row>
    <row r="482" spans="1:18" s="807" customFormat="1" ht="10.199999999999999">
      <c r="A482" s="44"/>
      <c r="B482" s="44"/>
      <c r="C482" s="807" t="s">
        <v>120</v>
      </c>
      <c r="L482" s="1877"/>
      <c r="R482" s="44"/>
    </row>
    <row r="483" spans="1:18" s="807" customFormat="1" ht="10.199999999999999">
      <c r="A483" s="44"/>
      <c r="B483" s="44"/>
      <c r="C483" s="807" t="s">
        <v>121</v>
      </c>
      <c r="L483" s="1877"/>
      <c r="R483" s="44"/>
    </row>
    <row r="484" spans="1:18" s="807" customFormat="1" ht="10.199999999999999">
      <c r="A484" s="44"/>
      <c r="B484" s="44"/>
      <c r="C484" s="807" t="s">
        <v>2439</v>
      </c>
      <c r="R484" s="44"/>
    </row>
    <row r="485" spans="1:18" s="807" customFormat="1" ht="10.199999999999999">
      <c r="A485" s="44"/>
      <c r="B485" s="44"/>
      <c r="C485" s="1877" t="s">
        <v>1865</v>
      </c>
      <c r="L485" s="1877"/>
      <c r="R485" s="44"/>
    </row>
    <row r="486" spans="1:18" s="807" customFormat="1" ht="10.199999999999999">
      <c r="A486" s="44"/>
      <c r="B486" s="44"/>
      <c r="C486" s="807" t="s">
        <v>2440</v>
      </c>
      <c r="L486" s="1877"/>
      <c r="R486" s="44"/>
    </row>
    <row r="487" spans="1:18" s="807" customFormat="1" ht="10.199999999999999">
      <c r="A487" s="44"/>
      <c r="B487" s="44"/>
      <c r="C487" s="807" t="s">
        <v>1304</v>
      </c>
      <c r="L487" s="1877"/>
      <c r="R487" s="44"/>
    </row>
    <row r="488" spans="1:18" s="807" customFormat="1" ht="10.199999999999999">
      <c r="A488" s="44"/>
      <c r="B488" s="44"/>
      <c r="C488" s="807" t="s">
        <v>1485</v>
      </c>
      <c r="K488" s="1878" t="s">
        <v>434</v>
      </c>
      <c r="L488" s="1877"/>
      <c r="R488" s="44"/>
    </row>
    <row r="489" spans="1:18" s="807" customFormat="1" ht="10.199999999999999">
      <c r="A489" s="44"/>
      <c r="B489" s="44"/>
      <c r="C489" s="807" t="s">
        <v>2441</v>
      </c>
      <c r="K489" s="807" t="s">
        <v>1018</v>
      </c>
      <c r="L489" s="1877"/>
      <c r="R489" s="44"/>
    </row>
    <row r="490" spans="1:18" s="807" customFormat="1" ht="10.199999999999999">
      <c r="A490" s="44"/>
      <c r="B490" s="44"/>
      <c r="C490" s="807" t="s">
        <v>2442</v>
      </c>
      <c r="K490" s="807" t="s">
        <v>3249</v>
      </c>
      <c r="R490" s="44"/>
    </row>
    <row r="491" spans="1:18" s="807" customFormat="1" ht="10.199999999999999">
      <c r="A491" s="44"/>
      <c r="B491" s="44"/>
      <c r="C491" s="1877" t="s">
        <v>1130</v>
      </c>
      <c r="K491" s="807" t="s">
        <v>6202</v>
      </c>
      <c r="R491" s="44"/>
    </row>
    <row r="492" spans="1:18" s="807" customFormat="1" ht="10.199999999999999">
      <c r="A492" s="44"/>
      <c r="B492" s="44"/>
      <c r="R492" s="44"/>
    </row>
    <row r="493" spans="1:18" s="807" customFormat="1" ht="10.199999999999999">
      <c r="A493" s="44"/>
      <c r="B493" s="44"/>
      <c r="C493" s="1878" t="s">
        <v>244</v>
      </c>
      <c r="K493" s="1878" t="s">
        <v>2072</v>
      </c>
      <c r="R493" s="44"/>
    </row>
    <row r="494" spans="1:18" s="807" customFormat="1" ht="10.199999999999999">
      <c r="A494" s="44"/>
      <c r="B494" s="44"/>
      <c r="C494" s="807" t="s">
        <v>1019</v>
      </c>
      <c r="K494" s="807" t="s">
        <v>2147</v>
      </c>
      <c r="R494" s="44"/>
    </row>
    <row r="495" spans="1:18" s="807" customFormat="1" ht="10.199999999999999">
      <c r="A495" s="44"/>
      <c r="B495" s="44"/>
      <c r="C495" s="807" t="s">
        <v>163</v>
      </c>
      <c r="K495" s="807" t="s">
        <v>6305</v>
      </c>
      <c r="R495" s="44"/>
    </row>
    <row r="496" spans="1:18" s="807" customFormat="1" ht="10.199999999999999">
      <c r="A496" s="44"/>
      <c r="B496" s="44"/>
      <c r="C496" s="807" t="s">
        <v>1429</v>
      </c>
      <c r="K496" s="807" t="s">
        <v>6304</v>
      </c>
      <c r="R496" s="44"/>
    </row>
    <row r="497" spans="1:18" s="807" customFormat="1" ht="10.199999999999999">
      <c r="A497" s="44"/>
      <c r="B497" s="44"/>
      <c r="C497" s="807" t="s">
        <v>1965</v>
      </c>
      <c r="K497" s="807" t="s">
        <v>6203</v>
      </c>
      <c r="R497" s="44"/>
    </row>
    <row r="498" spans="1:18" s="807" customFormat="1" ht="10.199999999999999">
      <c r="A498" s="44"/>
      <c r="B498" s="44"/>
      <c r="C498" s="807" t="s">
        <v>162</v>
      </c>
      <c r="K498" s="807" t="s">
        <v>6306</v>
      </c>
      <c r="R498" s="44"/>
    </row>
    <row r="499" spans="1:18" s="807" customFormat="1" ht="10.199999999999999">
      <c r="A499" s="44"/>
      <c r="B499" s="44"/>
      <c r="K499" s="1878" t="s">
        <v>1809</v>
      </c>
      <c r="R499" s="44"/>
    </row>
    <row r="500" spans="1:18" s="807" customFormat="1" ht="10.199999999999999">
      <c r="A500" s="44"/>
      <c r="B500" s="44"/>
      <c r="K500" s="807" t="s">
        <v>1017</v>
      </c>
      <c r="R500" s="44"/>
    </row>
    <row r="501" spans="1:18" s="807" customFormat="1" ht="10.199999999999999">
      <c r="A501" s="44"/>
      <c r="B501" s="44"/>
      <c r="K501" s="807" t="s">
        <v>1628</v>
      </c>
      <c r="R501" s="44"/>
    </row>
    <row r="502" spans="1:18" s="807" customFormat="1" ht="10.199999999999999">
      <c r="A502" s="44"/>
      <c r="B502" s="44"/>
      <c r="K502" s="807" t="s">
        <v>1067</v>
      </c>
      <c r="R502" s="44"/>
    </row>
    <row r="503" spans="1:18" s="807" customFormat="1" ht="10.199999999999999">
      <c r="A503" s="44"/>
      <c r="B503" s="44"/>
      <c r="K503" s="807" t="s">
        <v>1629</v>
      </c>
      <c r="R503" s="44"/>
    </row>
    <row r="504" spans="1:18" s="807" customFormat="1" ht="10.199999999999999">
      <c r="A504" s="44"/>
      <c r="B504" s="44"/>
      <c r="K504" s="807" t="s">
        <v>2185</v>
      </c>
      <c r="R504" s="44"/>
    </row>
    <row r="505" spans="1:18" s="807" customFormat="1" ht="10.199999999999999">
      <c r="A505" s="44"/>
      <c r="B505" s="44"/>
      <c r="R505" s="44"/>
    </row>
    <row r="506" spans="1:18" s="807" customFormat="1" ht="10.199999999999999">
      <c r="A506" s="44"/>
      <c r="B506" s="44"/>
      <c r="C506" s="1878" t="s">
        <v>951</v>
      </c>
      <c r="M506" s="1878" t="s">
        <v>3852</v>
      </c>
      <c r="R506" s="44"/>
    </row>
    <row r="507" spans="1:18" s="807" customFormat="1" ht="10.199999999999999">
      <c r="A507" s="44"/>
      <c r="B507" s="44"/>
      <c r="C507" s="807" t="s">
        <v>950</v>
      </c>
      <c r="M507" s="807" t="s">
        <v>950</v>
      </c>
      <c r="R507" s="44"/>
    </row>
    <row r="508" spans="1:18" s="807" customFormat="1" ht="10.199999999999999">
      <c r="A508" s="44"/>
      <c r="B508" s="44"/>
      <c r="C508" s="807" t="s">
        <v>1938</v>
      </c>
      <c r="M508" s="807" t="s">
        <v>3849</v>
      </c>
      <c r="R508" s="44"/>
    </row>
    <row r="509" spans="1:18" s="807" customFormat="1" ht="10.199999999999999">
      <c r="A509" s="44"/>
      <c r="B509" s="44"/>
      <c r="C509" s="807" t="s">
        <v>2341</v>
      </c>
      <c r="M509" s="807" t="s">
        <v>3880</v>
      </c>
      <c r="R509" s="44"/>
    </row>
    <row r="510" spans="1:18" s="807" customFormat="1" ht="10.199999999999999">
      <c r="A510" s="44"/>
      <c r="B510" s="44"/>
      <c r="C510" s="807" t="s">
        <v>1939</v>
      </c>
      <c r="M510" s="807" t="s">
        <v>1540</v>
      </c>
      <c r="R510" s="44"/>
    </row>
    <row r="511" spans="1:18" s="807" customFormat="1" ht="10.199999999999999">
      <c r="A511" s="44"/>
      <c r="B511" s="44"/>
      <c r="C511" s="807" t="s">
        <v>1810</v>
      </c>
      <c r="M511" s="807" t="s">
        <v>3850</v>
      </c>
      <c r="R511" s="44"/>
    </row>
    <row r="512" spans="1:18" s="807" customFormat="1" ht="10.199999999999999">
      <c r="A512" s="44"/>
      <c r="B512" s="44"/>
      <c r="C512" s="807" t="s">
        <v>548</v>
      </c>
      <c r="M512" s="807" t="s">
        <v>3899</v>
      </c>
      <c r="R512" s="44"/>
    </row>
    <row r="513" spans="1:18" s="807" customFormat="1" ht="10.199999999999999">
      <c r="A513" s="44"/>
      <c r="B513" s="44"/>
      <c r="C513" s="807" t="s">
        <v>2035</v>
      </c>
      <c r="M513" s="807" t="s">
        <v>3900</v>
      </c>
      <c r="R513" s="44"/>
    </row>
    <row r="514" spans="1:18" s="807" customFormat="1" ht="10.199999999999999">
      <c r="A514" s="44"/>
      <c r="B514" s="44"/>
      <c r="C514" s="807" t="s">
        <v>30</v>
      </c>
      <c r="M514" s="807" t="s">
        <v>3851</v>
      </c>
      <c r="R514" s="44"/>
    </row>
    <row r="515" spans="1:18" s="807" customFormat="1" ht="10.199999999999999">
      <c r="A515" s="44"/>
      <c r="B515" s="44"/>
      <c r="M515" s="807" t="s">
        <v>1952</v>
      </c>
      <c r="R515" s="44"/>
    </row>
    <row r="516" spans="1:18" s="807" customFormat="1" ht="10.199999999999999">
      <c r="A516" s="44"/>
      <c r="B516" s="44"/>
      <c r="R516" s="44"/>
    </row>
    <row r="517" spans="1:18" s="807" customFormat="1" ht="10.199999999999999">
      <c r="A517" s="44"/>
      <c r="B517" s="44"/>
      <c r="R517" s="44"/>
    </row>
    <row r="518" spans="1:18" s="807" customFormat="1" ht="10.199999999999999">
      <c r="A518" s="44"/>
      <c r="B518" s="44"/>
      <c r="M518" s="1879" t="s">
        <v>3261</v>
      </c>
      <c r="R518" s="44"/>
    </row>
    <row r="519" spans="1:18" s="807" customFormat="1" ht="10.199999999999999">
      <c r="A519" s="44"/>
      <c r="B519" s="44"/>
      <c r="M519" s="807" t="s">
        <v>3337</v>
      </c>
      <c r="R519" s="44"/>
    </row>
    <row r="520" spans="1:18" s="807" customFormat="1" ht="10.199999999999999">
      <c r="A520" s="44"/>
      <c r="B520" s="44"/>
      <c r="M520" s="807" t="s">
        <v>3332</v>
      </c>
      <c r="R520" s="44"/>
    </row>
    <row r="521" spans="1:18" s="807" customFormat="1" ht="10.199999999999999">
      <c r="A521" s="44"/>
      <c r="B521" s="44"/>
      <c r="M521" s="807" t="s">
        <v>3254</v>
      </c>
      <c r="R521" s="44"/>
    </row>
    <row r="522" spans="1:18" s="807" customFormat="1" ht="10.199999999999999">
      <c r="A522" s="44"/>
      <c r="B522" s="44"/>
      <c r="M522" s="807" t="s">
        <v>3328</v>
      </c>
      <c r="R522" s="44"/>
    </row>
    <row r="523" spans="1:18" s="807" customFormat="1" ht="10.199999999999999">
      <c r="A523" s="44"/>
      <c r="B523" s="44"/>
      <c r="D523" s="1879" t="s">
        <v>1888</v>
      </c>
      <c r="M523" s="807" t="s">
        <v>3255</v>
      </c>
      <c r="R523" s="44"/>
    </row>
    <row r="524" spans="1:18" s="807" customFormat="1">
      <c r="A524" s="44"/>
      <c r="B524" s="44"/>
      <c r="J524" s="357"/>
      <c r="M524" s="807" t="s">
        <v>3329</v>
      </c>
      <c r="R524" s="44"/>
    </row>
    <row r="525" spans="1:18" s="357" customFormat="1">
      <c r="A525" s="115"/>
      <c r="B525" s="115"/>
      <c r="M525" s="807" t="s">
        <v>3256</v>
      </c>
      <c r="O525" s="807"/>
      <c r="R525" s="115"/>
    </row>
    <row r="526" spans="1:18" s="357" customFormat="1">
      <c r="A526" s="115"/>
      <c r="B526" s="115"/>
      <c r="M526" s="807" t="s">
        <v>3330</v>
      </c>
      <c r="R526" s="115"/>
    </row>
    <row r="527" spans="1:18" s="357" customFormat="1">
      <c r="A527" s="115"/>
      <c r="B527" s="115"/>
      <c r="M527" s="807" t="s">
        <v>3333</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3331</v>
      </c>
      <c r="R530" s="115"/>
    </row>
    <row r="531" spans="1:22" s="357" customFormat="1">
      <c r="A531" s="115"/>
      <c r="B531" s="115"/>
      <c r="M531" s="807" t="s">
        <v>3334</v>
      </c>
      <c r="R531" s="115"/>
    </row>
    <row r="532" spans="1:22" s="357" customFormat="1">
      <c r="A532" s="115"/>
      <c r="B532" s="115"/>
      <c r="M532" s="807" t="s">
        <v>3335</v>
      </c>
      <c r="R532" s="115"/>
    </row>
    <row r="533" spans="1:22" s="357" customFormat="1">
      <c r="A533" s="115"/>
      <c r="B533" s="115"/>
      <c r="M533" s="807" t="s">
        <v>6527</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7" customHeight="1">
      <c r="A2" s="4423" t="s">
        <v>6524</v>
      </c>
      <c r="B2" s="4423"/>
      <c r="C2" s="147"/>
      <c r="D2" s="795">
        <v>2021</v>
      </c>
      <c r="E2" s="144"/>
      <c r="F2" s="4458" t="s">
        <v>2999</v>
      </c>
      <c r="G2" s="4459"/>
      <c r="H2" s="4459"/>
      <c r="I2" s="4459"/>
      <c r="J2" s="4460"/>
      <c r="K2" s="234"/>
      <c r="L2" s="443" t="s">
        <v>3141</v>
      </c>
      <c r="M2" s="234"/>
      <c r="N2" s="4458" t="s">
        <v>2999</v>
      </c>
      <c r="O2" s="4459"/>
      <c r="P2" s="4459"/>
      <c r="Q2" s="4459"/>
      <c r="R2" s="4460"/>
      <c r="S2" s="241"/>
      <c r="T2" s="144"/>
      <c r="U2" s="144"/>
      <c r="V2" s="322"/>
      <c r="W2" s="322"/>
      <c r="X2" s="322"/>
      <c r="AA2" s="68"/>
      <c r="AB2" s="68"/>
    </row>
    <row r="3" spans="1:28" s="145" customFormat="1" ht="11.7" customHeight="1">
      <c r="A3" s="4423"/>
      <c r="B3" s="4423"/>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7" customHeight="1">
      <c r="A4" s="4423"/>
      <c r="B4" s="4423"/>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7"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7"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7"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7"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7"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7"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7"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7"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7"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7"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7"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7"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7"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7"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7"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7"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7"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7"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7"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7"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7"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7"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7"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7"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7"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7"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7"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7"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7"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7"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7"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7"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7"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7"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7"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6525</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252"/>
      <c r="Q44" s="4241"/>
    </row>
    <row r="45" spans="1:295" s="28" customFormat="1" ht="11.25" customHeight="1">
      <c r="A45" s="4430"/>
      <c r="B45" s="4430"/>
      <c r="C45" s="4430"/>
      <c r="D45" s="4430"/>
      <c r="E45" s="4430"/>
      <c r="F45" s="1245"/>
      <c r="G45" s="4414" t="s">
        <v>2465</v>
      </c>
      <c r="H45" s="4415"/>
      <c r="I45" s="66"/>
      <c r="J45" s="35"/>
      <c r="K45" s="4416" t="s">
        <v>3164</v>
      </c>
      <c r="L45" s="4417"/>
      <c r="M45" s="4417"/>
      <c r="N45" s="4418"/>
    </row>
    <row r="46" spans="1:295" s="28" customFormat="1" ht="11.25" customHeight="1">
      <c r="A46" s="4430"/>
      <c r="B46" s="4430"/>
      <c r="C46" s="4430"/>
      <c r="D46" s="4430"/>
      <c r="E46" s="4430"/>
      <c r="F46" s="1245"/>
      <c r="G46" s="4419" t="s">
        <v>333</v>
      </c>
      <c r="H46" s="4420"/>
      <c r="I46" s="66"/>
      <c r="J46" s="35"/>
      <c r="K46" s="4425" t="s">
        <v>3165</v>
      </c>
      <c r="L46" s="4426"/>
      <c r="M46" s="4426"/>
      <c r="N46" s="4427"/>
      <c r="P46" s="405" t="s">
        <v>2474</v>
      </c>
      <c r="Q46" s="74"/>
    </row>
    <row r="47" spans="1:295" s="28" customFormat="1" ht="4.5" customHeight="1">
      <c r="A47" s="1245"/>
      <c r="B47" s="1245"/>
      <c r="C47" s="1245"/>
      <c r="D47" s="1245"/>
      <c r="E47" s="1245"/>
      <c r="F47" s="1245"/>
      <c r="G47" s="66"/>
      <c r="H47" s="66"/>
      <c r="I47" s="66"/>
      <c r="J47" s="35"/>
      <c r="K47" s="4370"/>
      <c r="L47" s="4370"/>
      <c r="M47" s="4370"/>
      <c r="N47" s="4370"/>
      <c r="P47" s="4428" t="s">
        <v>3936</v>
      </c>
      <c r="Q47" s="4428"/>
    </row>
    <row r="48" spans="1:295" s="62" customFormat="1" ht="10.5" customHeight="1">
      <c r="D48" s="491" t="s">
        <v>2464</v>
      </c>
      <c r="E48" s="28"/>
      <c r="F48" s="492" t="s">
        <v>3067</v>
      </c>
      <c r="G48" s="4443" t="s">
        <v>3893</v>
      </c>
      <c r="H48" s="4443"/>
      <c r="I48" s="4443"/>
      <c r="J48" s="28"/>
      <c r="K48" s="492" t="s">
        <v>3067</v>
      </c>
      <c r="L48" s="4443" t="s">
        <v>3892</v>
      </c>
      <c r="M48" s="4443"/>
      <c r="N48" s="4443"/>
      <c r="O48" s="28"/>
      <c r="P48" s="4428"/>
      <c r="Q48" s="4428"/>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13" t="s">
        <v>2998</v>
      </c>
      <c r="B49" s="4413"/>
      <c r="C49" s="4413"/>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174625.19999999998</v>
      </c>
      <c r="H49" s="33" t="str">
        <f>CONCATENATE("x ", F49," units = ")</f>
        <v xml:space="preserve">x  units = </v>
      </c>
      <c r="I49" s="1244" t="str">
        <f>IF(F49="","",F49*G49)</f>
        <v/>
      </c>
      <c r="J49" s="35"/>
      <c r="K49" s="1243" t="str">
        <f>IF('Part V-Revenues &amp; Expenses'!$K$148 =0,"",'Part V-Revenues &amp; Expenses'!$K$148)</f>
        <v/>
      </c>
      <c r="L49" s="661">
        <f>G49*(1+'DCA Underwriting Assumptions'!$Q$12)</f>
        <v>192087.72</v>
      </c>
      <c r="M49" s="33" t="str">
        <f>CONCATENATE("x ", K49," units = ")</f>
        <v xml:space="preserve">x  units = </v>
      </c>
      <c r="N49" s="1244" t="str">
        <f>IF(K49="","",K49*L49)</f>
        <v/>
      </c>
      <c r="O49" s="887"/>
      <c r="P49" s="4429"/>
      <c r="Q49" s="4429"/>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13"/>
      <c r="B50" s="4413"/>
      <c r="C50" s="4413"/>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216235.65</v>
      </c>
      <c r="H50" s="33" t="str">
        <f>CONCATENATE("x ", F50," units = ")</f>
        <v xml:space="preserve">x  units = </v>
      </c>
      <c r="I50" s="1244" t="str">
        <f>IF(F50="","",F50*G50)</f>
        <v/>
      </c>
      <c r="J50" s="35"/>
      <c r="K50" s="1243" t="str">
        <f>IF('Part V-Revenues &amp; Expenses'!$L$148 =0,"",'Part V-Revenues &amp; Expenses'!$L$148)</f>
        <v/>
      </c>
      <c r="L50" s="661">
        <f>G50*(1+'DCA Underwriting Assumptions'!$Q$12)</f>
        <v>237859.21500000003</v>
      </c>
      <c r="M50" s="33" t="str">
        <f>CONCATENATE("x ", K50," units = ")</f>
        <v xml:space="preserve">x  units = </v>
      </c>
      <c r="N50" s="1244" t="str">
        <f>IF(K50="","",K50*L50)</f>
        <v/>
      </c>
      <c r="O50" s="887"/>
      <c r="P50" s="4435" t="str">
        <f>IF('Part I-Project Identification'!$F$26="","",VLOOKUP('Part I-Project Identification'!$J$26,'DCA Underwriting Assumptions'!$G$141:$N$300,8,FALSE))</f>
        <v>Augusta</v>
      </c>
      <c r="Q50" s="4436"/>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13"/>
      <c r="B51" s="4413"/>
      <c r="C51" s="4413"/>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258525.74999999997</v>
      </c>
      <c r="H51" s="33" t="str">
        <f>CONCATENATE("x ", F51," units = ")</f>
        <v xml:space="preserve">x  units = </v>
      </c>
      <c r="I51" s="1244" t="str">
        <f>IF(F51="","",F51*G51)</f>
        <v/>
      </c>
      <c r="J51" s="35"/>
      <c r="K51" s="1243" t="str">
        <f>IF('Part V-Revenues &amp; Expenses'!$M$148 =0,"",'Part V-Revenues &amp; Expenses'!$M$148)</f>
        <v/>
      </c>
      <c r="L51" s="661">
        <f>G51*(1+'DCA Underwriting Assumptions'!$Q$12)</f>
        <v>284378.32500000001</v>
      </c>
      <c r="M51" s="33" t="str">
        <f>CONCATENATE("x ", K51," units = ")</f>
        <v xml:space="preserve">x  units = </v>
      </c>
      <c r="N51" s="1244" t="str">
        <f>IF(K51="","",K51*L51)</f>
        <v/>
      </c>
      <c r="O51" s="887"/>
      <c r="P51" s="4437"/>
      <c r="Q51" s="4438"/>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13"/>
      <c r="B52" s="4413"/>
      <c r="C52" s="4413"/>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294553.60000000003</v>
      </c>
      <c r="H52" s="33" t="str">
        <f>CONCATENATE("x ", F52," units = ")</f>
        <v xml:space="preserve">x  units = </v>
      </c>
      <c r="I52" s="1244" t="str">
        <f>IF(F52="","",F52*G52)</f>
        <v/>
      </c>
      <c r="J52" s="35"/>
      <c r="K52" s="1243" t="str">
        <f>IF('Part V-Revenues &amp; Expenses'!$N$148 =0,"",'Part V-Revenues &amp; Expenses'!$N$148)</f>
        <v/>
      </c>
      <c r="L52" s="661">
        <f>G52*(1+'DCA Underwriting Assumptions'!$Q$12)</f>
        <v>324008.96000000008</v>
      </c>
      <c r="M52" s="33" t="str">
        <f>CONCATENATE("x ", K52," units = ")</f>
        <v xml:space="preserve">x  units = </v>
      </c>
      <c r="N52" s="1244" t="str">
        <f>IF(K52="","",K52*L52)</f>
        <v/>
      </c>
      <c r="O52" s="887"/>
      <c r="P52" s="4226" t="s">
        <v>3937</v>
      </c>
      <c r="Q52" s="4226"/>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346811.30000000005</v>
      </c>
      <c r="H53" s="33" t="str">
        <f>CONCATENATE("x ", F53," units = ")</f>
        <v xml:space="preserve">x  units = </v>
      </c>
      <c r="I53" s="1244" t="str">
        <f>IF(F53="","",F53*G53)</f>
        <v/>
      </c>
      <c r="J53" s="35"/>
      <c r="K53" s="1243" t="str">
        <f>IF('Part V-Revenues &amp; Expenses'!$O$148 =0,"",'Part V-Revenues &amp; Expenses'!$O$148)</f>
        <v/>
      </c>
      <c r="L53" s="661">
        <f>G53*(1+'DCA Underwriting Assumptions'!$Q$12)</f>
        <v>381492.43000000011</v>
      </c>
      <c r="M53" s="33" t="str">
        <f>CONCATENATE("x ", K53," units = ")</f>
        <v xml:space="preserve">x  units = </v>
      </c>
      <c r="N53" s="1244" t="str">
        <f>IF(K53="","",K53*L53)</f>
        <v/>
      </c>
      <c r="O53" s="887"/>
      <c r="P53" s="4421">
        <f>'Part III-A-Uses of Funds'!$G$146</f>
        <v>4829637</v>
      </c>
      <c r="Q53" s="4422"/>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226" t="s">
        <v>3928</v>
      </c>
      <c r="Q54" s="4226"/>
      <c r="R54" s="4461" t="s">
        <v>6300</v>
      </c>
      <c r="S54" s="4461"/>
      <c r="T54" s="4461"/>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13" t="s">
        <v>2993</v>
      </c>
      <c r="B56" s="4413"/>
      <c r="C56" s="4413"/>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151546.79999999999</v>
      </c>
      <c r="H56" s="33" t="str">
        <f>CONCATENATE("x ", F56," units = ")</f>
        <v xml:space="preserve">x  units = </v>
      </c>
      <c r="I56" s="1244" t="str">
        <f>IF(F56="","",F56*G56)</f>
        <v/>
      </c>
      <c r="J56" s="35"/>
      <c r="K56" s="1243" t="str">
        <f>IF('Part V-Revenues &amp; Expenses'!$K$150 =0,"",'Part V-Revenues &amp; Expenses'!$K$150)</f>
        <v/>
      </c>
      <c r="L56" s="661">
        <f>G56*(1+'DCA Underwriting Assumptions'!$Q$12)</f>
        <v>166701.48000000001</v>
      </c>
      <c r="M56" s="33" t="str">
        <f>CONCATENATE("x ", K56," units = ")</f>
        <v xml:space="preserve">x  units = </v>
      </c>
      <c r="N56" s="1244" t="str">
        <f>IF(K56="","",K56*L56)</f>
        <v/>
      </c>
      <c r="P56" s="4421">
        <f>'Part III-A-Uses of Funds'!$G$146-'Part III-A-Uses of Funds'!$G$92-'Part III-A-Uses of Funds'!$G$114-'Part III-A-Uses of Funds'!$G$130-'Part III-A-Uses of Funds'!$G$131-'Part III-A-Uses of Funds'!$G$132</f>
        <v>4630784</v>
      </c>
      <c r="Q56" s="4422"/>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13"/>
      <c r="B57" s="4413"/>
      <c r="C57" s="4413"/>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189268.15</v>
      </c>
      <c r="H57" s="33" t="str">
        <f>CONCATENATE("x ", F57," units = ")</f>
        <v xml:space="preserve">x  units = </v>
      </c>
      <c r="I57" s="1244" t="str">
        <f>IF(F57="","",F57*G57)</f>
        <v/>
      </c>
      <c r="J57" s="35"/>
      <c r="K57" s="1243" t="str">
        <f>IF('Part V-Revenues &amp; Expenses'!$L$150 =0,"",'Part V-Revenues &amp; Expenses'!$L$150)</f>
        <v/>
      </c>
      <c r="L57" s="661">
        <f>G57*(1+'DCA Underwriting Assumptions'!$Q$12)</f>
        <v>208194.965</v>
      </c>
      <c r="M57" s="33" t="str">
        <f>CONCATENATE("x ", K57," units = ")</f>
        <v xml:space="preserve">x  units = </v>
      </c>
      <c r="N57" s="1244" t="str">
        <f>IF(K57="","",K57*L57)</f>
        <v/>
      </c>
      <c r="P57" s="3506" t="s">
        <v>3365</v>
      </c>
      <c r="Q57" s="3506"/>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13"/>
      <c r="B58" s="4413"/>
      <c r="C58" s="4413"/>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228994.9</v>
      </c>
      <c r="H58" s="33" t="str">
        <f>CONCATENATE("x ", F58," units = ")</f>
        <v xml:space="preserve">x  units = </v>
      </c>
      <c r="I58" s="1244" t="str">
        <f>IF(F58="","",F58*G58)</f>
        <v/>
      </c>
      <c r="J58" s="35"/>
      <c r="K58" s="1243" t="str">
        <f>IF('Part V-Revenues &amp; Expenses'!$M$150 =0,"",'Part V-Revenues &amp; Expenses'!$M$150)</f>
        <v/>
      </c>
      <c r="L58" s="661">
        <f>G58*(1+'DCA Underwriting Assumptions'!$Q$12)</f>
        <v>251894.39</v>
      </c>
      <c r="M58" s="33" t="str">
        <f>CONCATENATE("x ", K58," units = ")</f>
        <v xml:space="preserve">x  units = </v>
      </c>
      <c r="N58" s="1244" t="str">
        <f>IF(K58="","",K58*L58)</f>
        <v/>
      </c>
      <c r="O58" s="441"/>
      <c r="P58" s="4439"/>
      <c r="Q58" s="4440"/>
      <c r="R58" s="328"/>
      <c r="S58" s="4444" t="s">
        <v>3931</v>
      </c>
      <c r="T58" s="4445"/>
      <c r="U58" s="4445"/>
      <c r="V58" s="4446"/>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266726.90000000002</v>
      </c>
      <c r="H59" s="33" t="str">
        <f>CONCATENATE("x ", F59," units = ")</f>
        <v xml:space="preserve">x  units = </v>
      </c>
      <c r="I59" s="1244" t="str">
        <f>IF(F59="","",F59*G59)</f>
        <v/>
      </c>
      <c r="J59" s="35"/>
      <c r="K59" s="1243" t="str">
        <f>IF('Part V-Revenues &amp; Expenses'!$N$150 =0,"",'Part V-Revenues &amp; Expenses'!$N$150)</f>
        <v/>
      </c>
      <c r="L59" s="661">
        <f>G59*(1+'DCA Underwriting Assumptions'!$Q$12)</f>
        <v>293399.59000000003</v>
      </c>
      <c r="M59" s="33" t="str">
        <f>CONCATENATE("x ", K59," units = ")</f>
        <v xml:space="preserve">x  units = </v>
      </c>
      <c r="N59" s="1244" t="str">
        <f>IF(K59="","",K59*L59)</f>
        <v/>
      </c>
      <c r="O59" s="441"/>
      <c r="P59" s="4441"/>
      <c r="Q59" s="4442"/>
      <c r="S59" s="4447"/>
      <c r="T59" s="4448"/>
      <c r="U59" s="4448"/>
      <c r="V59" s="4449"/>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315724.2</v>
      </c>
      <c r="H60" s="33" t="str">
        <f>CONCATENATE("x ", F60," units = ")</f>
        <v xml:space="preserve">x  units = </v>
      </c>
      <c r="I60" s="1244" t="str">
        <f>IF(F60="","",F60*G60)</f>
        <v/>
      </c>
      <c r="J60" s="35"/>
      <c r="K60" s="1243" t="str">
        <f>IF('Part V-Revenues &amp; Expenses'!$O$150 =0,"",'Part V-Revenues &amp; Expenses'!$O$150)</f>
        <v/>
      </c>
      <c r="L60" s="661">
        <f>G60*(1+'DCA Underwriting Assumptions'!$Q$12)</f>
        <v>347296.62000000005</v>
      </c>
      <c r="M60" s="33" t="str">
        <f>CONCATENATE("x ", K60," units = ")</f>
        <v xml:space="preserve">x  units = </v>
      </c>
      <c r="N60" s="1244" t="str">
        <f>IF(K60="","",K60*L60)</f>
        <v/>
      </c>
      <c r="O60" s="441"/>
      <c r="P60" s="4424" t="s">
        <v>3160</v>
      </c>
      <c r="Q60" s="4424"/>
      <c r="S60" s="4447"/>
      <c r="T60" s="4448"/>
      <c r="U60" s="4448"/>
      <c r="V60" s="4449"/>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447"/>
      <c r="T61" s="4448"/>
      <c r="U61" s="4448"/>
      <c r="V61" s="4449"/>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47"/>
      <c r="T62" s="4448"/>
      <c r="U62" s="4448"/>
      <c r="V62" s="4449"/>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136458</v>
      </c>
      <c r="H63" s="33" t="str">
        <f>CONCATENATE("x ", F63," units = ")</f>
        <v xml:space="preserve">x  units = </v>
      </c>
      <c r="I63" s="1244" t="str">
        <f>IF(F63="","",F63*G63)</f>
        <v/>
      </c>
      <c r="J63" s="35"/>
      <c r="K63" s="1243" t="str">
        <f>IF('Part V-Revenues &amp; Expenses'!$K$152 =0,"",'Part V-Revenues &amp; Expenses'!$K$152)</f>
        <v/>
      </c>
      <c r="L63" s="661">
        <f>G63*(1+'DCA Underwriting Assumptions'!$Q$12)</f>
        <v>150103.80000000002</v>
      </c>
      <c r="M63" s="33" t="str">
        <f>CONCATENATE("x ", K63," units = ")</f>
        <v xml:space="preserve">x  units = </v>
      </c>
      <c r="N63" s="1244" t="str">
        <f>IF(K63="","",K63*L63)</f>
        <v/>
      </c>
      <c r="O63" s="441"/>
      <c r="P63" s="875">
        <f>'Part VIII Scoring Criteria OLD'!O378</f>
        <v>0</v>
      </c>
      <c r="Q63" s="875">
        <f>'Part VIII Scoring Criteria OLD'!P378</f>
        <v>0</v>
      </c>
      <c r="R63" s="328"/>
      <c r="S63" s="4447"/>
      <c r="T63" s="4448"/>
      <c r="U63" s="4448"/>
      <c r="V63" s="4449"/>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f>IF('Part V-Revenues &amp; Expenses'!$L$151 =0,"",'Part V-Revenues &amp; Expenses'!$L$151)</f>
        <v>14</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178523.69999999998</v>
      </c>
      <c r="H64" s="33" t="str">
        <f>CONCATENATE("x ", F64," units = ")</f>
        <v xml:space="preserve">x 14 units = </v>
      </c>
      <c r="I64" s="1244">
        <f>IF(F64="","",F64*G64)</f>
        <v>2499331.7999999998</v>
      </c>
      <c r="J64" s="35"/>
      <c r="K64" s="1243" t="str">
        <f>IF('Part V-Revenues &amp; Expenses'!$L$152 =0,"",'Part V-Revenues &amp; Expenses'!$L$152)</f>
        <v/>
      </c>
      <c r="L64" s="661">
        <f>G64*(1+'DCA Underwriting Assumptions'!$Q$12)</f>
        <v>196376.07</v>
      </c>
      <c r="M64" s="33" t="str">
        <f>CONCATENATE("x ", K64," units = ")</f>
        <v xml:space="preserve">x  units = </v>
      </c>
      <c r="N64" s="1244" t="str">
        <f>IF(K64="","",K64*L64)</f>
        <v/>
      </c>
      <c r="P64" s="4424" t="s">
        <v>3161</v>
      </c>
      <c r="Q64" s="4424"/>
      <c r="S64" s="4447"/>
      <c r="T64" s="4448"/>
      <c r="U64" s="4448"/>
      <c r="V64" s="4449"/>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f>IF('Part V-Revenues &amp; Expenses'!$M$151 =0,"",'Part V-Revenues &amp; Expenses'!$M$151)</f>
        <v>22</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226123.34999999998</v>
      </c>
      <c r="H65" s="33" t="str">
        <f>CONCATENATE("x ", F65," units = ")</f>
        <v xml:space="preserve">x 22 units = </v>
      </c>
      <c r="I65" s="1244">
        <f>IF(F65="","",F65*G65)</f>
        <v>4974713.6999999993</v>
      </c>
      <c r="J65" s="35"/>
      <c r="K65" s="1243" t="str">
        <f>IF('Part V-Revenues &amp; Expenses'!$M$152 =0,"",'Part V-Revenues &amp; Expenses'!$M$152)</f>
        <v/>
      </c>
      <c r="L65" s="661">
        <f>G65*(1+'DCA Underwriting Assumptions'!$Q$12)</f>
        <v>248735.685</v>
      </c>
      <c r="M65" s="33" t="str">
        <f>CONCATENATE("x ", K65," units = ")</f>
        <v xml:space="preserve">x  units = </v>
      </c>
      <c r="N65" s="1244" t="str">
        <f>IF(K65="","",K65*L65)</f>
        <v/>
      </c>
      <c r="P65" s="876" t="s">
        <v>2889</v>
      </c>
      <c r="Q65" s="876" t="s">
        <v>245</v>
      </c>
      <c r="S65" s="4447"/>
      <c r="T65" s="4448"/>
      <c r="U65" s="4448"/>
      <c r="V65" s="4449"/>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f>IF('Part V-Revenues &amp; Expenses'!$N$151 =0,"",'Part V-Revenues &amp; Expenses'!$N$151)</f>
        <v>4</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285088.10000000003</v>
      </c>
      <c r="H66" s="33" t="str">
        <f>CONCATENATE("x ", F66," units = ")</f>
        <v xml:space="preserve">x 4 units = </v>
      </c>
      <c r="I66" s="1244">
        <f>IF(F66="","",F66*G66)</f>
        <v>1140352.4000000001</v>
      </c>
      <c r="J66" s="35"/>
      <c r="K66" s="1243" t="str">
        <f>IF('Part V-Revenues &amp; Expenses'!$N$152 =0,"",'Part V-Revenues &amp; Expenses'!$N$152)</f>
        <v/>
      </c>
      <c r="L66" s="661">
        <f>G66*(1+'DCA Underwriting Assumptions'!$Q$12)</f>
        <v>313596.91000000009</v>
      </c>
      <c r="M66" s="33" t="str">
        <f>CONCATENATE("x ", K66," units = ")</f>
        <v xml:space="preserve">x  units = </v>
      </c>
      <c r="N66" s="1244" t="str">
        <f>IF(K66="","",K66*L66)</f>
        <v/>
      </c>
      <c r="O66" s="441"/>
      <c r="P66" s="875">
        <f>'Part VIII Scoring Criteria OLD'!O113</f>
        <v>0</v>
      </c>
      <c r="Q66" s="875">
        <f>'Part VIII Scoring Criteria OLD'!P113</f>
        <v>0</v>
      </c>
      <c r="S66" s="4447"/>
      <c r="T66" s="4448"/>
      <c r="U66" s="4448"/>
      <c r="V66" s="4449"/>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353266.10000000003</v>
      </c>
      <c r="H67" s="33" t="str">
        <f>CONCATENATE("x ", F67," units = ")</f>
        <v xml:space="preserve">x  units = </v>
      </c>
      <c r="I67" s="1244" t="str">
        <f>IF(F67="","",F67*G67)</f>
        <v/>
      </c>
      <c r="J67" s="35"/>
      <c r="K67" s="1243" t="str">
        <f>IF('Part V-Revenues &amp; Expenses'!$O$152 =0,"",'Part V-Revenues &amp; Expenses'!$O$152)</f>
        <v/>
      </c>
      <c r="L67" s="661">
        <f>G67*(1+'DCA Underwriting Assumptions'!$Q$12)</f>
        <v>388592.71000000008</v>
      </c>
      <c r="M67" s="33" t="str">
        <f>CONCATENATE("x ", K67," units = ")</f>
        <v xml:space="preserve">x  units = </v>
      </c>
      <c r="N67" s="1244" t="str">
        <f>IF(K67="","",K67*L67)</f>
        <v/>
      </c>
      <c r="O67" s="441"/>
      <c r="P67" s="4456" t="s">
        <v>2491</v>
      </c>
      <c r="Q67" s="4456"/>
      <c r="S67" s="4447"/>
      <c r="T67" s="4448"/>
      <c r="U67" s="4448"/>
      <c r="V67" s="4449"/>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40</v>
      </c>
      <c r="G68" s="493"/>
      <c r="H68" s="871"/>
      <c r="I68" s="872">
        <f>SUM(I63:I67)</f>
        <v>8614397.8999999985</v>
      </c>
      <c r="J68" s="873"/>
      <c r="K68" s="870">
        <f>SUM(K63:K67)</f>
        <v>0</v>
      </c>
      <c r="L68" s="873"/>
      <c r="M68" s="871"/>
      <c r="N68" s="872">
        <f>SUM(N63:N67)</f>
        <v>0</v>
      </c>
      <c r="O68" s="441"/>
      <c r="P68" s="4456"/>
      <c r="Q68" s="4456"/>
      <c r="S68" s="4447"/>
      <c r="T68" s="4448"/>
      <c r="U68" s="4448"/>
      <c r="V68" s="4449"/>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56"/>
      <c r="Q69" s="4456"/>
      <c r="R69" s="328"/>
      <c r="S69" s="4447"/>
      <c r="T69" s="4448"/>
      <c r="U69" s="4448"/>
      <c r="V69" s="4449"/>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136166.39999999999</v>
      </c>
      <c r="H70" s="33" t="str">
        <f>CONCATENATE("x ", F70," units = ")</f>
        <v xml:space="preserve">x  units = </v>
      </c>
      <c r="I70" s="1244" t="str">
        <f>IF(F70="","",F70*G70)</f>
        <v/>
      </c>
      <c r="J70" s="35"/>
      <c r="K70" s="1243" t="str">
        <f>IF('Part V-Revenues &amp; Expenses'!$K$154 =0,"",'Part V-Revenues &amp; Expenses'!$K$154)</f>
        <v/>
      </c>
      <c r="L70" s="661">
        <f>G70*(1+'DCA Underwriting Assumptions'!$Q$12)</f>
        <v>149783.04000000001</v>
      </c>
      <c r="M70" s="33" t="str">
        <f>CONCATENATE("x ", K70," units = ")</f>
        <v xml:space="preserve">x  units = </v>
      </c>
      <c r="N70" s="1244" t="str">
        <f>IF(K70="","",K70*L70)</f>
        <v/>
      </c>
      <c r="O70" s="441"/>
      <c r="P70" s="4457"/>
      <c r="Q70" s="4457"/>
      <c r="R70" s="328"/>
      <c r="S70" s="4450"/>
      <c r="T70" s="4451"/>
      <c r="U70" s="4451"/>
      <c r="V70" s="4452"/>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182690.15</v>
      </c>
      <c r="H71" s="33" t="str">
        <f>CONCATENATE("x ", F71," units = ")</f>
        <v xml:space="preserve">x  units = </v>
      </c>
      <c r="I71" s="1244" t="str">
        <f>IF(F71="","",F71*G71)</f>
        <v/>
      </c>
      <c r="J71" s="35"/>
      <c r="K71" s="1243" t="str">
        <f>IF('Part V-Revenues &amp; Expenses'!$L$154 =0,"",'Part V-Revenues &amp; Expenses'!$L$154)</f>
        <v/>
      </c>
      <c r="L71" s="661">
        <f>G71*(1+'DCA Underwriting Assumptions'!$Q$12)</f>
        <v>200959.16500000001</v>
      </c>
      <c r="M71" s="33" t="str">
        <f>CONCATENATE("x ", K71," units = ")</f>
        <v xml:space="preserve">x  units = </v>
      </c>
      <c r="N71" s="1244" t="str">
        <f>IF(K71="","",K71*L71)</f>
        <v/>
      </c>
      <c r="O71" s="441"/>
      <c r="P71" s="4431">
        <f>IF(P58&gt;1,P58, IF(OR('Part VIII Scoring Criteria OLD'!$O$113='Part VIII Scoring Criteria OLD'!$M$113,AND('Part III-A-Uses of Funds'!$T$179="Yes",'Part VIII Scoring Criteria OLD'!$O$378&gt;0)),H77+M77,H77))</f>
        <v>8614397.8999999985</v>
      </c>
      <c r="Q71" s="4432"/>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234886.34999999998</v>
      </c>
      <c r="H72" s="33" t="str">
        <f>CONCATENATE("x ", F72," units = ")</f>
        <v xml:space="preserve">x  units = </v>
      </c>
      <c r="I72" s="1244" t="str">
        <f>IF(F72="","",F72*G72)</f>
        <v/>
      </c>
      <c r="J72" s="35"/>
      <c r="K72" s="1243" t="str">
        <f>IF('Part V-Revenues &amp; Expenses'!$M$154 =0,"",'Part V-Revenues &amp; Expenses'!$M$154)</f>
        <v/>
      </c>
      <c r="L72" s="661">
        <f>G72*(1+'DCA Underwriting Assumptions'!$Q$12)</f>
        <v>258374.98499999999</v>
      </c>
      <c r="M72" s="33" t="str">
        <f>CONCATENATE("x ", K72," units = ")</f>
        <v xml:space="preserve">x  units = </v>
      </c>
      <c r="N72" s="1244" t="str">
        <f>IF(K72="","",K72*L72)</f>
        <v/>
      </c>
      <c r="P72" s="4433"/>
      <c r="Q72" s="4434"/>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299566.30000000005</v>
      </c>
      <c r="H73" s="33" t="str">
        <f>CONCATENATE("x ", F73," units = ")</f>
        <v xml:space="preserve">x  units = </v>
      </c>
      <c r="I73" s="1244" t="str">
        <f>IF(F73="","",F73*G73)</f>
        <v/>
      </c>
      <c r="J73" s="35"/>
      <c r="K73" s="1243" t="str">
        <f>IF('Part V-Revenues &amp; Expenses'!$N$154 =0,"",'Part V-Revenues &amp; Expenses'!$N$154)</f>
        <v/>
      </c>
      <c r="L73" s="661">
        <f>G73*(1+'DCA Underwriting Assumptions'!$Q$12)</f>
        <v>329522.93000000005</v>
      </c>
      <c r="M73" s="33" t="str">
        <f>CONCATENATE("x ", K73," units = ")</f>
        <v xml:space="preserve">x  units = </v>
      </c>
      <c r="N73" s="1244" t="str">
        <f>IF(K73="","",K73*L73)</f>
        <v/>
      </c>
      <c r="P73" s="4453" t="s">
        <v>3449</v>
      </c>
      <c r="Q73" s="4453"/>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374457.60000000003</v>
      </c>
      <c r="H74" s="33" t="str">
        <f>CONCATENATE("x ", F74," units = ")</f>
        <v xml:space="preserve">x  units = </v>
      </c>
      <c r="I74" s="1244" t="str">
        <f>IF(F74="","",F74*G74)</f>
        <v/>
      </c>
      <c r="J74" s="35"/>
      <c r="K74" s="1243" t="str">
        <f>IF('Part V-Revenues &amp; Expenses'!$O$154 =0,"",'Part V-Revenues &amp; Expenses'!$O$154)</f>
        <v/>
      </c>
      <c r="L74" s="661">
        <f>G74*(1+'DCA Underwriting Assumptions'!$Q$12)</f>
        <v>411903.36000000004</v>
      </c>
      <c r="M74" s="33" t="str">
        <f>CONCATENATE("x ", K74," units = ")</f>
        <v xml:space="preserve">x  units = </v>
      </c>
      <c r="N74" s="1244" t="str">
        <f>IF(K74="","",K74*L74)</f>
        <v/>
      </c>
      <c r="O74" s="441"/>
      <c r="P74" s="4454"/>
      <c r="Q74" s="4454"/>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454"/>
      <c r="Q75" s="4454"/>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54"/>
      <c r="Q76" s="4454"/>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40</v>
      </c>
      <c r="G77" s="258"/>
      <c r="H77" s="4462">
        <f>I54+I61+I68+I75</f>
        <v>8614397.8999999985</v>
      </c>
      <c r="I77" s="4462"/>
      <c r="J77" s="4462"/>
      <c r="K77" s="486">
        <f>K54+K61+K68+K75</f>
        <v>0</v>
      </c>
      <c r="L77" s="487"/>
      <c r="M77" s="4462">
        <f>N54+N61+N68+N75</f>
        <v>0</v>
      </c>
      <c r="N77" s="4462"/>
      <c r="O77" s="4462"/>
      <c r="P77" s="4454"/>
      <c r="Q77" s="4454"/>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455"/>
      <c r="Q78" s="4455"/>
    </row>
    <row r="79" spans="1:295" s="28" customFormat="1" ht="10.5" customHeight="1">
      <c r="A79" s="4231"/>
      <c r="B79" s="4232"/>
      <c r="C79" s="4232"/>
      <c r="D79" s="4232"/>
      <c r="E79" s="4232"/>
      <c r="F79" s="4232"/>
      <c r="G79" s="4232"/>
      <c r="H79" s="4232"/>
      <c r="I79" s="4232"/>
      <c r="J79" s="4233"/>
      <c r="K79" s="4235"/>
      <c r="L79" s="4236"/>
      <c r="M79" s="4236"/>
      <c r="N79" s="4236"/>
      <c r="O79" s="4236"/>
      <c r="P79" s="4236"/>
      <c r="Q79" s="4237"/>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333" t="str">
        <f>CONCATENATE("PART EIGHT - SCORING CRITERIA","  -  ",'Part I-Project Identification'!$O$7," ",'Part I-Project Identification'!$F$25,", ",'Part I-Project Identification'!F26,", ",'Part I-Project Identification'!J26," County")</f>
        <v>PART EIGHT - SCORING CRITERIA  -  2023-5 Brightwood Lane Apartments, Washington, Wilkes County</v>
      </c>
      <c r="B1" s="3334"/>
      <c r="C1" s="3334"/>
      <c r="D1" s="3334"/>
      <c r="E1" s="3334"/>
      <c r="F1" s="3334"/>
      <c r="G1" s="3334"/>
      <c r="H1" s="3334"/>
      <c r="I1" s="3334"/>
      <c r="J1" s="3334"/>
      <c r="K1" s="3334"/>
      <c r="L1" s="3334"/>
      <c r="M1" s="3334"/>
      <c r="N1" s="3334"/>
      <c r="O1" s="3334"/>
      <c r="P1" s="3335"/>
      <c r="Q1" s="4749" t="s">
        <v>6645</v>
      </c>
      <c r="R1" s="4749"/>
      <c r="S1" s="4749"/>
      <c r="T1" s="4749"/>
      <c r="U1" s="4749"/>
      <c r="V1" s="4749"/>
      <c r="W1" s="1969"/>
      <c r="X1" s="1927"/>
    </row>
    <row r="2" spans="1:25" s="28" customFormat="1" ht="4.3499999999999996" customHeight="1">
      <c r="A2" s="29"/>
      <c r="B2" s="29"/>
      <c r="C2" s="30"/>
      <c r="D2" s="29"/>
      <c r="E2" s="29"/>
      <c r="F2" s="29"/>
      <c r="G2" s="29"/>
      <c r="H2" s="29"/>
      <c r="I2" s="29"/>
      <c r="J2" s="29"/>
      <c r="K2" s="29"/>
      <c r="L2" s="29"/>
      <c r="M2" s="31"/>
      <c r="N2" s="53"/>
      <c r="O2" s="119"/>
      <c r="P2" s="119"/>
      <c r="Q2" s="4749"/>
      <c r="R2" s="4749"/>
      <c r="S2" s="4749"/>
      <c r="T2" s="4749"/>
      <c r="U2" s="4749"/>
      <c r="V2" s="4749"/>
      <c r="W2" s="1969"/>
      <c r="X2" s="1927"/>
    </row>
    <row r="3" spans="1:25" s="35" customFormat="1" ht="12" customHeight="1">
      <c r="A3" s="4642" t="s">
        <v>6659</v>
      </c>
      <c r="B3" s="4642"/>
      <c r="C3" s="4642"/>
      <c r="D3" s="4642"/>
      <c r="E3" s="4642"/>
      <c r="F3" s="4642"/>
      <c r="G3" s="4642"/>
      <c r="H3" s="4642"/>
      <c r="I3" s="4642"/>
      <c r="J3" s="4642"/>
      <c r="K3" s="4642"/>
      <c r="L3" s="4642"/>
      <c r="M3" s="670"/>
      <c r="N3" s="54"/>
      <c r="O3" s="63" t="s">
        <v>2050</v>
      </c>
      <c r="P3" s="914" t="s">
        <v>245</v>
      </c>
      <c r="Q3" s="4749"/>
      <c r="R3" s="4749"/>
      <c r="S3" s="4749"/>
      <c r="T3" s="4749"/>
      <c r="U3" s="4749"/>
      <c r="V3" s="4749"/>
      <c r="W3" s="1969"/>
      <c r="X3" s="1927"/>
    </row>
    <row r="4" spans="1:25" s="37" customFormat="1" ht="12" customHeight="1">
      <c r="A4" s="4642"/>
      <c r="B4" s="4642"/>
      <c r="C4" s="4642"/>
      <c r="D4" s="4642"/>
      <c r="E4" s="4642"/>
      <c r="F4" s="4642"/>
      <c r="G4" s="4642"/>
      <c r="H4" s="4642"/>
      <c r="I4" s="4642"/>
      <c r="J4" s="4642"/>
      <c r="K4" s="4642"/>
      <c r="L4" s="4642"/>
      <c r="M4" s="670"/>
      <c r="N4" s="64"/>
      <c r="O4" s="149" t="s">
        <v>2051</v>
      </c>
      <c r="P4" s="149" t="s">
        <v>2051</v>
      </c>
      <c r="Q4" s="4749"/>
      <c r="R4" s="4749"/>
      <c r="S4" s="4749"/>
      <c r="T4" s="4749"/>
      <c r="U4" s="4749"/>
      <c r="V4" s="4749"/>
    </row>
    <row r="5" spans="1:25" s="37" customFormat="1" ht="3" customHeight="1" thickBot="1">
      <c r="A5" s="35"/>
      <c r="B5" s="35"/>
      <c r="C5" s="35"/>
      <c r="D5" s="35"/>
      <c r="E5" s="35"/>
      <c r="F5" s="35"/>
      <c r="G5" s="35"/>
      <c r="H5" s="35"/>
      <c r="I5" s="35"/>
      <c r="J5" s="35"/>
      <c r="K5" s="35"/>
      <c r="M5" s="1633"/>
      <c r="N5" s="4"/>
      <c r="O5" s="119"/>
      <c r="P5" s="24"/>
      <c r="Q5" s="4749"/>
      <c r="R5" s="4749"/>
      <c r="S5" s="4749"/>
      <c r="T5" s="4749"/>
      <c r="U5" s="4749"/>
      <c r="V5" s="4749"/>
    </row>
    <row r="6" spans="1:25" s="37" customFormat="1" ht="13.5" customHeight="1" thickTop="1" thickBot="1">
      <c r="A6" s="35"/>
      <c r="B6" s="4672" t="str">
        <f>'Part I-Project Identification'!$A$6</f>
        <v>Sept 2023</v>
      </c>
      <c r="C6" s="4672"/>
      <c r="D6" s="4672"/>
      <c r="E6" s="4672"/>
      <c r="F6" s="4672"/>
      <c r="G6" s="72"/>
      <c r="H6" s="35"/>
      <c r="I6" s="35"/>
      <c r="J6" s="35"/>
      <c r="L6" s="51" t="s">
        <v>1152</v>
      </c>
      <c r="M6" s="3"/>
      <c r="N6" s="7"/>
      <c r="O6" s="1613">
        <f>O442</f>
        <v>22</v>
      </c>
      <c r="P6" s="1613">
        <f>P442</f>
        <v>22</v>
      </c>
      <c r="Q6" s="1542" t="s">
        <v>6739</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6135</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6136</v>
      </c>
      <c r="D10" s="29"/>
      <c r="E10" s="29"/>
      <c r="F10" s="29"/>
      <c r="G10" s="42"/>
      <c r="H10" s="147" t="s">
        <v>3831</v>
      </c>
      <c r="I10" s="42"/>
      <c r="J10" s="42"/>
      <c r="K10" s="42"/>
      <c r="L10" s="42"/>
      <c r="M10" s="1181" t="s">
        <v>3830</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3392</v>
      </c>
      <c r="B12" s="1200" t="s">
        <v>3393</v>
      </c>
      <c r="C12" s="936"/>
      <c r="D12" s="936"/>
      <c r="E12" s="236" t="s">
        <v>3400</v>
      </c>
      <c r="F12" s="4669" t="s">
        <v>6496</v>
      </c>
      <c r="G12" s="4669"/>
      <c r="H12" s="4669"/>
      <c r="I12" s="4669"/>
      <c r="J12" s="4669"/>
      <c r="K12" s="4669"/>
      <c r="L12" s="4669"/>
      <c r="M12" s="4669"/>
      <c r="N12" s="4669"/>
      <c r="O12" s="1201" t="s">
        <v>3810</v>
      </c>
      <c r="P12" s="1202">
        <f>SUM(P13:P31)</f>
        <v>0</v>
      </c>
      <c r="Q12" s="4748" t="s">
        <v>6545</v>
      </c>
      <c r="R12" s="4748"/>
      <c r="S12" s="4748"/>
      <c r="T12" s="4748"/>
      <c r="U12" s="4748"/>
      <c r="V12" s="1179"/>
    </row>
    <row r="13" spans="1:25" s="35" customFormat="1" ht="10.5" customHeight="1">
      <c r="A13" s="924" t="s">
        <v>1668</v>
      </c>
      <c r="B13" s="921" t="s">
        <v>3394</v>
      </c>
      <c r="C13" s="922"/>
      <c r="D13" s="923"/>
      <c r="E13" s="1195">
        <f>$O$103</f>
        <v>0</v>
      </c>
      <c r="F13" s="4670">
        <f>$A$109</f>
        <v>0</v>
      </c>
      <c r="G13" s="4671"/>
      <c r="H13" s="4671"/>
      <c r="I13" s="4671"/>
      <c r="J13" s="4671"/>
      <c r="K13" s="4671"/>
      <c r="L13" s="4671"/>
      <c r="M13" s="4671"/>
      <c r="N13" s="4671"/>
      <c r="O13" s="4671"/>
      <c r="P13" s="1208"/>
      <c r="Q13" s="4748"/>
      <c r="R13" s="4748"/>
      <c r="S13" s="4748"/>
      <c r="T13" s="4748"/>
      <c r="U13" s="4748"/>
      <c r="V13" s="1179"/>
    </row>
    <row r="14" spans="1:25" s="35" customFormat="1" ht="10.5" customHeight="1">
      <c r="A14" s="924" t="s">
        <v>496</v>
      </c>
      <c r="B14" s="751" t="s">
        <v>4038</v>
      </c>
      <c r="C14" s="866"/>
      <c r="D14" s="925"/>
      <c r="E14" s="1771">
        <f>$O$113</f>
        <v>0</v>
      </c>
      <c r="F14" s="4663">
        <f>$A$147</f>
        <v>0</v>
      </c>
      <c r="G14" s="4664"/>
      <c r="H14" s="4664"/>
      <c r="I14" s="4664"/>
      <c r="J14" s="4664"/>
      <c r="K14" s="4664"/>
      <c r="L14" s="4664"/>
      <c r="M14" s="4664"/>
      <c r="N14" s="4664"/>
      <c r="O14" s="4665"/>
      <c r="P14" s="1209"/>
      <c r="Q14" s="4748"/>
      <c r="R14" s="4748"/>
      <c r="S14" s="4748"/>
      <c r="T14" s="4748"/>
      <c r="U14" s="4748"/>
    </row>
    <row r="15" spans="1:25" s="35" customFormat="1" ht="10.5" customHeight="1">
      <c r="A15" s="924" t="s">
        <v>720</v>
      </c>
      <c r="B15" s="751" t="s">
        <v>3339</v>
      </c>
      <c r="C15" s="866"/>
      <c r="D15" s="925"/>
      <c r="E15" s="1771">
        <f>$O$152</f>
        <v>0</v>
      </c>
      <c r="F15" s="4663">
        <f>$A$165</f>
        <v>0</v>
      </c>
      <c r="G15" s="4664"/>
      <c r="H15" s="4664"/>
      <c r="I15" s="4664"/>
      <c r="J15" s="4664"/>
      <c r="K15" s="4664"/>
      <c r="L15" s="4664"/>
      <c r="M15" s="4664"/>
      <c r="N15" s="4664"/>
      <c r="O15" s="4665"/>
      <c r="P15" s="1209"/>
      <c r="Q15" s="1975"/>
      <c r="R15" s="1975"/>
      <c r="S15" s="1975"/>
      <c r="T15" s="1975"/>
      <c r="U15" s="1975"/>
    </row>
    <row r="16" spans="1:25" s="35" customFormat="1" ht="10.5" customHeight="1">
      <c r="A16" s="1612" t="s">
        <v>280</v>
      </c>
      <c r="B16" s="751" t="s">
        <v>3395</v>
      </c>
      <c r="C16" s="866"/>
      <c r="D16" s="925"/>
      <c r="E16" s="1197">
        <f>$O$169</f>
        <v>0</v>
      </c>
      <c r="F16" s="4663">
        <f>$A$186</f>
        <v>0</v>
      </c>
      <c r="G16" s="4664"/>
      <c r="H16" s="4664"/>
      <c r="I16" s="4664"/>
      <c r="J16" s="4664"/>
      <c r="K16" s="4664"/>
      <c r="L16" s="4664"/>
      <c r="M16" s="4664"/>
      <c r="N16" s="4664"/>
      <c r="O16" s="4665"/>
      <c r="P16" s="1209"/>
      <c r="Q16" s="1975"/>
      <c r="R16" s="1975"/>
      <c r="S16" s="1975"/>
      <c r="T16" s="1975"/>
      <c r="U16" s="1975"/>
    </row>
    <row r="17" spans="1:35" s="35" customFormat="1" ht="10.5" customHeight="1">
      <c r="A17" s="924" t="s">
        <v>401</v>
      </c>
      <c r="B17" s="931" t="s">
        <v>3396</v>
      </c>
      <c r="C17" s="932"/>
      <c r="D17" s="933"/>
      <c r="E17" s="1198" t="s">
        <v>1610</v>
      </c>
      <c r="F17" s="4673">
        <f>$A$201</f>
        <v>0</v>
      </c>
      <c r="G17" s="4674"/>
      <c r="H17" s="4674"/>
      <c r="I17" s="4674"/>
      <c r="J17" s="4674"/>
      <c r="K17" s="4674"/>
      <c r="L17" s="4674"/>
      <c r="M17" s="4674"/>
      <c r="N17" s="4674"/>
      <c r="O17" s="4675"/>
      <c r="P17" s="1209"/>
      <c r="Q17" s="1975"/>
      <c r="R17" s="1975"/>
      <c r="S17" s="1975"/>
      <c r="T17" s="1975"/>
      <c r="U17" s="1975"/>
    </row>
    <row r="18" spans="1:35" s="35" customFormat="1" ht="10.5" customHeight="1">
      <c r="A18" s="924" t="s">
        <v>342</v>
      </c>
      <c r="B18" s="751" t="s">
        <v>4039</v>
      </c>
      <c r="C18" s="866"/>
      <c r="D18" s="925"/>
      <c r="E18" s="1196">
        <f>$O$205</f>
        <v>0</v>
      </c>
      <c r="F18" s="4663">
        <f>$A$220</f>
        <v>0</v>
      </c>
      <c r="G18" s="4664"/>
      <c r="H18" s="4664"/>
      <c r="I18" s="4664"/>
      <c r="J18" s="4664"/>
      <c r="K18" s="4664"/>
      <c r="L18" s="4664"/>
      <c r="M18" s="4664"/>
      <c r="N18" s="4664"/>
      <c r="O18" s="4665"/>
      <c r="P18" s="1209"/>
      <c r="Q18" s="4719" t="str">
        <f>IF(OR($A$109="",$A$147="",$A$165="",$A$186="",$A$201="",$A$220="",$A$238="",$A$248="",$A$257="",$A$281="",$A$306="",$A$314="",$A$338="",$A$374="",$A$393="",$A$414="",$A$420="",$A$430="",$A$438=""),"Some Applicant Scoring Justification boxes are empty! Check to see if points claimed.","")</f>
        <v>Some Applicant Scoring Justification boxes are empty! Check to see if points claimed.</v>
      </c>
      <c r="R18" s="4720"/>
      <c r="S18" s="4720"/>
    </row>
    <row r="19" spans="1:35" s="35" customFormat="1" ht="10.5" customHeight="1">
      <c r="A19" s="924" t="s">
        <v>4041</v>
      </c>
      <c r="B19" s="751" t="s">
        <v>3262</v>
      </c>
      <c r="C19" s="866"/>
      <c r="D19" s="925"/>
      <c r="E19" s="1196">
        <f>$O$233</f>
        <v>0</v>
      </c>
      <c r="F19" s="4663">
        <f>$A$238</f>
        <v>0</v>
      </c>
      <c r="G19" s="4664"/>
      <c r="H19" s="4664"/>
      <c r="I19" s="4664"/>
      <c r="J19" s="4664"/>
      <c r="K19" s="4664"/>
      <c r="L19" s="4664"/>
      <c r="M19" s="4664"/>
      <c r="N19" s="4664"/>
      <c r="O19" s="4665"/>
      <c r="P19" s="1209"/>
      <c r="Q19" s="4719"/>
      <c r="R19" s="4720"/>
      <c r="S19" s="4720"/>
    </row>
    <row r="20" spans="1:35" s="35" customFormat="1" ht="10.5" customHeight="1">
      <c r="A20" s="924" t="s">
        <v>4053</v>
      </c>
      <c r="B20" s="751" t="s">
        <v>4042</v>
      </c>
      <c r="C20" s="866"/>
      <c r="D20" s="925"/>
      <c r="E20" s="1198">
        <f>$O$242</f>
        <v>0</v>
      </c>
      <c r="F20" s="4663">
        <f>$A$248</f>
        <v>0</v>
      </c>
      <c r="G20" s="4664"/>
      <c r="H20" s="4664"/>
      <c r="I20" s="4664"/>
      <c r="J20" s="4664"/>
      <c r="K20" s="4664"/>
      <c r="L20" s="4664"/>
      <c r="M20" s="4664"/>
      <c r="N20" s="4664"/>
      <c r="O20" s="4665"/>
      <c r="P20" s="1209"/>
      <c r="Q20" s="4719"/>
      <c r="R20" s="4720"/>
      <c r="S20" s="4720"/>
    </row>
    <row r="21" spans="1:35" s="35" customFormat="1" ht="10.5" customHeight="1">
      <c r="A21" s="930" t="s">
        <v>6243</v>
      </c>
      <c r="B21" s="931" t="s">
        <v>4043</v>
      </c>
      <c r="C21" s="932"/>
      <c r="D21" s="933"/>
      <c r="E21" s="1199">
        <f>$O$252</f>
        <v>0</v>
      </c>
      <c r="F21" s="4673">
        <f>$A$257</f>
        <v>0</v>
      </c>
      <c r="G21" s="4674"/>
      <c r="H21" s="4674"/>
      <c r="I21" s="4674"/>
      <c r="J21" s="4674"/>
      <c r="K21" s="4674"/>
      <c r="L21" s="4674"/>
      <c r="M21" s="4674"/>
      <c r="N21" s="4674"/>
      <c r="O21" s="4675"/>
      <c r="P21" s="1209"/>
      <c r="Q21" s="4719"/>
      <c r="R21" s="4720"/>
      <c r="S21" s="4720"/>
    </row>
    <row r="22" spans="1:35" s="35" customFormat="1" ht="10.5" customHeight="1">
      <c r="A22" s="924" t="s">
        <v>6637</v>
      </c>
      <c r="B22" s="751" t="s">
        <v>6549</v>
      </c>
      <c r="C22" s="866"/>
      <c r="D22" s="925"/>
      <c r="E22" s="1196">
        <f>$O$274</f>
        <v>0</v>
      </c>
      <c r="F22" s="4663">
        <f>$A$281</f>
        <v>0</v>
      </c>
      <c r="G22" s="4664"/>
      <c r="H22" s="4664"/>
      <c r="I22" s="4664"/>
      <c r="J22" s="4664"/>
      <c r="K22" s="4664"/>
      <c r="L22" s="4664"/>
      <c r="M22" s="4664"/>
      <c r="N22" s="4664"/>
      <c r="O22" s="4665"/>
      <c r="P22" s="1209"/>
      <c r="Q22" s="4719"/>
      <c r="R22" s="4720"/>
      <c r="S22" s="4720"/>
    </row>
    <row r="23" spans="1:35" s="35" customFormat="1" ht="10.5" customHeight="1">
      <c r="A23" s="924" t="s">
        <v>6639</v>
      </c>
      <c r="B23" s="751" t="s">
        <v>6638</v>
      </c>
      <c r="C23" s="866"/>
      <c r="D23" s="925"/>
      <c r="E23" s="1196">
        <f>$O$285</f>
        <v>0</v>
      </c>
      <c r="F23" s="4663">
        <f>$A$306</f>
        <v>0</v>
      </c>
      <c r="G23" s="4664"/>
      <c r="H23" s="4664"/>
      <c r="I23" s="4664"/>
      <c r="J23" s="4664"/>
      <c r="K23" s="4664"/>
      <c r="L23" s="4664"/>
      <c r="M23" s="4664"/>
      <c r="N23" s="4664"/>
      <c r="O23" s="4665"/>
      <c r="P23" s="1209"/>
      <c r="Q23" s="4719"/>
      <c r="R23" s="4720"/>
      <c r="S23" s="4720"/>
    </row>
    <row r="24" spans="1:35" s="35" customFormat="1" ht="10.5" customHeight="1">
      <c r="A24" s="1612" t="s">
        <v>3369</v>
      </c>
      <c r="B24" s="1887" t="s">
        <v>6555</v>
      </c>
      <c r="C24" s="1888"/>
      <c r="D24" s="1889"/>
      <c r="E24" s="1197">
        <f>$O$310</f>
        <v>0</v>
      </c>
      <c r="F24" s="4713">
        <f>$A$314</f>
        <v>0</v>
      </c>
      <c r="G24" s="4714"/>
      <c r="H24" s="4714"/>
      <c r="I24" s="4714"/>
      <c r="J24" s="4714"/>
      <c r="K24" s="4714"/>
      <c r="L24" s="4714"/>
      <c r="M24" s="4714"/>
      <c r="N24" s="4714"/>
      <c r="O24" s="4715"/>
      <c r="P24" s="1209"/>
      <c r="Q24" s="4719"/>
      <c r="R24" s="4720"/>
      <c r="S24" s="4720"/>
    </row>
    <row r="25" spans="1:35" s="35" customFormat="1" ht="10.5" customHeight="1">
      <c r="A25" s="924" t="s">
        <v>3373</v>
      </c>
      <c r="B25" s="751" t="s">
        <v>3397</v>
      </c>
      <c r="C25" s="866"/>
      <c r="D25" s="925"/>
      <c r="E25" s="1196">
        <f>$O$334</f>
        <v>0</v>
      </c>
      <c r="F25" s="4663">
        <f>$A$338</f>
        <v>0</v>
      </c>
      <c r="G25" s="4664"/>
      <c r="H25" s="4664"/>
      <c r="I25" s="4664"/>
      <c r="J25" s="4664"/>
      <c r="K25" s="4664"/>
      <c r="L25" s="4664"/>
      <c r="M25" s="4664"/>
      <c r="N25" s="4664"/>
      <c r="O25" s="4665"/>
      <c r="P25" s="1209"/>
      <c r="Q25" s="4719"/>
      <c r="R25" s="4720"/>
      <c r="S25" s="4720"/>
    </row>
    <row r="26" spans="1:35" s="35" customFormat="1" ht="10.5" customHeight="1">
      <c r="A26" s="924" t="s">
        <v>3376</v>
      </c>
      <c r="B26" s="751" t="s">
        <v>3398</v>
      </c>
      <c r="C26" s="866"/>
      <c r="D26" s="925"/>
      <c r="E26" s="1196">
        <f>$O$342</f>
        <v>0</v>
      </c>
      <c r="F26" s="4663">
        <f>$A$374</f>
        <v>0</v>
      </c>
      <c r="G26" s="4664"/>
      <c r="H26" s="4664"/>
      <c r="I26" s="4664"/>
      <c r="J26" s="4664"/>
      <c r="K26" s="4664"/>
      <c r="L26" s="4664"/>
      <c r="M26" s="4664"/>
      <c r="N26" s="4664"/>
      <c r="O26" s="4665"/>
      <c r="P26" s="1209"/>
      <c r="Q26" s="4719"/>
      <c r="R26" s="4720"/>
      <c r="S26" s="4720"/>
    </row>
    <row r="27" spans="1:35" s="35" customFormat="1" ht="10.5" customHeight="1">
      <c r="A27" s="924" t="s">
        <v>3377</v>
      </c>
      <c r="B27" s="751" t="s">
        <v>3399</v>
      </c>
      <c r="C27" s="866"/>
      <c r="D27" s="925"/>
      <c r="E27" s="1198">
        <f>$O$378</f>
        <v>0</v>
      </c>
      <c r="F27" s="4663">
        <f>$A$393</f>
        <v>0</v>
      </c>
      <c r="G27" s="4664"/>
      <c r="H27" s="4664"/>
      <c r="I27" s="4664"/>
      <c r="J27" s="4664"/>
      <c r="K27" s="4664"/>
      <c r="L27" s="4664"/>
      <c r="M27" s="4664"/>
      <c r="N27" s="4664"/>
      <c r="O27" s="4665"/>
      <c r="P27" s="1209"/>
      <c r="Q27" s="1964"/>
      <c r="R27" s="1628"/>
      <c r="S27" s="1628"/>
      <c r="AA27" s="4"/>
      <c r="AB27" s="4"/>
      <c r="AC27" s="4"/>
      <c r="AD27" s="4"/>
      <c r="AE27" s="4"/>
      <c r="AF27" s="4"/>
    </row>
    <row r="28" spans="1:35" s="35" customFormat="1" ht="10.5" customHeight="1">
      <c r="A28" s="926" t="s">
        <v>3379</v>
      </c>
      <c r="B28" s="927" t="s">
        <v>6636</v>
      </c>
      <c r="C28" s="928"/>
      <c r="D28" s="929"/>
      <c r="E28" s="1624">
        <f>$O$405</f>
        <v>2</v>
      </c>
      <c r="F28" s="4666">
        <f>$A$414</f>
        <v>0</v>
      </c>
      <c r="G28" s="4667"/>
      <c r="H28" s="4667"/>
      <c r="I28" s="4667"/>
      <c r="J28" s="4667"/>
      <c r="K28" s="4667"/>
      <c r="L28" s="4667"/>
      <c r="M28" s="4667"/>
      <c r="N28" s="4667"/>
      <c r="O28" s="4668"/>
      <c r="P28" s="1210"/>
      <c r="Q28" s="1964"/>
      <c r="R28" s="1628"/>
      <c r="S28" s="1628"/>
      <c r="X28" s="4"/>
      <c r="Y28" s="4"/>
      <c r="Z28" s="4"/>
      <c r="AA28" s="4"/>
      <c r="AB28" s="4"/>
      <c r="AC28" s="4"/>
      <c r="AD28" s="4"/>
      <c r="AE28" s="4"/>
      <c r="AF28" s="4"/>
      <c r="AG28" s="4"/>
      <c r="AH28" s="4"/>
      <c r="AI28" s="4"/>
    </row>
    <row r="29" spans="1:35" s="35" customFormat="1" ht="10.5" customHeight="1">
      <c r="A29" s="924" t="s">
        <v>3380</v>
      </c>
      <c r="B29" s="751" t="s">
        <v>6132</v>
      </c>
      <c r="C29" s="866"/>
      <c r="D29" s="925"/>
      <c r="E29" s="1196">
        <f>$O$418</f>
        <v>0</v>
      </c>
      <c r="F29" s="4663">
        <f>$A$420</f>
        <v>0</v>
      </c>
      <c r="G29" s="4664"/>
      <c r="H29" s="4664"/>
      <c r="I29" s="4664"/>
      <c r="J29" s="4664"/>
      <c r="K29" s="4664"/>
      <c r="L29" s="4664"/>
      <c r="M29" s="4664"/>
      <c r="N29" s="4664"/>
      <c r="O29" s="4665"/>
      <c r="P29" s="1209"/>
      <c r="Q29" s="1964"/>
      <c r="R29" s="1628"/>
      <c r="S29" s="1628"/>
    </row>
    <row r="30" spans="1:35" s="35" customFormat="1" ht="10.5" customHeight="1">
      <c r="A30" s="924" t="s">
        <v>3803</v>
      </c>
      <c r="B30" s="751" t="s">
        <v>6553</v>
      </c>
      <c r="C30" s="866"/>
      <c r="D30" s="925"/>
      <c r="E30" s="1196">
        <f>$O$428</f>
        <v>0</v>
      </c>
      <c r="F30" s="4663">
        <f>$A$430</f>
        <v>0</v>
      </c>
      <c r="G30" s="4664"/>
      <c r="H30" s="4664"/>
      <c r="I30" s="4664"/>
      <c r="J30" s="4664"/>
      <c r="K30" s="4664"/>
      <c r="L30" s="4664"/>
      <c r="M30" s="4664"/>
      <c r="N30" s="4664"/>
      <c r="O30" s="4665"/>
      <c r="P30" s="1209"/>
      <c r="Q30" s="1964"/>
      <c r="R30" s="1628"/>
      <c r="S30" s="1628"/>
      <c r="AA30" s="3662" t="s">
        <v>6563</v>
      </c>
      <c r="AB30" s="3662"/>
      <c r="AC30" s="3662"/>
      <c r="AD30" s="3662"/>
      <c r="AE30" s="3662"/>
      <c r="AF30" s="3662"/>
    </row>
    <row r="31" spans="1:35" s="35" customFormat="1" ht="10.5" customHeight="1">
      <c r="A31" s="926" t="s">
        <v>6556</v>
      </c>
      <c r="B31" s="927" t="s">
        <v>6554</v>
      </c>
      <c r="C31" s="928"/>
      <c r="D31" s="929"/>
      <c r="E31" s="1624">
        <f>$O$434</f>
        <v>0</v>
      </c>
      <c r="F31" s="4666">
        <f>$A$438</f>
        <v>0</v>
      </c>
      <c r="G31" s="4667"/>
      <c r="H31" s="4667"/>
      <c r="I31" s="4667"/>
      <c r="J31" s="4667"/>
      <c r="K31" s="4667"/>
      <c r="L31" s="4667"/>
      <c r="M31" s="4667"/>
      <c r="N31" s="4667"/>
      <c r="O31" s="4668"/>
      <c r="P31" s="1210"/>
      <c r="Q31" s="1964"/>
      <c r="R31" s="1628"/>
      <c r="S31" s="1628"/>
      <c r="X31" s="3662" t="s">
        <v>6564</v>
      </c>
      <c r="Y31" s="3662"/>
      <c r="Z31" s="3662"/>
      <c r="AA31" s="3662"/>
      <c r="AB31" s="3662"/>
      <c r="AC31" s="3662"/>
      <c r="AD31" s="3662" t="s">
        <v>6565</v>
      </c>
      <c r="AE31" s="3662"/>
      <c r="AF31" s="3662"/>
      <c r="AG31" s="3662"/>
      <c r="AH31" s="3662"/>
      <c r="AI31" s="3662"/>
    </row>
    <row r="32" spans="1:35" s="115" customFormat="1" ht="5.25" customHeight="1">
      <c r="C32" s="68"/>
      <c r="D32" s="68"/>
      <c r="E32" s="68"/>
      <c r="F32" s="68"/>
      <c r="G32" s="1508"/>
      <c r="H32" s="68"/>
      <c r="I32" s="68"/>
      <c r="J32" s="68"/>
      <c r="K32" s="68"/>
    </row>
    <row r="33" spans="1:46" s="115" customFormat="1" ht="12.75" customHeight="1">
      <c r="A33" s="120" t="s">
        <v>689</v>
      </c>
      <c r="B33" s="83" t="s">
        <v>6137</v>
      </c>
      <c r="C33" s="70"/>
      <c r="D33" s="68"/>
      <c r="E33" s="68"/>
      <c r="F33" s="68"/>
      <c r="G33" s="4724" t="s">
        <v>6125</v>
      </c>
      <c r="H33" s="4724"/>
      <c r="I33" s="4721" t="s">
        <v>6506</v>
      </c>
      <c r="J33" s="4722"/>
      <c r="K33" s="4722"/>
      <c r="L33" s="4723"/>
      <c r="M33" s="4676" t="s">
        <v>6138</v>
      </c>
      <c r="N33" s="4676"/>
      <c r="O33" s="4676"/>
      <c r="P33" s="4676"/>
      <c r="Q33" s="436"/>
      <c r="R33" s="436"/>
      <c r="S33" s="83" t="s">
        <v>6137</v>
      </c>
      <c r="T33" s="436"/>
      <c r="U33" s="436"/>
      <c r="V33" s="436"/>
      <c r="X33" s="4707" t="s">
        <v>6125</v>
      </c>
      <c r="Y33" s="4709"/>
      <c r="Z33" s="4707" t="s">
        <v>6506</v>
      </c>
      <c r="AA33" s="4708"/>
      <c r="AB33" s="4708"/>
      <c r="AC33" s="4709"/>
      <c r="AD33" s="4716" t="s">
        <v>6125</v>
      </c>
      <c r="AE33" s="4717"/>
      <c r="AF33" s="4718" t="s">
        <v>6506</v>
      </c>
      <c r="AG33" s="4716"/>
      <c r="AH33" s="4716"/>
      <c r="AI33" s="4717"/>
    </row>
    <row r="34" spans="1:46" s="115" customFormat="1" ht="11.25" customHeight="1">
      <c r="A34" s="44"/>
      <c r="B34" s="29"/>
      <c r="C34" s="44"/>
      <c r="D34" s="44"/>
      <c r="E34" s="44"/>
      <c r="F34" s="44"/>
      <c r="G34" s="1723">
        <v>0.09</v>
      </c>
      <c r="H34" s="1723">
        <v>0.04</v>
      </c>
      <c r="I34" s="1723">
        <v>0.04</v>
      </c>
      <c r="J34" s="1723" t="s">
        <v>6546</v>
      </c>
      <c r="K34" s="1723" t="s">
        <v>6547</v>
      </c>
      <c r="L34" s="1723" t="s">
        <v>6548</v>
      </c>
      <c r="M34" s="4710" t="str">
        <f>'Part I-Project Identification'!F12</f>
        <v>4% Credit/TE Bond</v>
      </c>
      <c r="N34" s="4711"/>
      <c r="O34" s="4711"/>
      <c r="P34" s="4712"/>
      <c r="Q34" s="436"/>
      <c r="R34" s="44"/>
      <c r="S34" s="29"/>
      <c r="T34" s="44"/>
      <c r="U34" s="44"/>
      <c r="V34" s="44"/>
      <c r="W34" s="44"/>
      <c r="X34" s="1723">
        <v>0.09</v>
      </c>
      <c r="Y34" s="1723">
        <v>0.04</v>
      </c>
      <c r="Z34" s="1723">
        <v>0.04</v>
      </c>
      <c r="AA34" s="1723" t="s">
        <v>6546</v>
      </c>
      <c r="AB34" s="1723" t="s">
        <v>6547</v>
      </c>
      <c r="AC34" s="1723" t="s">
        <v>6548</v>
      </c>
      <c r="AD34" s="1723">
        <v>0.09</v>
      </c>
      <c r="AE34" s="1723">
        <v>0.04</v>
      </c>
      <c r="AF34" s="1723">
        <v>0.04</v>
      </c>
      <c r="AG34" s="1723" t="s">
        <v>6546</v>
      </c>
      <c r="AH34" s="1723" t="s">
        <v>6547</v>
      </c>
      <c r="AI34" s="1723" t="s">
        <v>6548</v>
      </c>
    </row>
    <row r="35" spans="1:46" s="115" customFormat="1" ht="10.5" customHeight="1">
      <c r="A35" s="658" t="s">
        <v>573</v>
      </c>
      <c r="B35" s="1724" t="s">
        <v>6752</v>
      </c>
      <c r="C35" s="1725"/>
      <c r="D35" s="1726"/>
      <c r="E35" s="1726"/>
      <c r="F35" s="1726"/>
      <c r="G35" s="1727">
        <v>0</v>
      </c>
      <c r="H35" s="1728">
        <v>0</v>
      </c>
      <c r="I35" s="1994">
        <v>0</v>
      </c>
      <c r="J35" s="1995">
        <v>0</v>
      </c>
      <c r="K35" s="1995">
        <v>0</v>
      </c>
      <c r="L35" s="1996">
        <v>0</v>
      </c>
      <c r="Q35" s="142"/>
      <c r="R35" s="658" t="s">
        <v>573</v>
      </c>
      <c r="S35" s="1724" t="s">
        <v>6752</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6126</v>
      </c>
      <c r="C36" s="1725"/>
      <c r="D36" s="1726"/>
      <c r="E36" s="1726"/>
      <c r="F36" s="1726"/>
      <c r="G36" s="1727">
        <v>10</v>
      </c>
      <c r="H36" s="1728">
        <v>10</v>
      </c>
      <c r="I36" s="1727">
        <v>10</v>
      </c>
      <c r="J36" s="1997">
        <v>10</v>
      </c>
      <c r="K36" s="1821">
        <v>10</v>
      </c>
      <c r="L36" s="1733">
        <v>10</v>
      </c>
      <c r="Q36" s="142"/>
      <c r="R36" s="658" t="s">
        <v>691</v>
      </c>
      <c r="S36" s="1724" t="s">
        <v>6126</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6127</v>
      </c>
      <c r="C37" s="1730"/>
      <c r="D37" s="1731"/>
      <c r="E37" s="1731"/>
      <c r="F37" s="1731"/>
      <c r="G37" s="1732">
        <v>3</v>
      </c>
      <c r="H37" s="1733">
        <v>3</v>
      </c>
      <c r="I37" s="1732"/>
      <c r="J37" s="1821"/>
      <c r="K37" s="1821"/>
      <c r="L37" s="1733"/>
      <c r="M37" s="258" t="s">
        <v>6139</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1666</v>
      </c>
      <c r="S37" s="1729" t="s">
        <v>6127</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3394</v>
      </c>
      <c r="C38" s="1730"/>
      <c r="D38" s="1731"/>
      <c r="E38" s="1731"/>
      <c r="F38" s="1731"/>
      <c r="G38" s="1732">
        <v>20</v>
      </c>
      <c r="H38" s="1733">
        <v>12</v>
      </c>
      <c r="I38" s="1732"/>
      <c r="J38" s="1821"/>
      <c r="K38" s="1821"/>
      <c r="L38" s="1733"/>
      <c r="Q38" s="142"/>
      <c r="R38" s="658" t="s">
        <v>1668</v>
      </c>
      <c r="S38" s="1729" t="s">
        <v>3394</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4038</v>
      </c>
      <c r="C39" s="1730"/>
      <c r="D39" s="1731"/>
      <c r="E39" s="1731"/>
      <c r="F39" s="1731"/>
      <c r="G39" s="1732">
        <v>6</v>
      </c>
      <c r="H39" s="1733">
        <v>4</v>
      </c>
      <c r="I39" s="1732"/>
      <c r="J39" s="1821"/>
      <c r="K39" s="1821"/>
      <c r="L39" s="1733"/>
      <c r="Q39" s="142"/>
      <c r="R39" s="658" t="s">
        <v>496</v>
      </c>
      <c r="S39" s="1729" t="s">
        <v>4038</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3339</v>
      </c>
      <c r="C40" s="1730"/>
      <c r="D40" s="1731"/>
      <c r="E40" s="1731"/>
      <c r="F40" s="1731"/>
      <c r="G40" s="1732">
        <v>3</v>
      </c>
      <c r="H40" s="1733">
        <v>2</v>
      </c>
      <c r="I40" s="1732"/>
      <c r="J40" s="1821"/>
      <c r="K40" s="1821"/>
      <c r="L40" s="1733"/>
      <c r="M40" s="4463" t="s">
        <v>6562</v>
      </c>
      <c r="N40" s="4464"/>
      <c r="O40" s="4464"/>
      <c r="P40" s="4464"/>
      <c r="Q40" s="142"/>
      <c r="R40" s="658" t="s">
        <v>720</v>
      </c>
      <c r="S40" s="1729" t="s">
        <v>3339</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3395</v>
      </c>
      <c r="C41" s="1730"/>
      <c r="D41" s="1731"/>
      <c r="E41" s="1731"/>
      <c r="F41" s="1731"/>
      <c r="G41" s="1732">
        <v>7</v>
      </c>
      <c r="H41" s="1733">
        <v>5</v>
      </c>
      <c r="I41" s="1732"/>
      <c r="J41" s="1821"/>
      <c r="K41" s="1821"/>
      <c r="L41" s="1733"/>
      <c r="M41" s="4463"/>
      <c r="N41" s="4464"/>
      <c r="O41" s="4464"/>
      <c r="P41" s="4464"/>
      <c r="Q41" s="142"/>
      <c r="R41" s="658" t="s">
        <v>280</v>
      </c>
      <c r="S41" s="1729" t="s">
        <v>3395</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3396</v>
      </c>
      <c r="C42" s="1730"/>
      <c r="D42" s="1731"/>
      <c r="E42" s="1731"/>
      <c r="F42" s="1731"/>
      <c r="G42" s="1732">
        <v>3</v>
      </c>
      <c r="H42" s="1733"/>
      <c r="I42" s="1732"/>
      <c r="J42" s="1821"/>
      <c r="K42" s="1821"/>
      <c r="L42" s="1733"/>
      <c r="M42" s="147" t="s">
        <v>6557</v>
      </c>
      <c r="N42" s="147"/>
      <c r="O42" s="147"/>
      <c r="P42" s="1232"/>
      <c r="Q42" s="142"/>
      <c r="R42" s="658" t="s">
        <v>401</v>
      </c>
      <c r="S42" s="1729" t="s">
        <v>3396</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4039</v>
      </c>
      <c r="C43" s="1730"/>
      <c r="D43" s="1731"/>
      <c r="E43" s="1731"/>
      <c r="F43" s="1731"/>
      <c r="G43" s="1732">
        <v>10</v>
      </c>
      <c r="H43" s="1733">
        <v>5</v>
      </c>
      <c r="I43" s="1732"/>
      <c r="J43" s="1821"/>
      <c r="K43" s="1821"/>
      <c r="L43" s="1733"/>
      <c r="M43" s="147" t="s">
        <v>3307</v>
      </c>
      <c r="N43" s="147"/>
      <c r="O43" s="147"/>
      <c r="P43" s="823"/>
      <c r="Q43" s="142"/>
      <c r="R43" s="658" t="s">
        <v>342</v>
      </c>
      <c r="S43" s="1729" t="s">
        <v>4039</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6128</v>
      </c>
      <c r="C44" s="1730"/>
      <c r="D44" s="1731"/>
      <c r="E44" s="1731"/>
      <c r="F44" s="1731"/>
      <c r="G44" s="1732">
        <v>1</v>
      </c>
      <c r="H44" s="1733"/>
      <c r="I44" s="1732"/>
      <c r="J44" s="1821"/>
      <c r="K44" s="1821"/>
      <c r="L44" s="1733"/>
      <c r="M44" s="1833" t="s">
        <v>6143</v>
      </c>
      <c r="N44" s="223"/>
      <c r="O44" s="223"/>
      <c r="P44" s="818"/>
      <c r="Q44" s="142"/>
      <c r="R44" s="658" t="s">
        <v>343</v>
      </c>
      <c r="S44" s="1729" t="s">
        <v>6128</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3262</v>
      </c>
      <c r="C45" s="1730"/>
      <c r="D45" s="1731"/>
      <c r="E45" s="1731"/>
      <c r="F45" s="1731"/>
      <c r="G45" s="1732">
        <v>10</v>
      </c>
      <c r="H45" s="1733">
        <v>5</v>
      </c>
      <c r="I45" s="1732"/>
      <c r="J45" s="1821"/>
      <c r="K45" s="1821"/>
      <c r="L45" s="1733"/>
      <c r="M45" s="1833" t="s">
        <v>6512</v>
      </c>
      <c r="N45" s="223"/>
      <c r="O45" s="241" t="s">
        <v>6142</v>
      </c>
      <c r="P45" s="1914" t="str">
        <f>IF('Part VII-Threshold Criteria OLD'!$P$341="Agree","Yes","")</f>
        <v/>
      </c>
      <c r="Q45" s="142"/>
      <c r="R45" s="658" t="s">
        <v>344</v>
      </c>
      <c r="S45" s="1729" t="s">
        <v>3262</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6129</v>
      </c>
      <c r="C46" s="1730"/>
      <c r="D46" s="1731"/>
      <c r="E46" s="1731"/>
      <c r="F46" s="1731"/>
      <c r="G46" s="1732">
        <v>3</v>
      </c>
      <c r="H46" s="1733"/>
      <c r="I46" s="1732"/>
      <c r="J46" s="1821"/>
      <c r="K46" s="1821"/>
      <c r="L46" s="1733"/>
      <c r="M46" s="1833"/>
      <c r="N46" s="223"/>
      <c r="O46" s="241" t="s">
        <v>6558</v>
      </c>
      <c r="P46" s="1915" t="str">
        <f>IF('Part VII-Threshold Criteria OLD'!$P$344="Agree","Yes","")</f>
        <v/>
      </c>
      <c r="Q46" s="142"/>
      <c r="R46" s="658" t="s">
        <v>1604</v>
      </c>
      <c r="S46" s="1729" t="s">
        <v>6129</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3370</v>
      </c>
      <c r="B47" s="1729" t="s">
        <v>4043</v>
      </c>
      <c r="C47" s="1730"/>
      <c r="D47" s="1731"/>
      <c r="E47" s="1731"/>
      <c r="F47" s="1731"/>
      <c r="G47" s="1732">
        <v>5</v>
      </c>
      <c r="H47" s="1733"/>
      <c r="I47" s="1732"/>
      <c r="J47" s="1821"/>
      <c r="K47" s="1821"/>
      <c r="L47" s="1733"/>
      <c r="M47" s="1280"/>
      <c r="N47" s="1857"/>
      <c r="O47" s="1834" t="s">
        <v>6559</v>
      </c>
      <c r="P47" s="1916" t="str">
        <f>IF('Part VII-Threshold Criteria OLD'!$P$346="Agree","Yes","")</f>
        <v/>
      </c>
      <c r="Q47" s="142"/>
      <c r="R47" s="658" t="s">
        <v>3370</v>
      </c>
      <c r="S47" s="1729" t="s">
        <v>4043</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3804</v>
      </c>
      <c r="C48" s="1730"/>
      <c r="D48" s="1731"/>
      <c r="E48" s="1731"/>
      <c r="F48" s="1731"/>
      <c r="G48" s="1732">
        <v>4</v>
      </c>
      <c r="H48" s="1733">
        <v>4</v>
      </c>
      <c r="I48" s="1732">
        <v>4</v>
      </c>
      <c r="J48" s="1821">
        <v>4</v>
      </c>
      <c r="K48" s="1821">
        <v>4</v>
      </c>
      <c r="L48" s="1733">
        <v>4</v>
      </c>
      <c r="M48" s="1851" t="s">
        <v>2444</v>
      </c>
      <c r="N48" s="1852"/>
      <c r="O48" s="1853"/>
      <c r="P48" s="1232"/>
      <c r="R48" s="658" t="s">
        <v>2080</v>
      </c>
      <c r="S48" s="1729" t="s">
        <v>3804</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3248</v>
      </c>
    </row>
    <row r="49" spans="1:46" s="115" customFormat="1" ht="10.5" customHeight="1">
      <c r="A49" s="658" t="s">
        <v>3370</v>
      </c>
      <c r="B49" s="1729" t="s">
        <v>6549</v>
      </c>
      <c r="C49" s="1730"/>
      <c r="D49" s="1731"/>
      <c r="E49" s="1731"/>
      <c r="F49" s="1731"/>
      <c r="G49" s="1732">
        <v>2</v>
      </c>
      <c r="H49" s="1733">
        <v>2</v>
      </c>
      <c r="I49" s="1732">
        <v>2</v>
      </c>
      <c r="J49" s="1821">
        <v>2</v>
      </c>
      <c r="K49" s="1821">
        <v>2</v>
      </c>
      <c r="L49" s="1733">
        <v>2</v>
      </c>
      <c r="M49" s="1854" t="s">
        <v>6560</v>
      </c>
      <c r="N49" s="1855"/>
      <c r="O49" s="1856"/>
      <c r="P49" s="818"/>
      <c r="R49" s="658" t="s">
        <v>3370</v>
      </c>
      <c r="S49" s="1729" t="s">
        <v>6549</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6700</v>
      </c>
      <c r="AR49" s="223"/>
      <c r="AS49" s="72"/>
      <c r="AT49" s="1912">
        <f>'Part V-Revenues &amp; Expenses'!P115+'Part V-Revenues &amp; Expenses'!P122+'Part V-Revenues &amp; Expenses'!P123</f>
        <v>0</v>
      </c>
    </row>
    <row r="50" spans="1:46" s="115" customFormat="1" ht="10.5" customHeight="1">
      <c r="A50" s="658" t="s">
        <v>3371</v>
      </c>
      <c r="B50" s="1729" t="s">
        <v>6550</v>
      </c>
      <c r="C50" s="1730"/>
      <c r="D50" s="1731"/>
      <c r="E50" s="1731"/>
      <c r="F50" s="1731"/>
      <c r="G50" s="1732">
        <v>2</v>
      </c>
      <c r="H50" s="1733">
        <v>2</v>
      </c>
      <c r="I50" s="1732">
        <v>2</v>
      </c>
      <c r="J50" s="1821">
        <v>2</v>
      </c>
      <c r="K50" s="1821">
        <v>2</v>
      </c>
      <c r="L50" s="1733">
        <v>2</v>
      </c>
      <c r="M50" s="147" t="s">
        <v>6561</v>
      </c>
      <c r="N50" s="72"/>
      <c r="O50" s="72"/>
      <c r="P50" s="456" t="str">
        <f>'Part II-Sources of Funds'!$L$14</f>
        <v>No</v>
      </c>
      <c r="R50" s="658" t="s">
        <v>3371</v>
      </c>
      <c r="S50" s="1729" t="s">
        <v>6550</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6691</v>
      </c>
      <c r="AR50" s="1542"/>
      <c r="AS50" s="1542"/>
      <c r="AT50" s="1913">
        <f>'Part V-Revenues &amp; Expenses'!P118+'Part V-Revenues &amp; Expenses'!P121-'Part V-Revenues &amp; Expenses'!$P$122-'Part V-Revenues &amp; Expenses'!$P$123</f>
        <v>40</v>
      </c>
    </row>
    <row r="51" spans="1:46" s="115" customFormat="1" ht="10.5" customHeight="1">
      <c r="A51" s="658" t="s">
        <v>3369</v>
      </c>
      <c r="B51" s="1729" t="s">
        <v>6555</v>
      </c>
      <c r="C51" s="1730"/>
      <c r="D51" s="1731"/>
      <c r="E51" s="1731"/>
      <c r="F51" s="1731"/>
      <c r="G51" s="1732">
        <v>2</v>
      </c>
      <c r="H51" s="1733"/>
      <c r="I51" s="1732"/>
      <c r="J51" s="1821">
        <v>2</v>
      </c>
      <c r="K51" s="1821">
        <v>2</v>
      </c>
      <c r="L51" s="1733">
        <v>2</v>
      </c>
      <c r="Q51" s="142"/>
      <c r="R51" s="658" t="s">
        <v>3369</v>
      </c>
      <c r="S51" s="1729" t="s">
        <v>6555</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3372</v>
      </c>
      <c r="B52" s="1729" t="s">
        <v>6130</v>
      </c>
      <c r="C52" s="1730"/>
      <c r="D52" s="1731"/>
      <c r="E52" s="1731"/>
      <c r="F52" s="1731"/>
      <c r="G52" s="1732">
        <v>2</v>
      </c>
      <c r="H52" s="1733"/>
      <c r="I52" s="1732"/>
      <c r="J52" s="1821">
        <v>2</v>
      </c>
      <c r="K52" s="1821">
        <v>2</v>
      </c>
      <c r="L52" s="1733">
        <v>2</v>
      </c>
      <c r="M52" s="4467" t="s">
        <v>6737</v>
      </c>
      <c r="N52" s="4468"/>
      <c r="O52" s="4468"/>
      <c r="P52" s="4468"/>
      <c r="Q52" s="392"/>
      <c r="R52" s="658" t="s">
        <v>3372</v>
      </c>
      <c r="S52" s="1729" t="s">
        <v>6130</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3373</v>
      </c>
      <c r="B53" s="1729" t="s">
        <v>3397</v>
      </c>
      <c r="C53" s="1730"/>
      <c r="D53" s="1731"/>
      <c r="E53" s="1731"/>
      <c r="F53" s="1731"/>
      <c r="G53" s="1732">
        <v>2</v>
      </c>
      <c r="H53" s="1733"/>
      <c r="I53" s="1732"/>
      <c r="J53" s="1821">
        <v>2</v>
      </c>
      <c r="K53" s="1821">
        <v>2</v>
      </c>
      <c r="L53" s="1733">
        <v>2</v>
      </c>
      <c r="M53" s="4467"/>
      <c r="N53" s="4468"/>
      <c r="O53" s="4468"/>
      <c r="P53" s="4468"/>
      <c r="R53" s="658" t="s">
        <v>3373</v>
      </c>
      <c r="S53" s="1729" t="s">
        <v>3397</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3376</v>
      </c>
      <c r="B54" s="1729" t="s">
        <v>3398</v>
      </c>
      <c r="C54" s="1730"/>
      <c r="D54" s="1731"/>
      <c r="E54" s="1731"/>
      <c r="F54" s="1731"/>
      <c r="G54" s="1732">
        <v>4</v>
      </c>
      <c r="H54" s="1733">
        <v>2</v>
      </c>
      <c r="I54" s="1732">
        <v>2</v>
      </c>
      <c r="J54" s="1821">
        <v>4</v>
      </c>
      <c r="K54" s="1821">
        <v>4</v>
      </c>
      <c r="L54" s="1733">
        <v>4</v>
      </c>
      <c r="M54" s="4469"/>
      <c r="N54" s="4470"/>
      <c r="O54" s="4470"/>
      <c r="P54" s="4470"/>
      <c r="R54" s="658" t="s">
        <v>3376</v>
      </c>
      <c r="S54" s="1729" t="s">
        <v>3398</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3377</v>
      </c>
      <c r="B55" s="1729" t="s">
        <v>3399</v>
      </c>
      <c r="C55" s="1730"/>
      <c r="D55" s="1731"/>
      <c r="E55" s="1731"/>
      <c r="F55" s="1731"/>
      <c r="G55" s="1732">
        <v>2</v>
      </c>
      <c r="H55" s="1733"/>
      <c r="I55" s="1732"/>
      <c r="J55" s="1821"/>
      <c r="K55" s="1821"/>
      <c r="L55" s="1733"/>
      <c r="M55" s="4677" t="s">
        <v>6712</v>
      </c>
      <c r="N55" s="4678"/>
      <c r="O55" s="4678"/>
      <c r="P55" s="4679"/>
      <c r="R55" s="658" t="s">
        <v>3377</v>
      </c>
      <c r="S55" s="1729" t="s">
        <v>3399</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3378</v>
      </c>
      <c r="B56" s="1729" t="s">
        <v>6131</v>
      </c>
      <c r="C56" s="1730"/>
      <c r="D56" s="1731"/>
      <c r="E56" s="1731"/>
      <c r="F56" s="1731"/>
      <c r="G56" s="1732">
        <v>10</v>
      </c>
      <c r="H56" s="1733">
        <v>10</v>
      </c>
      <c r="I56" s="1732">
        <v>10</v>
      </c>
      <c r="J56" s="1821">
        <v>10</v>
      </c>
      <c r="K56" s="1821">
        <v>10</v>
      </c>
      <c r="L56" s="1733">
        <v>10</v>
      </c>
      <c r="M56" s="4680"/>
      <c r="N56" s="4681"/>
      <c r="O56" s="4681"/>
      <c r="P56" s="4682"/>
      <c r="R56" s="658" t="s">
        <v>3378</v>
      </c>
      <c r="S56" s="1729" t="s">
        <v>6131</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3379</v>
      </c>
      <c r="B57" s="1729" t="s">
        <v>6551</v>
      </c>
      <c r="C57" s="1730"/>
      <c r="D57" s="1731"/>
      <c r="E57" s="1731"/>
      <c r="F57" s="1731"/>
      <c r="G57" s="1732">
        <v>3</v>
      </c>
      <c r="H57" s="1733">
        <v>3</v>
      </c>
      <c r="I57" s="1732">
        <v>3</v>
      </c>
      <c r="J57" s="1821">
        <v>3</v>
      </c>
      <c r="K57" s="1821">
        <v>3</v>
      </c>
      <c r="L57" s="1733">
        <v>3</v>
      </c>
      <c r="R57" s="658" t="s">
        <v>3379</v>
      </c>
      <c r="S57" s="1729" t="s">
        <v>6551</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3380</v>
      </c>
      <c r="B58" s="1729" t="s">
        <v>6132</v>
      </c>
      <c r="C58" s="1730"/>
      <c r="D58" s="1731"/>
      <c r="E58" s="1731"/>
      <c r="F58" s="1731"/>
      <c r="G58" s="1732"/>
      <c r="H58" s="1733"/>
      <c r="I58" s="1732">
        <v>6</v>
      </c>
      <c r="J58" s="1821">
        <v>6</v>
      </c>
      <c r="K58" s="1821">
        <v>6</v>
      </c>
      <c r="L58" s="1733">
        <v>6</v>
      </c>
      <c r="M58" s="4463" t="s">
        <v>6140</v>
      </c>
      <c r="N58" s="4464"/>
      <c r="O58" s="4464"/>
      <c r="P58" s="4464"/>
      <c r="Q58" s="142"/>
      <c r="R58" s="658" t="s">
        <v>3380</v>
      </c>
      <c r="S58" s="1729" t="s">
        <v>6132</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3381</v>
      </c>
      <c r="B59" s="1729" t="s">
        <v>6552</v>
      </c>
      <c r="C59" s="1730"/>
      <c r="D59" s="1731"/>
      <c r="E59" s="1731"/>
      <c r="F59" s="1731"/>
      <c r="G59" s="1732"/>
      <c r="H59" s="1733"/>
      <c r="I59" s="1732">
        <v>6</v>
      </c>
      <c r="J59" s="1821">
        <v>6</v>
      </c>
      <c r="K59" s="1821">
        <v>6</v>
      </c>
      <c r="L59" s="1733">
        <v>6</v>
      </c>
      <c r="M59" s="4465"/>
      <c r="N59" s="4466"/>
      <c r="O59" s="4466"/>
      <c r="P59" s="4466"/>
      <c r="Q59" s="142"/>
      <c r="R59" s="658" t="s">
        <v>3381</v>
      </c>
      <c r="S59" s="1729" t="s">
        <v>6552</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3803</v>
      </c>
      <c r="B60" s="1729" t="s">
        <v>6553</v>
      </c>
      <c r="C60" s="1730"/>
      <c r="D60" s="1731"/>
      <c r="E60" s="1731"/>
      <c r="F60" s="1731"/>
      <c r="G60" s="1732"/>
      <c r="H60" s="1733"/>
      <c r="I60" s="1732">
        <v>4</v>
      </c>
      <c r="J60" s="1821">
        <v>4</v>
      </c>
      <c r="K60" s="1821">
        <v>4</v>
      </c>
      <c r="L60" s="1733">
        <v>4</v>
      </c>
      <c r="M60" s="4754" t="s">
        <v>6713</v>
      </c>
      <c r="N60" s="4755"/>
      <c r="O60" s="4755"/>
      <c r="P60" s="4756"/>
      <c r="R60" s="658" t="s">
        <v>3803</v>
      </c>
      <c r="S60" s="1729" t="s">
        <v>6553</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6556</v>
      </c>
      <c r="B61" s="1734" t="s">
        <v>6554</v>
      </c>
      <c r="C61" s="1735"/>
      <c r="D61" s="1736"/>
      <c r="E61" s="1736"/>
      <c r="F61" s="1736"/>
      <c r="G61" s="1737"/>
      <c r="H61" s="1738"/>
      <c r="I61" s="1737">
        <v>6</v>
      </c>
      <c r="J61" s="1998">
        <v>4</v>
      </c>
      <c r="K61" s="1998">
        <v>6</v>
      </c>
      <c r="L61" s="1738">
        <v>4</v>
      </c>
      <c r="M61" s="4757"/>
      <c r="N61" s="4758"/>
      <c r="O61" s="4758"/>
      <c r="P61" s="4759"/>
      <c r="Q61" s="142"/>
      <c r="R61" s="658" t="s">
        <v>6556</v>
      </c>
      <c r="S61" s="1734" t="s">
        <v>6554</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6244</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3829</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3805</v>
      </c>
      <c r="D66" s="41"/>
      <c r="E66" s="41"/>
      <c r="F66" s="891"/>
      <c r="N66" s="48" t="s">
        <v>1841</v>
      </c>
      <c r="P66" s="1609">
        <f>SUM(P67:P69)</f>
        <v>0</v>
      </c>
      <c r="Q66" s="29" t="s">
        <v>6242</v>
      </c>
    </row>
    <row r="67" spans="1:20" s="36" customFormat="1" ht="12.75" customHeight="1">
      <c r="A67" s="107"/>
      <c r="B67" s="1610" t="s">
        <v>1844</v>
      </c>
      <c r="C67" s="81" t="s">
        <v>3808</v>
      </c>
      <c r="D67" s="41"/>
      <c r="E67" s="41"/>
      <c r="F67" s="891"/>
      <c r="H67" s="147" t="s">
        <v>3174</v>
      </c>
      <c r="J67" s="42"/>
      <c r="N67" s="317" t="s">
        <v>1844</v>
      </c>
      <c r="P67" s="902">
        <f>F75</f>
        <v>0</v>
      </c>
    </row>
    <row r="68" spans="1:20" s="36" customFormat="1" ht="12.75" customHeight="1">
      <c r="A68" s="107"/>
      <c r="B68" s="1610" t="s">
        <v>1846</v>
      </c>
      <c r="C68" s="81" t="s">
        <v>6241</v>
      </c>
      <c r="D68" s="41"/>
      <c r="E68" s="41"/>
      <c r="F68" s="891"/>
      <c r="H68" s="147" t="s">
        <v>3806</v>
      </c>
      <c r="J68" s="42"/>
      <c r="N68" s="317" t="s">
        <v>1846</v>
      </c>
      <c r="P68" s="1177">
        <f>J75</f>
        <v>0</v>
      </c>
    </row>
    <row r="69" spans="1:20" s="36" customFormat="1" ht="12.75" customHeight="1">
      <c r="A69" s="107"/>
      <c r="B69" s="1610" t="s">
        <v>2332</v>
      </c>
      <c r="C69" s="81" t="s">
        <v>3807</v>
      </c>
      <c r="D69" s="41"/>
      <c r="E69" s="41"/>
      <c r="F69" s="891"/>
      <c r="H69" s="147" t="s">
        <v>3811</v>
      </c>
      <c r="J69" s="42"/>
      <c r="N69" s="317" t="s">
        <v>2332</v>
      </c>
      <c r="P69" s="1178"/>
    </row>
    <row r="70" spans="1:20" s="36" customFormat="1" ht="12.75" customHeight="1">
      <c r="C70" s="4501" t="s">
        <v>3895</v>
      </c>
      <c r="D70" s="4502"/>
      <c r="E70" s="4502"/>
      <c r="F70" s="4502"/>
      <c r="G70" s="4502"/>
      <c r="H70" s="4502"/>
      <c r="I70" s="4502"/>
      <c r="J70" s="4502"/>
      <c r="K70" s="4502"/>
      <c r="L70" s="4502"/>
      <c r="M70" s="4502"/>
      <c r="N70" s="4502"/>
      <c r="O70" s="4502"/>
      <c r="P70" s="4503"/>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6242</v>
      </c>
    </row>
    <row r="73" spans="1:20" s="36" customFormat="1" ht="3" customHeight="1">
      <c r="A73" s="456"/>
      <c r="B73" s="453"/>
      <c r="C73" s="454"/>
      <c r="D73" s="108"/>
      <c r="K73" s="688"/>
      <c r="L73" s="688"/>
      <c r="M73" s="458"/>
      <c r="N73" s="317"/>
      <c r="O73" s="691"/>
      <c r="P73" s="691"/>
    </row>
    <row r="74" spans="1:20" s="35" customFormat="1" ht="12.75" customHeight="1">
      <c r="A74" s="4428" t="s">
        <v>6073</v>
      </c>
      <c r="B74" s="4428"/>
      <c r="C74" s="4428"/>
      <c r="D74" s="4428"/>
      <c r="E74" s="4428"/>
      <c r="F74" s="1176" t="s">
        <v>3391</v>
      </c>
      <c r="G74" s="4655" t="s">
        <v>6075</v>
      </c>
      <c r="H74" s="4655"/>
      <c r="I74" s="4655"/>
      <c r="J74" s="1176" t="s">
        <v>3391</v>
      </c>
      <c r="K74" s="4659" t="s">
        <v>6074</v>
      </c>
      <c r="L74" s="4659"/>
      <c r="M74" s="4659"/>
      <c r="N74" s="4659"/>
      <c r="O74" s="4653" t="s">
        <v>3391</v>
      </c>
      <c r="P74" s="4654"/>
      <c r="R74" s="356"/>
      <c r="S74" s="125"/>
    </row>
    <row r="75" spans="1:20" s="35" customFormat="1" ht="12.75" customHeight="1">
      <c r="A75" s="4652"/>
      <c r="B75" s="4652"/>
      <c r="C75" s="4652"/>
      <c r="D75" s="4652"/>
      <c r="E75" s="4652"/>
      <c r="F75" s="57">
        <f>SUM(F76:F87)</f>
        <v>0</v>
      </c>
      <c r="G75" s="4656"/>
      <c r="H75" s="4657"/>
      <c r="I75" s="4658"/>
      <c r="J75" s="57">
        <f>SUM(J76:J87)</f>
        <v>0</v>
      </c>
      <c r="K75" s="4660"/>
      <c r="L75" s="4661"/>
      <c r="M75" s="4661"/>
      <c r="N75" s="4662"/>
      <c r="O75" s="4643">
        <f>SUM(O76:O87)</f>
        <v>0</v>
      </c>
      <c r="P75" s="4644"/>
      <c r="Q75" s="356"/>
      <c r="R75" s="125"/>
    </row>
    <row r="76" spans="1:20" s="35" customFormat="1" ht="24.75" customHeight="1">
      <c r="A76" s="4645">
        <v>1</v>
      </c>
      <c r="B76" s="4646"/>
      <c r="C76" s="4646"/>
      <c r="D76" s="4646"/>
      <c r="E76" s="4647"/>
      <c r="F76" s="679"/>
      <c r="G76" s="4645">
        <v>1</v>
      </c>
      <c r="H76" s="4646"/>
      <c r="I76" s="4647"/>
      <c r="J76" s="682" t="s">
        <v>1610</v>
      </c>
      <c r="K76" s="4648">
        <v>1</v>
      </c>
      <c r="L76" s="4649"/>
      <c r="M76" s="4649"/>
      <c r="N76" s="4649"/>
      <c r="O76" s="4650" t="s">
        <v>1610</v>
      </c>
      <c r="P76" s="4651"/>
      <c r="Q76" s="354" t="s">
        <v>1180</v>
      </c>
      <c r="R76" s="125"/>
    </row>
    <row r="77" spans="1:20" s="35" customFormat="1" ht="24.75" customHeight="1">
      <c r="A77" s="4494">
        <v>2</v>
      </c>
      <c r="B77" s="4495"/>
      <c r="C77" s="4495"/>
      <c r="D77" s="4495"/>
      <c r="E77" s="4496"/>
      <c r="F77" s="680"/>
      <c r="G77" s="4494">
        <v>2</v>
      </c>
      <c r="H77" s="4495"/>
      <c r="I77" s="4496"/>
      <c r="J77" s="680"/>
      <c r="K77" s="4497">
        <v>2</v>
      </c>
      <c r="L77" s="4498"/>
      <c r="M77" s="4498"/>
      <c r="N77" s="4498"/>
      <c r="O77" s="4499"/>
      <c r="P77" s="4500"/>
      <c r="Q77" s="355"/>
      <c r="R77" s="125"/>
    </row>
    <row r="78" spans="1:20" s="35" customFormat="1" ht="24.75" customHeight="1">
      <c r="A78" s="4494">
        <v>3</v>
      </c>
      <c r="B78" s="4495"/>
      <c r="C78" s="4495"/>
      <c r="D78" s="4495"/>
      <c r="E78" s="4496"/>
      <c r="F78" s="680"/>
      <c r="G78" s="4494">
        <v>3</v>
      </c>
      <c r="H78" s="4495"/>
      <c r="I78" s="4496"/>
      <c r="J78" s="934" t="s">
        <v>2576</v>
      </c>
      <c r="K78" s="4497">
        <v>3</v>
      </c>
      <c r="L78" s="4498"/>
      <c r="M78" s="4498"/>
      <c r="N78" s="4498"/>
      <c r="O78" s="4473" t="s">
        <v>2576</v>
      </c>
      <c r="P78" s="4474"/>
      <c r="Q78" s="4471" t="s">
        <v>3809</v>
      </c>
      <c r="R78" s="4472"/>
      <c r="S78" s="1179"/>
      <c r="T78" s="1179"/>
    </row>
    <row r="79" spans="1:20" s="35" customFormat="1" ht="24.75" customHeight="1">
      <c r="A79" s="4494">
        <v>4</v>
      </c>
      <c r="B79" s="4495"/>
      <c r="C79" s="4495"/>
      <c r="D79" s="4495"/>
      <c r="E79" s="4496"/>
      <c r="F79" s="680"/>
      <c r="G79" s="4494">
        <v>4</v>
      </c>
      <c r="H79" s="4495"/>
      <c r="I79" s="4496"/>
      <c r="J79" s="680"/>
      <c r="K79" s="4497">
        <v>4</v>
      </c>
      <c r="L79" s="4498"/>
      <c r="M79" s="4498"/>
      <c r="N79" s="4498"/>
      <c r="O79" s="4473" t="s">
        <v>2576</v>
      </c>
      <c r="P79" s="4474"/>
      <c r="Q79" s="4471"/>
      <c r="R79" s="4472"/>
      <c r="S79" s="1179"/>
      <c r="T79" s="1179"/>
    </row>
    <row r="80" spans="1:20" s="35" customFormat="1" ht="24.75" customHeight="1">
      <c r="A80" s="4494">
        <v>5</v>
      </c>
      <c r="B80" s="4495"/>
      <c r="C80" s="4495"/>
      <c r="D80" s="4495"/>
      <c r="E80" s="4496"/>
      <c r="F80" s="680"/>
      <c r="G80" s="4494">
        <v>5</v>
      </c>
      <c r="H80" s="4495"/>
      <c r="I80" s="4496"/>
      <c r="J80" s="934" t="s">
        <v>3144</v>
      </c>
      <c r="K80" s="4497">
        <v>5</v>
      </c>
      <c r="L80" s="4498"/>
      <c r="M80" s="4498"/>
      <c r="N80" s="4498"/>
      <c r="O80" s="4499"/>
      <c r="P80" s="4500"/>
      <c r="Q80" s="4471"/>
      <c r="R80" s="4472"/>
      <c r="S80" s="1179"/>
      <c r="T80" s="1179"/>
    </row>
    <row r="81" spans="1:19" s="35" customFormat="1" ht="24" customHeight="1">
      <c r="A81" s="4494">
        <v>6</v>
      </c>
      <c r="B81" s="4495"/>
      <c r="C81" s="4495"/>
      <c r="D81" s="4495"/>
      <c r="E81" s="4496"/>
      <c r="F81" s="680"/>
      <c r="G81" s="4494">
        <v>6</v>
      </c>
      <c r="H81" s="4495"/>
      <c r="I81" s="4496"/>
      <c r="J81" s="680"/>
      <c r="K81" s="4497">
        <v>6</v>
      </c>
      <c r="L81" s="4498"/>
      <c r="M81" s="4498"/>
      <c r="N81" s="4498"/>
      <c r="O81" s="4499"/>
      <c r="P81" s="4500"/>
      <c r="Q81" s="4471"/>
      <c r="R81" s="4472"/>
    </row>
    <row r="82" spans="1:19" s="35" customFormat="1" ht="24.75" customHeight="1">
      <c r="A82" s="4494">
        <v>7</v>
      </c>
      <c r="B82" s="4495"/>
      <c r="C82" s="4495"/>
      <c r="D82" s="4495"/>
      <c r="E82" s="4496"/>
      <c r="F82" s="680"/>
      <c r="G82" s="4494">
        <v>7</v>
      </c>
      <c r="H82" s="4495"/>
      <c r="I82" s="4496"/>
      <c r="J82" s="934" t="s">
        <v>3145</v>
      </c>
      <c r="K82" s="4497">
        <v>7</v>
      </c>
      <c r="L82" s="4498"/>
      <c r="M82" s="4498"/>
      <c r="N82" s="4498"/>
      <c r="O82" s="4499"/>
      <c r="P82" s="4500"/>
      <c r="Q82" s="125"/>
      <c r="R82" s="125"/>
    </row>
    <row r="83" spans="1:19" s="35" customFormat="1" ht="24.75" customHeight="1">
      <c r="A83" s="4494">
        <v>8</v>
      </c>
      <c r="B83" s="4495"/>
      <c r="C83" s="4495"/>
      <c r="D83" s="4495"/>
      <c r="E83" s="4496"/>
      <c r="F83" s="680"/>
      <c r="G83" s="4494">
        <v>8</v>
      </c>
      <c r="H83" s="4495"/>
      <c r="I83" s="4496"/>
      <c r="J83" s="680"/>
      <c r="K83" s="4497">
        <v>8</v>
      </c>
      <c r="L83" s="4498"/>
      <c r="M83" s="4498"/>
      <c r="N83" s="4498"/>
      <c r="O83" s="4499"/>
      <c r="P83" s="4500"/>
      <c r="Q83" s="125"/>
      <c r="R83" s="125"/>
    </row>
    <row r="84" spans="1:19" s="35" customFormat="1" ht="24.75" customHeight="1">
      <c r="A84" s="4494">
        <v>9</v>
      </c>
      <c r="B84" s="4495"/>
      <c r="C84" s="4495"/>
      <c r="D84" s="4495"/>
      <c r="E84" s="4496"/>
      <c r="F84" s="680"/>
      <c r="G84" s="4494">
        <v>9</v>
      </c>
      <c r="H84" s="4495"/>
      <c r="I84" s="4496"/>
      <c r="J84" s="934" t="s">
        <v>3146</v>
      </c>
      <c r="K84" s="4497">
        <v>9</v>
      </c>
      <c r="L84" s="4498"/>
      <c r="M84" s="4498"/>
      <c r="N84" s="4498"/>
      <c r="O84" s="4499"/>
      <c r="P84" s="4500"/>
      <c r="Q84" s="125"/>
      <c r="R84" s="125"/>
    </row>
    <row r="85" spans="1:19" s="35" customFormat="1" ht="24.75" customHeight="1">
      <c r="A85" s="4494">
        <v>10</v>
      </c>
      <c r="B85" s="4495"/>
      <c r="C85" s="4495"/>
      <c r="D85" s="4495"/>
      <c r="E85" s="4496"/>
      <c r="F85" s="680"/>
      <c r="G85" s="4494">
        <v>10</v>
      </c>
      <c r="H85" s="4495"/>
      <c r="I85" s="4496"/>
      <c r="J85" s="680"/>
      <c r="K85" s="4497">
        <v>10</v>
      </c>
      <c r="L85" s="4498"/>
      <c r="M85" s="4498"/>
      <c r="N85" s="4498"/>
      <c r="O85" s="4499"/>
      <c r="P85" s="4500"/>
      <c r="Q85" s="125"/>
    </row>
    <row r="86" spans="1:19" s="35" customFormat="1" ht="24.75" customHeight="1">
      <c r="A86" s="4494">
        <v>11</v>
      </c>
      <c r="B86" s="4495"/>
      <c r="C86" s="4495"/>
      <c r="D86" s="4495"/>
      <c r="E86" s="4496"/>
      <c r="F86" s="680"/>
      <c r="G86" s="4494">
        <v>11</v>
      </c>
      <c r="H86" s="4495"/>
      <c r="I86" s="4496"/>
      <c r="J86" s="934" t="s">
        <v>3147</v>
      </c>
      <c r="K86" s="4494">
        <v>11</v>
      </c>
      <c r="L86" s="4495"/>
      <c r="M86" s="4495"/>
      <c r="N86" s="4496"/>
      <c r="O86" s="4499"/>
      <c r="P86" s="4500"/>
      <c r="Q86" s="125"/>
      <c r="R86" s="125"/>
    </row>
    <row r="87" spans="1:19" s="35" customFormat="1" ht="24.75" customHeight="1">
      <c r="A87" s="4727">
        <v>12</v>
      </c>
      <c r="B87" s="4728"/>
      <c r="C87" s="4728"/>
      <c r="D87" s="4728"/>
      <c r="E87" s="4729"/>
      <c r="F87" s="681"/>
      <c r="G87" s="4727">
        <v>12</v>
      </c>
      <c r="H87" s="4728"/>
      <c r="I87" s="4729"/>
      <c r="J87" s="681"/>
      <c r="K87" s="4727">
        <v>12</v>
      </c>
      <c r="L87" s="4728"/>
      <c r="M87" s="4728"/>
      <c r="N87" s="4729"/>
      <c r="O87" s="4730"/>
      <c r="P87" s="4731"/>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5" t="s">
        <v>3926</v>
      </c>
      <c r="J89" s="1611" t="str">
        <f>IF(OR($M$34="9% Credit Competitive Round only", $M$34="9% Credit &amp; HOME"),"9%",IF(OR($M$34="4% Credit/TE Bond", $M$34="4% Credit/TE Bond &amp; HOME", $M$34="4% Credit/TE Bond &amp; HOME NOFA", $M$34="4% Credit &amp; NHTF", $M$34="4% Credit &amp; NHTF &amp; HOME"),"4%",""))</f>
        <v>4%</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3818</v>
      </c>
      <c r="G90" s="67"/>
      <c r="H90" s="29"/>
      <c r="I90" s="38"/>
      <c r="K90" s="405"/>
      <c r="L90" s="683"/>
      <c r="M90" s="119"/>
      <c r="N90" s="5"/>
      <c r="O90" s="3"/>
      <c r="P90" s="3"/>
      <c r="Q90" s="86"/>
      <c r="R90" s="307"/>
    </row>
    <row r="91" spans="1:19" s="36" customFormat="1" ht="13.5" customHeight="1">
      <c r="A91" s="107" t="s">
        <v>1841</v>
      </c>
      <c r="B91" s="153" t="s">
        <v>6141</v>
      </c>
      <c r="E91" s="32"/>
      <c r="G91" s="67"/>
      <c r="H91" s="44" t="s">
        <v>6646</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519" t="s">
        <v>3812</v>
      </c>
      <c r="C92" s="4519"/>
      <c r="D92" s="4519"/>
      <c r="E92" s="4519"/>
      <c r="F92" s="4519"/>
      <c r="G92" s="4519"/>
      <c r="H92" s="4519"/>
      <c r="I92" s="4519"/>
      <c r="J92" s="4519"/>
      <c r="K92" s="4519"/>
      <c r="L92" s="4519"/>
      <c r="M92" s="119"/>
      <c r="N92" s="5"/>
      <c r="Q92" s="5"/>
      <c r="R92" s="307"/>
    </row>
    <row r="93" spans="1:19" s="70" customFormat="1" ht="13.5" customHeight="1">
      <c r="B93" s="4519"/>
      <c r="C93" s="4519"/>
      <c r="D93" s="4519"/>
      <c r="E93" s="4519"/>
      <c r="F93" s="4519"/>
      <c r="G93" s="4519"/>
      <c r="H93" s="4519"/>
      <c r="I93" s="4519"/>
      <c r="J93" s="4519"/>
      <c r="K93" s="4519"/>
      <c r="L93" s="4519"/>
      <c r="M93" s="686">
        <v>2</v>
      </c>
      <c r="N93" s="317" t="s">
        <v>1841</v>
      </c>
      <c r="O93" s="692">
        <f>IF(AND(OR($J$89="9%",$J$89="4%"),$L$89="New Supply"),MIN($M93,O94+O95),0)</f>
        <v>0</v>
      </c>
      <c r="P93" s="692">
        <f>IF(NOT($J$89="9%"),0,MIN($M93, P94+P95))</f>
        <v>0</v>
      </c>
    </row>
    <row r="94" spans="1:19" s="70" customFormat="1" ht="13.5" customHeight="1">
      <c r="A94" s="107"/>
      <c r="B94" s="1193" t="s">
        <v>1844</v>
      </c>
      <c r="C94" s="1183" t="s">
        <v>3813</v>
      </c>
      <c r="D94" s="29"/>
      <c r="H94" s="29" t="s">
        <v>3814</v>
      </c>
      <c r="I94" s="1182"/>
      <c r="J94" s="1239">
        <f>'Part V-Revenues &amp; Expenses'!$B$50</f>
        <v>60</v>
      </c>
      <c r="L94" s="4547" t="str">
        <f>IF(AND(O94&gt;0,O95&gt;0), "CHOOSE EITHER A OR B, NOT BOTH!", "")</f>
        <v/>
      </c>
      <c r="M94" s="458">
        <v>2</v>
      </c>
      <c r="N94" s="150" t="s">
        <v>1844</v>
      </c>
      <c r="O94" s="406"/>
      <c r="P94" s="414"/>
      <c r="Q94" s="1212" t="str">
        <f>IF(OR($O94=$M94,$O94=0,$O94=""),"","*CHECK!*")</f>
        <v/>
      </c>
      <c r="R94" s="795" t="s">
        <v>4059</v>
      </c>
    </row>
    <row r="95" spans="1:19" s="70" customFormat="1" ht="13.5" customHeight="1">
      <c r="A95" s="396" t="s">
        <v>2984</v>
      </c>
      <c r="B95" s="1193" t="s">
        <v>1846</v>
      </c>
      <c r="C95" s="1183" t="s">
        <v>3815</v>
      </c>
      <c r="D95" s="29"/>
      <c r="I95" s="1182"/>
      <c r="K95" s="29"/>
      <c r="L95" s="4547"/>
      <c r="M95" s="458">
        <v>2</v>
      </c>
      <c r="N95" s="150" t="s">
        <v>1846</v>
      </c>
      <c r="O95" s="407"/>
      <c r="P95" s="415"/>
      <c r="Q95" s="1212" t="str">
        <f>IF(OR($O95=$M95,$O95=0,$O95=""),"","*CHECK!*")</f>
        <v/>
      </c>
      <c r="R95" s="795" t="s">
        <v>4059</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3175</v>
      </c>
      <c r="E97" s="79"/>
      <c r="H97" s="4760" t="s">
        <v>3816</v>
      </c>
      <c r="I97" s="4761"/>
      <c r="J97" s="1186" t="s">
        <v>3817</v>
      </c>
      <c r="M97" s="686">
        <v>3</v>
      </c>
      <c r="N97" s="128" t="s">
        <v>1843</v>
      </c>
      <c r="O97" s="692">
        <f>IF(AND(O98="Yes", O99="Yes"),$M$97,0)</f>
        <v>0</v>
      </c>
      <c r="P97" s="692">
        <f>IF(AND(P98="Yes", P99="Yes"),$M$97,0)</f>
        <v>0</v>
      </c>
    </row>
    <row r="98" spans="1:18" s="36" customFormat="1" ht="13.5" customHeight="1">
      <c r="A98" s="346"/>
      <c r="B98" s="1193" t="s">
        <v>1844</v>
      </c>
      <c r="C98" s="1184">
        <v>0.3</v>
      </c>
      <c r="D98" s="751" t="s">
        <v>3176</v>
      </c>
      <c r="E98" s="79"/>
      <c r="F98" s="370"/>
      <c r="H98" s="940"/>
      <c r="I98" s="941"/>
      <c r="J98" s="1185">
        <f>'Part V-Revenues &amp; Expenses'!$P$65</f>
        <v>40</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3325</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35"/>
      <c r="B101" s="4236"/>
      <c r="C101" s="4236"/>
      <c r="D101" s="4236"/>
      <c r="E101" s="4236"/>
      <c r="F101" s="4236"/>
      <c r="G101" s="4236"/>
      <c r="H101" s="4236"/>
      <c r="I101" s="4236"/>
      <c r="J101" s="4236"/>
      <c r="K101" s="4236"/>
      <c r="L101" s="4236"/>
      <c r="M101" s="4236"/>
      <c r="N101" s="4236"/>
      <c r="O101" s="4236"/>
      <c r="P101" s="4237"/>
      <c r="Q101" s="354"/>
    </row>
    <row r="102" spans="1:18" ht="7.5" customHeight="1" thickBot="1"/>
    <row r="103" spans="1:18" s="36" customFormat="1" ht="13.5" customHeight="1" thickBot="1">
      <c r="A103" s="120" t="s">
        <v>1668</v>
      </c>
      <c r="B103" s="83" t="s">
        <v>3368</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4">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64"/>
    </row>
    <row r="106" spans="1:18" s="70" customFormat="1" ht="12.75" customHeight="1">
      <c r="A106" s="107" t="s">
        <v>1841</v>
      </c>
      <c r="B106" s="141" t="s">
        <v>1737</v>
      </c>
      <c r="C106" s="4"/>
      <c r="D106" s="4"/>
      <c r="F106" s="243"/>
      <c r="H106" s="658" t="s">
        <v>2468</v>
      </c>
      <c r="I106" s="4732" t="s">
        <v>4044</v>
      </c>
      <c r="J106" s="4733"/>
      <c r="K106" s="4733"/>
      <c r="L106" s="4734"/>
      <c r="M106" s="458">
        <v>20</v>
      </c>
      <c r="N106" s="150" t="s">
        <v>1841</v>
      </c>
      <c r="O106" s="1765"/>
      <c r="P106" s="1766"/>
      <c r="Q106" s="1212"/>
      <c r="R106" s="795" t="s">
        <v>4059</v>
      </c>
    </row>
    <row r="107" spans="1:18" s="70" customFormat="1" ht="12.75" customHeight="1">
      <c r="A107" s="107" t="s">
        <v>1843</v>
      </c>
      <c r="B107" s="141" t="s">
        <v>3280</v>
      </c>
      <c r="D107" s="880"/>
      <c r="F107" s="1238"/>
      <c r="H107" s="658" t="s">
        <v>3338</v>
      </c>
      <c r="I107" s="4735"/>
      <c r="J107" s="4642"/>
      <c r="K107" s="4642"/>
      <c r="L107" s="4736"/>
      <c r="M107" s="891" t="s">
        <v>1164</v>
      </c>
      <c r="N107" s="48" t="s">
        <v>1843</v>
      </c>
      <c r="O107" s="1767"/>
      <c r="P107" s="1768"/>
      <c r="R107" s="795" t="s">
        <v>4059</v>
      </c>
    </row>
    <row r="108" spans="1:18" s="36" customFormat="1" ht="12.75" customHeight="1" thickBot="1">
      <c r="A108" s="35"/>
      <c r="B108" s="937" t="s">
        <v>3241</v>
      </c>
      <c r="C108" s="35"/>
      <c r="D108" s="41"/>
      <c r="E108" s="41"/>
      <c r="F108" s="41"/>
      <c r="G108" s="41"/>
      <c r="H108" s="29"/>
      <c r="I108" s="4737"/>
      <c r="J108" s="4738"/>
      <c r="K108" s="4738"/>
      <c r="L108" s="4739"/>
      <c r="M108" s="39"/>
      <c r="N108" s="47"/>
      <c r="O108" s="3"/>
      <c r="P108" s="24"/>
    </row>
    <row r="109" spans="1:18" s="36" customFormat="1" ht="90" customHeight="1" thickTop="1" thickBot="1">
      <c r="A109" s="4552"/>
      <c r="B109" s="4553"/>
      <c r="C109" s="4553"/>
      <c r="D109" s="4553"/>
      <c r="E109" s="4553"/>
      <c r="F109" s="4553"/>
      <c r="G109" s="4553"/>
      <c r="H109" s="4553"/>
      <c r="I109" s="4553"/>
      <c r="J109" s="4553"/>
      <c r="K109" s="4553"/>
      <c r="L109" s="4553"/>
      <c r="M109" s="4553"/>
      <c r="N109" s="4553"/>
      <c r="O109" s="4553"/>
      <c r="P109" s="4554"/>
      <c r="Q109" s="355" t="s">
        <v>1180</v>
      </c>
      <c r="R109" s="355"/>
    </row>
    <row r="110" spans="1:18" s="36" customFormat="1" ht="11.7"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35"/>
      <c r="B111" s="4236"/>
      <c r="C111" s="4236"/>
      <c r="D111" s="4236"/>
      <c r="E111" s="4236"/>
      <c r="F111" s="4236"/>
      <c r="G111" s="4236"/>
      <c r="H111" s="4236"/>
      <c r="I111" s="4236"/>
      <c r="J111" s="4236"/>
      <c r="K111" s="4236"/>
      <c r="L111" s="4236"/>
      <c r="M111" s="4236"/>
      <c r="N111" s="4236"/>
      <c r="O111" s="4236"/>
      <c r="P111" s="4237"/>
      <c r="Q111" s="354"/>
      <c r="R111" s="355"/>
    </row>
    <row r="112" spans="1:18" ht="7.5" customHeight="1" thickBot="1">
      <c r="M112" s="26"/>
      <c r="N112" s="39"/>
      <c r="O112" s="119"/>
      <c r="P112" s="119"/>
    </row>
    <row r="113" spans="1:21" s="36" customFormat="1" ht="13.5" customHeight="1" thickBot="1">
      <c r="A113" s="120" t="s">
        <v>496</v>
      </c>
      <c r="B113" s="83" t="s">
        <v>2414</v>
      </c>
      <c r="D113" s="34"/>
      <c r="H113" s="1546" t="s">
        <v>6144</v>
      </c>
      <c r="I113" s="1623" t="s">
        <v>6140</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3326</v>
      </c>
      <c r="D114" s="34"/>
      <c r="H114" s="141"/>
      <c r="L114" s="1930"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1844</v>
      </c>
      <c r="C115" s="29" t="s">
        <v>3819</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3820</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6146</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6568</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6569</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6572</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3327</v>
      </c>
      <c r="D123" s="34"/>
      <c r="F123" s="4684" t="s">
        <v>3215</v>
      </c>
      <c r="G123" s="4684"/>
      <c r="H123" s="4684"/>
      <c r="I123" s="4684"/>
      <c r="J123" s="4684" t="s">
        <v>3216</v>
      </c>
      <c r="K123" s="4684"/>
      <c r="L123" s="4684"/>
      <c r="M123" s="4684"/>
      <c r="N123" s="48"/>
      <c r="O123" s="4685" t="s">
        <v>3885</v>
      </c>
      <c r="P123" s="4686"/>
      <c r="Q123" s="86"/>
      <c r="R123" s="879"/>
      <c r="S123" s="879"/>
      <c r="T123" s="879"/>
      <c r="U123" s="879"/>
    </row>
    <row r="124" spans="1:21" s="36" customFormat="1" ht="12" customHeight="1">
      <c r="B124" s="1839"/>
      <c r="C124" s="1182" t="s">
        <v>6571</v>
      </c>
      <c r="E124" s="223"/>
      <c r="F124" s="4689"/>
      <c r="G124" s="4690"/>
      <c r="H124" s="4687"/>
      <c r="I124" s="4688"/>
      <c r="J124" s="4689"/>
      <c r="K124" s="4690"/>
      <c r="L124" s="4687"/>
      <c r="M124" s="4688"/>
      <c r="N124" s="48"/>
      <c r="Q124" s="86"/>
      <c r="R124" s="879"/>
      <c r="S124" s="879"/>
      <c r="T124" s="879"/>
      <c r="U124" s="879"/>
    </row>
    <row r="125" spans="1:21" s="36" customFormat="1" ht="12" customHeight="1">
      <c r="A125" s="1839"/>
      <c r="B125" s="1839"/>
      <c r="C125" s="1839"/>
      <c r="D125" s="236"/>
      <c r="E125" s="1838" t="s">
        <v>6147</v>
      </c>
      <c r="F125" s="4550"/>
      <c r="G125" s="4551"/>
      <c r="H125" s="4539"/>
      <c r="I125" s="4540"/>
      <c r="J125" s="4550"/>
      <c r="K125" s="4551"/>
      <c r="L125" s="4539"/>
      <c r="M125" s="4540"/>
      <c r="N125" s="48"/>
      <c r="O125" s="1292"/>
      <c r="P125" s="916"/>
      <c r="Q125" s="86"/>
      <c r="R125" s="879"/>
      <c r="S125" s="879"/>
      <c r="T125" s="879"/>
      <c r="U125" s="879"/>
    </row>
    <row r="126" spans="1:21" s="36" customFormat="1" ht="12" customHeight="1">
      <c r="A126" s="4562" t="s">
        <v>6680</v>
      </c>
      <c r="B126" s="4562"/>
      <c r="C126" s="1182" t="s">
        <v>6570</v>
      </c>
      <c r="E126" s="223"/>
      <c r="F126" s="4555"/>
      <c r="G126" s="4556"/>
      <c r="H126" s="4475"/>
      <c r="I126" s="4476"/>
      <c r="J126" s="4555"/>
      <c r="K126" s="4556"/>
      <c r="L126" s="4475"/>
      <c r="M126" s="4476"/>
      <c r="N126" s="48"/>
      <c r="O126" s="48"/>
      <c r="P126" s="48"/>
      <c r="Q126" s="86"/>
      <c r="R126" s="879"/>
      <c r="S126" s="879"/>
      <c r="T126" s="879"/>
      <c r="U126" s="879"/>
    </row>
    <row r="127" spans="1:21" s="36" customFormat="1" ht="12" customHeight="1">
      <c r="A127" s="4562"/>
      <c r="B127" s="4562"/>
      <c r="C127" s="236"/>
      <c r="D127" s="236"/>
      <c r="E127" s="1838" t="s">
        <v>3366</v>
      </c>
      <c r="F127" s="4548"/>
      <c r="G127" s="4549"/>
      <c r="H127" s="4534"/>
      <c r="I127" s="4535"/>
      <c r="J127" s="4548"/>
      <c r="K127" s="4549"/>
      <c r="L127" s="4534"/>
      <c r="M127" s="4535"/>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6703</v>
      </c>
      <c r="B129" s="83"/>
      <c r="D129" s="34"/>
      <c r="I129" s="4558" t="str">
        <f>IF(AND(O131&gt;0,O138&gt;0),"Pick A or B, not both!","")</f>
        <v/>
      </c>
      <c r="J129" s="4558"/>
      <c r="K129" s="4558" t="str">
        <f>IF(AND(P131&gt;0,P138&gt;0),"Pick A or B, not both!","")</f>
        <v/>
      </c>
      <c r="L129" s="4558"/>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3238</v>
      </c>
      <c r="D131" s="34"/>
      <c r="F131" s="937" t="s">
        <v>6684</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6148</v>
      </c>
      <c r="D132" s="34"/>
      <c r="F132" s="38"/>
      <c r="M132" s="119"/>
      <c r="N132" s="317"/>
      <c r="O132" s="176"/>
      <c r="P132" s="421"/>
      <c r="Q132" s="86"/>
    </row>
    <row r="133" spans="1:21" s="332" customFormat="1" ht="25.5" customHeight="1">
      <c r="B133" s="350" t="s">
        <v>1844</v>
      </c>
      <c r="C133" s="4683" t="s">
        <v>6678</v>
      </c>
      <c r="D133" s="4683"/>
      <c r="E133" s="4683"/>
      <c r="F133" s="4683"/>
      <c r="G133" s="4683"/>
      <c r="H133" s="4683"/>
      <c r="I133" s="4683"/>
      <c r="J133" s="4683"/>
      <c r="K133" s="4683"/>
      <c r="L133" s="4683"/>
      <c r="M133" s="1848">
        <v>6</v>
      </c>
      <c r="N133" s="374" t="s">
        <v>1844</v>
      </c>
      <c r="O133" s="1910"/>
      <c r="P133" s="1911"/>
      <c r="Q133" s="1212"/>
      <c r="R133" s="795" t="s">
        <v>4059</v>
      </c>
    </row>
    <row r="134" spans="1:21" s="332" customFormat="1" ht="12" customHeight="1">
      <c r="A134" s="456" t="s">
        <v>1275</v>
      </c>
      <c r="B134" s="350" t="s">
        <v>1846</v>
      </c>
      <c r="C134" s="3679" t="s">
        <v>6679</v>
      </c>
      <c r="D134" s="3679"/>
      <c r="E134" s="3679"/>
      <c r="F134" s="3679"/>
      <c r="G134" s="866"/>
      <c r="J134" s="4691" t="s">
        <v>6675</v>
      </c>
      <c r="K134" s="4692"/>
      <c r="L134" s="4693"/>
      <c r="M134" s="458">
        <v>5</v>
      </c>
      <c r="N134" s="348" t="s">
        <v>1846</v>
      </c>
      <c r="O134" s="1923"/>
      <c r="P134" s="1924"/>
      <c r="Q134" s="1810" t="s">
        <v>6671</v>
      </c>
      <c r="R134" s="1176" t="s">
        <v>6264</v>
      </c>
      <c r="S134" s="1176" t="s">
        <v>6145</v>
      </c>
    </row>
    <row r="135" spans="1:21" s="332" customFormat="1" ht="12" customHeight="1">
      <c r="B135" s="350"/>
      <c r="C135" s="3679"/>
      <c r="D135" s="3679"/>
      <c r="E135" s="3679"/>
      <c r="F135" s="3679"/>
      <c r="G135" s="866"/>
      <c r="H135" s="3506" t="s">
        <v>6673</v>
      </c>
      <c r="I135" s="3506"/>
      <c r="J135" s="4694"/>
      <c r="K135" s="4695"/>
      <c r="L135" s="4696"/>
      <c r="M135" s="4370" t="str">
        <f>IF(AND(O134&gt;0,O133&gt;0),"Pick A1 or A2!","")</f>
        <v/>
      </c>
      <c r="N135" s="4370"/>
      <c r="O135" s="4370"/>
      <c r="P135" s="4370"/>
      <c r="Q135" s="798"/>
      <c r="R135" s="1549">
        <v>0.25</v>
      </c>
      <c r="S135" s="1549">
        <v>5</v>
      </c>
    </row>
    <row r="136" spans="1:21" s="332" customFormat="1" ht="12" customHeight="1">
      <c r="B136" s="350"/>
      <c r="C136" s="3679"/>
      <c r="D136" s="3679"/>
      <c r="E136" s="3679"/>
      <c r="F136" s="3679"/>
      <c r="G136" s="866"/>
      <c r="H136" s="1769"/>
      <c r="I136" s="1904"/>
      <c r="J136" s="4694"/>
      <c r="K136" s="4695"/>
      <c r="L136" s="4696"/>
      <c r="Q136" s="798"/>
      <c r="R136" s="1549">
        <v>0.5</v>
      </c>
      <c r="S136" s="1549">
        <v>4.5</v>
      </c>
    </row>
    <row r="137" spans="1:21" s="332" customFormat="1" ht="12" customHeight="1">
      <c r="B137" s="350"/>
      <c r="C137" s="3679"/>
      <c r="D137" s="3679"/>
      <c r="E137" s="3679"/>
      <c r="F137" s="3679"/>
      <c r="G137" s="866"/>
      <c r="J137" s="4694"/>
      <c r="K137" s="4695"/>
      <c r="L137" s="4696"/>
      <c r="M137" s="70"/>
      <c r="N137" s="70"/>
      <c r="O137" s="70"/>
      <c r="P137" s="70"/>
      <c r="Q137" s="397"/>
      <c r="R137" s="1550">
        <v>1</v>
      </c>
      <c r="S137" s="1550">
        <v>4</v>
      </c>
    </row>
    <row r="138" spans="1:21" s="332" customFormat="1" ht="12" customHeight="1">
      <c r="A138" s="112" t="s">
        <v>1843</v>
      </c>
      <c r="B138" s="897" t="s">
        <v>3239</v>
      </c>
      <c r="C138" s="503"/>
      <c r="D138" s="503"/>
      <c r="F138" s="1902" t="s">
        <v>6670</v>
      </c>
      <c r="J138" s="4725" t="s">
        <v>3236</v>
      </c>
      <c r="K138" s="4726"/>
      <c r="L138" s="1837"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6672</v>
      </c>
      <c r="R138" s="1905">
        <v>0.25</v>
      </c>
      <c r="S138" s="1905">
        <v>3</v>
      </c>
    </row>
    <row r="139" spans="1:21" s="36" customFormat="1" ht="12" customHeight="1">
      <c r="A139" s="120"/>
      <c r="B139" s="1632" t="s">
        <v>1844</v>
      </c>
      <c r="C139" s="3679" t="s">
        <v>6685</v>
      </c>
      <c r="D139" s="3679"/>
      <c r="E139" s="3679"/>
      <c r="F139" s="3679"/>
      <c r="G139" s="866"/>
      <c r="H139" s="3506" t="s">
        <v>6674</v>
      </c>
      <c r="I139" s="3506"/>
      <c r="J139" s="4541" t="s">
        <v>6690</v>
      </c>
      <c r="K139" s="4542"/>
      <c r="L139" s="4543"/>
      <c r="M139" s="458">
        <v>3</v>
      </c>
      <c r="N139" s="348" t="s">
        <v>1844</v>
      </c>
      <c r="O139" s="4517"/>
      <c r="P139" s="4520"/>
      <c r="Q139" s="798" t="str">
        <f>IF(OR($O141=$M141,$O141=0,$O141=""),"","*CHECK!*")</f>
        <v/>
      </c>
      <c r="R139" s="1549">
        <v>0.5</v>
      </c>
      <c r="S139" s="1549">
        <v>2</v>
      </c>
      <c r="U139" s="332"/>
    </row>
    <row r="140" spans="1:21" s="36" customFormat="1" ht="12" customHeight="1">
      <c r="A140" s="120"/>
      <c r="B140" s="891"/>
      <c r="C140" s="3679"/>
      <c r="D140" s="3679"/>
      <c r="E140" s="3679"/>
      <c r="F140" s="3679"/>
      <c r="G140" s="70"/>
      <c r="H140" s="1769"/>
      <c r="I140" s="1904"/>
      <c r="J140" s="4504" t="s">
        <v>6566</v>
      </c>
      <c r="K140" s="4505"/>
      <c r="L140" s="4506"/>
      <c r="M140" s="70"/>
      <c r="O140" s="4518"/>
      <c r="P140" s="4521"/>
      <c r="Q140" s="86"/>
      <c r="R140" s="1550">
        <v>1</v>
      </c>
      <c r="S140" s="1550">
        <v>1</v>
      </c>
      <c r="U140" s="332"/>
    </row>
    <row r="141" spans="1:21" s="36" customFormat="1" ht="11.25" customHeight="1">
      <c r="A141" s="456" t="s">
        <v>1275</v>
      </c>
      <c r="B141" s="1632" t="s">
        <v>1846</v>
      </c>
      <c r="C141" s="3679" t="s">
        <v>6677</v>
      </c>
      <c r="D141" s="3679"/>
      <c r="E141" s="3679"/>
      <c r="F141" s="3679"/>
      <c r="G141" s="3679"/>
      <c r="H141" s="3679"/>
      <c r="I141" s="1903"/>
      <c r="J141" s="4507"/>
      <c r="K141" s="4508"/>
      <c r="L141" s="4509"/>
      <c r="M141" s="458">
        <v>1</v>
      </c>
      <c r="N141" s="348" t="s">
        <v>1846</v>
      </c>
      <c r="O141" s="4742"/>
      <c r="P141" s="4561"/>
      <c r="U141" s="332"/>
    </row>
    <row r="142" spans="1:21" s="36" customFormat="1" ht="11.25" customHeight="1">
      <c r="B142" s="1906"/>
      <c r="C142" s="3679"/>
      <c r="D142" s="3679"/>
      <c r="E142" s="3679"/>
      <c r="F142" s="3679"/>
      <c r="G142" s="3679"/>
      <c r="H142" s="3679"/>
      <c r="I142" s="1903"/>
      <c r="J142" s="4510"/>
      <c r="K142" s="4511"/>
      <c r="L142" s="4512"/>
      <c r="O142" s="4742"/>
      <c r="P142" s="4561"/>
      <c r="T142" s="332"/>
      <c r="U142" s="332"/>
    </row>
    <row r="143" spans="1:21" s="332" customFormat="1" ht="12" customHeight="1">
      <c r="A143" s="1631" t="s">
        <v>1275</v>
      </c>
      <c r="B143" s="1632" t="s">
        <v>2332</v>
      </c>
      <c r="C143" s="3679" t="s">
        <v>6676</v>
      </c>
      <c r="D143" s="3679"/>
      <c r="E143" s="3679"/>
      <c r="F143" s="3679"/>
      <c r="G143" s="3679"/>
      <c r="H143" s="3679"/>
      <c r="I143" s="4516"/>
      <c r="J143" s="4504" t="s">
        <v>6567</v>
      </c>
      <c r="K143" s="4505"/>
      <c r="L143" s="4506"/>
      <c r="M143" s="1848">
        <v>2</v>
      </c>
      <c r="N143" s="374" t="s">
        <v>2332</v>
      </c>
      <c r="O143" s="4559"/>
      <c r="P143" s="4740"/>
      <c r="Q143" s="798"/>
      <c r="R143" s="795"/>
    </row>
    <row r="144" spans="1:21" s="36" customFormat="1" ht="36.75" customHeight="1">
      <c r="C144" s="3679"/>
      <c r="D144" s="3679"/>
      <c r="E144" s="3679"/>
      <c r="F144" s="3679"/>
      <c r="G144" s="3679"/>
      <c r="H144" s="3679"/>
      <c r="I144" s="4516"/>
      <c r="J144" s="4513"/>
      <c r="K144" s="4514"/>
      <c r="L144" s="4515"/>
      <c r="O144" s="4560"/>
      <c r="P144" s="4741"/>
    </row>
    <row r="145" spans="1:19" s="36" customFormat="1" ht="12.6" customHeight="1">
      <c r="A145" s="29" t="s">
        <v>3367</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552"/>
      <c r="B147" s="4553"/>
      <c r="C147" s="4553"/>
      <c r="D147" s="4553"/>
      <c r="E147" s="4553"/>
      <c r="F147" s="4553"/>
      <c r="G147" s="4553"/>
      <c r="H147" s="4553"/>
      <c r="I147" s="4553"/>
      <c r="J147" s="4553"/>
      <c r="K147" s="4553"/>
      <c r="L147" s="4553"/>
      <c r="M147" s="4553"/>
      <c r="N147" s="4553"/>
      <c r="O147" s="4553"/>
      <c r="P147" s="4554"/>
      <c r="Q147" s="355" t="s">
        <v>1180</v>
      </c>
      <c r="R147" s="355"/>
    </row>
    <row r="148" spans="1:19" s="70" customFormat="1" ht="11.7"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35"/>
      <c r="B149" s="4236"/>
      <c r="C149" s="4236"/>
      <c r="D149" s="4236"/>
      <c r="E149" s="4236"/>
      <c r="F149" s="4236"/>
      <c r="G149" s="4236"/>
      <c r="H149" s="4236"/>
      <c r="I149" s="4236"/>
      <c r="J149" s="4236"/>
      <c r="K149" s="4236"/>
      <c r="L149" s="4236"/>
      <c r="M149" s="4236"/>
      <c r="N149" s="4236"/>
      <c r="O149" s="4236"/>
      <c r="P149" s="4237"/>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6149</v>
      </c>
      <c r="C152" s="887"/>
      <c r="D152" s="887"/>
      <c r="E152" s="887"/>
      <c r="G152" s="1548" t="s">
        <v>3821</v>
      </c>
      <c r="H152" s="867" t="str">
        <f>'Part VII-Threshold Criteria OLD'!$J$35</f>
        <v>&lt;&lt; Select PROPOSED Tenancy &gt;&gt;</v>
      </c>
      <c r="M152" s="119">
        <v>3</v>
      </c>
      <c r="N152" s="55"/>
      <c r="O152" s="1616"/>
      <c r="P152" s="1617"/>
      <c r="Q152" s="1212" t="str">
        <f>IF(OR($O152&lt;=$M152,$O152=0,$O152=""),"","*CHECK!*")</f>
        <v/>
      </c>
      <c r="R152" s="1619" t="s">
        <v>416</v>
      </c>
      <c r="S152" s="795" t="s">
        <v>4059</v>
      </c>
    </row>
    <row r="153" spans="1:19" ht="18.75" customHeight="1">
      <c r="C153" s="1542" t="s">
        <v>6721</v>
      </c>
      <c r="F153" s="1542"/>
      <c r="G153" s="1542"/>
      <c r="H153" s="1542"/>
      <c r="I153" s="1652"/>
      <c r="J153" s="1653"/>
      <c r="K153" s="1654"/>
      <c r="M153" s="36"/>
      <c r="N153"/>
      <c r="O153"/>
      <c r="P153" s="1963"/>
    </row>
    <row r="154" spans="1:19" ht="11.25" customHeight="1">
      <c r="C154" s="1542" t="s">
        <v>6720</v>
      </c>
      <c r="F154" s="1542"/>
      <c r="G154" s="1542"/>
      <c r="H154" s="1542"/>
      <c r="I154" s="1652"/>
      <c r="J154" s="4536" t="s">
        <v>6891</v>
      </c>
      <c r="K154" s="4537"/>
      <c r="L154" s="4537"/>
      <c r="M154" s="4538"/>
      <c r="N154"/>
      <c r="O154"/>
      <c r="P154"/>
    </row>
    <row r="155" spans="1:19" ht="12.75" customHeight="1">
      <c r="B155" s="430"/>
      <c r="C155" s="430"/>
      <c r="D155" s="430"/>
      <c r="F155" s="4293" t="s">
        <v>6628</v>
      </c>
      <c r="G155" s="4293"/>
      <c r="H155" s="4293" t="s">
        <v>6270</v>
      </c>
      <c r="I155" s="4293"/>
      <c r="J155" s="4522" t="s">
        <v>6629</v>
      </c>
      <c r="K155" s="4523"/>
      <c r="L155" s="4525" t="s">
        <v>6890</v>
      </c>
      <c r="M155" s="4526"/>
      <c r="N155" s="44"/>
      <c r="O155" s="1866"/>
      <c r="P155" s="1867"/>
    </row>
    <row r="156" spans="1:19" ht="30.75" customHeight="1">
      <c r="B156" s="430"/>
      <c r="C156" s="430"/>
      <c r="D156" s="430"/>
      <c r="F156" s="4293"/>
      <c r="G156" s="4293"/>
      <c r="H156" s="4293"/>
      <c r="I156" s="4293"/>
      <c r="J156" s="4524"/>
      <c r="K156" s="4523"/>
      <c r="L156" s="4293"/>
      <c r="M156" s="4527"/>
      <c r="N156" s="44"/>
      <c r="O156" s="1868"/>
      <c r="P156" s="1867"/>
    </row>
    <row r="157" spans="1:19" ht="12" customHeight="1">
      <c r="B157" s="81" t="s">
        <v>6630</v>
      </c>
      <c r="C157" s="889"/>
      <c r="D157" s="36"/>
      <c r="F157" s="4294"/>
      <c r="G157" s="4294"/>
      <c r="H157" s="4294"/>
      <c r="I157" s="4294"/>
      <c r="J157" s="4524"/>
      <c r="K157" s="4523"/>
      <c r="L157" s="4294"/>
      <c r="M157" s="4528"/>
      <c r="N157" s="44"/>
      <c r="O157" s="1868"/>
      <c r="P157" s="1867"/>
    </row>
    <row r="158" spans="1:19">
      <c r="B158" s="4529"/>
      <c r="C158" s="4530"/>
      <c r="D158" s="4530"/>
      <c r="E158" s="4531"/>
      <c r="F158" s="4529"/>
      <c r="G158" s="4531"/>
      <c r="H158" s="4529"/>
      <c r="I158" s="4531"/>
      <c r="J158" s="4532"/>
      <c r="K158" s="4533"/>
      <c r="L158" s="4532"/>
      <c r="M158" s="4533"/>
      <c r="N158" s="4487"/>
      <c r="O158" s="4488"/>
    </row>
    <row r="159" spans="1:19">
      <c r="B159" s="4489"/>
      <c r="C159" s="4490"/>
      <c r="D159" s="4490"/>
      <c r="E159" s="4491"/>
      <c r="F159" s="4489"/>
      <c r="G159" s="4491"/>
      <c r="H159" s="4489"/>
      <c r="I159" s="4491"/>
      <c r="J159" s="4492"/>
      <c r="K159" s="4493"/>
      <c r="L159" s="4492"/>
      <c r="M159" s="4493"/>
      <c r="N159" s="4477"/>
      <c r="O159" s="4478"/>
    </row>
    <row r="160" spans="1:19">
      <c r="B160" s="4489"/>
      <c r="C160" s="4490"/>
      <c r="D160" s="4490"/>
      <c r="E160" s="4491"/>
      <c r="F160" s="4489"/>
      <c r="G160" s="4491"/>
      <c r="H160" s="4489"/>
      <c r="I160" s="4491"/>
      <c r="J160" s="4492"/>
      <c r="K160" s="4493"/>
      <c r="L160" s="4492"/>
      <c r="M160" s="4493"/>
      <c r="N160" s="4477"/>
      <c r="O160" s="4478"/>
    </row>
    <row r="161" spans="1:26">
      <c r="B161" s="4489"/>
      <c r="C161" s="4490"/>
      <c r="D161" s="4490"/>
      <c r="E161" s="4491"/>
      <c r="F161" s="4489"/>
      <c r="G161" s="4491"/>
      <c r="H161" s="4489"/>
      <c r="I161" s="4491"/>
      <c r="J161" s="4492"/>
      <c r="K161" s="4493"/>
      <c r="L161" s="4492"/>
      <c r="M161" s="4493"/>
      <c r="N161" s="4477"/>
      <c r="O161" s="4478"/>
    </row>
    <row r="162" spans="1:26">
      <c r="B162" s="4489"/>
      <c r="C162" s="4490"/>
      <c r="D162" s="4490"/>
      <c r="E162" s="4491"/>
      <c r="F162" s="4489"/>
      <c r="G162" s="4491"/>
      <c r="H162" s="4489"/>
      <c r="I162" s="4491"/>
      <c r="J162" s="4492"/>
      <c r="K162" s="4493"/>
      <c r="L162" s="4492"/>
      <c r="M162" s="4493"/>
      <c r="N162" s="4477"/>
      <c r="O162" s="4478"/>
    </row>
    <row r="163" spans="1:26">
      <c r="B163" s="4480"/>
      <c r="C163" s="4481"/>
      <c r="D163" s="4481"/>
      <c r="E163" s="4482"/>
      <c r="F163" s="4480"/>
      <c r="G163" s="4482"/>
      <c r="H163" s="4480"/>
      <c r="I163" s="4482"/>
      <c r="J163" s="4483"/>
      <c r="K163" s="4484"/>
      <c r="L163" s="4483"/>
      <c r="M163" s="4484"/>
      <c r="N163" s="4485"/>
      <c r="O163" s="4486"/>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552"/>
      <c r="B165" s="4553"/>
      <c r="C165" s="4553"/>
      <c r="D165" s="4553"/>
      <c r="E165" s="4553"/>
      <c r="F165" s="4553"/>
      <c r="G165" s="4553"/>
      <c r="H165" s="4553"/>
      <c r="I165" s="4553"/>
      <c r="J165" s="4553"/>
      <c r="K165" s="4553"/>
      <c r="L165" s="4553"/>
      <c r="M165" s="4553"/>
      <c r="N165" s="4553"/>
      <c r="O165" s="4553"/>
      <c r="P165" s="4554"/>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402"/>
      <c r="B167" s="4403"/>
      <c r="C167" s="4403"/>
      <c r="D167" s="4403"/>
      <c r="E167" s="4403"/>
      <c r="F167" s="4403"/>
      <c r="G167" s="4403"/>
      <c r="H167" s="4403"/>
      <c r="I167" s="4403"/>
      <c r="J167" s="4403"/>
      <c r="K167" s="4403"/>
      <c r="L167" s="4403"/>
      <c r="M167" s="4403"/>
      <c r="N167" s="4403"/>
      <c r="O167" s="4403"/>
      <c r="P167" s="4404"/>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3340</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6177</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6269</v>
      </c>
      <c r="D172" s="141"/>
      <c r="E172" s="141"/>
      <c r="F172" s="141"/>
      <c r="G172" s="141"/>
      <c r="H172" s="141"/>
      <c r="I172" s="141"/>
      <c r="J172" s="141"/>
      <c r="K172" s="141"/>
      <c r="L172" s="141"/>
      <c r="M172" s="458">
        <v>2</v>
      </c>
      <c r="N172" s="128" t="s">
        <v>1614</v>
      </c>
      <c r="O172" s="1589"/>
      <c r="P172" s="1639"/>
      <c r="Q172" s="1212" t="str">
        <f>IF(OR($O172=$M172,$O172=0,$O172=""),"","*CHECK!*")</f>
        <v/>
      </c>
      <c r="R172" s="795" t="s">
        <v>4059</v>
      </c>
      <c r="S172" s="1628"/>
      <c r="T172" s="1628"/>
      <c r="U172" s="1628"/>
    </row>
    <row r="173" spans="1:26" s="318" customFormat="1" ht="12" customHeight="1">
      <c r="B173" s="128" t="s">
        <v>2240</v>
      </c>
      <c r="C173" s="4234" t="s">
        <v>6681</v>
      </c>
      <c r="D173" s="4234"/>
      <c r="E173" s="4234"/>
      <c r="F173" s="4234"/>
      <c r="G173" s="4234"/>
      <c r="H173" s="4234"/>
      <c r="I173" s="4234"/>
      <c r="J173" s="4234"/>
      <c r="K173" s="4234"/>
      <c r="L173" s="128"/>
      <c r="M173" s="4557" t="s">
        <v>6091</v>
      </c>
      <c r="N173" s="4557"/>
      <c r="O173" s="4557"/>
      <c r="P173" s="4557"/>
      <c r="S173" s="1628"/>
      <c r="T173" s="1628"/>
      <c r="U173" s="1628"/>
      <c r="V173" s="334"/>
      <c r="W173" s="334"/>
      <c r="X173" s="334"/>
      <c r="Y173" s="334"/>
      <c r="Z173" s="334"/>
    </row>
    <row r="174" spans="1:26" s="36" customFormat="1" ht="12.75" customHeight="1">
      <c r="A174" s="305"/>
      <c r="B174" s="49"/>
      <c r="C174" s="4234"/>
      <c r="D174" s="4234"/>
      <c r="E174" s="4234"/>
      <c r="F174" s="4234"/>
      <c r="G174" s="4234"/>
      <c r="H174" s="4234"/>
      <c r="I174" s="4234"/>
      <c r="J174" s="4234"/>
      <c r="K174" s="4234"/>
      <c r="L174" s="128" t="s">
        <v>2240</v>
      </c>
      <c r="M174" s="4544" t="s">
        <v>3287</v>
      </c>
      <c r="N174" s="4545"/>
      <c r="O174" s="4545"/>
      <c r="P174" s="4546"/>
      <c r="S174" s="1628"/>
      <c r="T174" s="1628"/>
      <c r="U174" s="1628"/>
    </row>
    <row r="175" spans="1:26" s="26" customFormat="1" ht="12.75" customHeight="1">
      <c r="B175" s="49" t="s">
        <v>2241</v>
      </c>
      <c r="C175" s="29" t="s">
        <v>3957</v>
      </c>
      <c r="D175" s="29"/>
      <c r="E175" s="29"/>
      <c r="F175" s="29"/>
      <c r="G175" s="29"/>
      <c r="H175" s="29"/>
      <c r="L175" s="49" t="s">
        <v>2241</v>
      </c>
      <c r="M175" s="4541" t="s">
        <v>3287</v>
      </c>
      <c r="N175" s="4542"/>
      <c r="O175" s="4542"/>
      <c r="P175" s="4543"/>
      <c r="S175" s="1628"/>
      <c r="T175" s="1628"/>
      <c r="U175" s="1628"/>
      <c r="V175" s="72"/>
      <c r="W175" s="72"/>
      <c r="X175" s="72"/>
      <c r="Y175" s="72"/>
      <c r="Z175" s="72"/>
    </row>
    <row r="176" spans="1:26" s="26" customFormat="1" ht="12.75" customHeight="1">
      <c r="B176" s="49" t="s">
        <v>2242</v>
      </c>
      <c r="C176" s="29" t="s">
        <v>6175</v>
      </c>
      <c r="D176" s="29"/>
      <c r="E176" s="29"/>
      <c r="F176" s="29"/>
      <c r="G176" s="29"/>
      <c r="H176" s="29"/>
      <c r="L176" s="49" t="s">
        <v>2242</v>
      </c>
      <c r="M176" s="4541" t="s">
        <v>3287</v>
      </c>
      <c r="N176" s="4542"/>
      <c r="O176" s="4542"/>
      <c r="P176" s="4543"/>
      <c r="Q176" s="1320">
        <f>IF(K176="Yes",1,0)</f>
        <v>0</v>
      </c>
      <c r="S176" s="1628"/>
      <c r="T176" s="1628"/>
      <c r="U176" s="1628"/>
      <c r="V176" s="1320" t="e">
        <f>IF(#REF!="Yes",1,0)</f>
        <v>#REF!</v>
      </c>
      <c r="W176" s="72"/>
      <c r="X176" s="72"/>
      <c r="Y176" s="72"/>
      <c r="Z176" s="72"/>
    </row>
    <row r="177" spans="1:26" s="26" customFormat="1" ht="12.75" customHeight="1">
      <c r="A177" s="48"/>
      <c r="B177" s="49" t="s">
        <v>2243</v>
      </c>
      <c r="C177" s="29" t="s">
        <v>6176</v>
      </c>
      <c r="D177" s="29"/>
      <c r="E177" s="29"/>
      <c r="F177" s="29"/>
      <c r="G177" s="29"/>
      <c r="L177" s="49" t="s">
        <v>2243</v>
      </c>
      <c r="M177" s="4594" t="s">
        <v>3287</v>
      </c>
      <c r="N177" s="4595"/>
      <c r="O177" s="4595"/>
      <c r="P177" s="4596"/>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6252</v>
      </c>
      <c r="D179" s="108"/>
      <c r="E179" s="108"/>
      <c r="F179" s="108"/>
      <c r="G179" s="108"/>
      <c r="H179" s="108"/>
      <c r="I179" s="108"/>
      <c r="K179" s="935"/>
      <c r="L179" s="935"/>
      <c r="R179" s="1628"/>
      <c r="S179" s="1628"/>
      <c r="T179" s="1628"/>
      <c r="U179" s="1628"/>
    </row>
    <row r="180" spans="1:26" ht="13.8">
      <c r="A180" s="396"/>
      <c r="B180" s="128" t="s">
        <v>2240</v>
      </c>
      <c r="C180" s="4234" t="s">
        <v>6179</v>
      </c>
      <c r="D180" s="4234"/>
      <c r="E180" s="4234"/>
      <c r="F180" s="4234"/>
      <c r="G180" s="4234"/>
      <c r="H180" s="4234"/>
      <c r="I180" s="4234"/>
      <c r="J180" s="4234"/>
      <c r="K180" s="4234"/>
      <c r="L180" s="4234"/>
      <c r="M180" s="1848">
        <v>1</v>
      </c>
      <c r="N180" s="128" t="s">
        <v>4077</v>
      </c>
      <c r="O180" s="1636"/>
      <c r="P180" s="1640"/>
      <c r="Q180" s="1212" t="str">
        <f>IF(OR($O180=$M180,$O180=0,$O180=""),"","*CHECK!*")</f>
        <v/>
      </c>
      <c r="R180" s="795" t="s">
        <v>4059</v>
      </c>
    </row>
    <row r="181" spans="1:26" ht="36.75" customHeight="1">
      <c r="A181" s="396"/>
      <c r="B181" s="117" t="s">
        <v>2241</v>
      </c>
      <c r="C181" s="4234" t="s">
        <v>6180</v>
      </c>
      <c r="D181" s="4234"/>
      <c r="E181" s="4234"/>
      <c r="F181" s="4234"/>
      <c r="G181" s="4234"/>
      <c r="H181" s="4234"/>
      <c r="I181" s="4234"/>
      <c r="J181" s="4234"/>
      <c r="K181" s="4234"/>
      <c r="L181" s="4234"/>
      <c r="M181" s="1848">
        <v>1</v>
      </c>
      <c r="N181" s="128" t="s">
        <v>6261</v>
      </c>
      <c r="O181" s="1657"/>
      <c r="P181" s="1658"/>
      <c r="Q181" s="1212" t="str">
        <f>IF(OR($O181=$M181,$O181=0,$O181=""),"","*CHECK!*")</f>
        <v/>
      </c>
      <c r="R181" s="795" t="s">
        <v>4059</v>
      </c>
    </row>
    <row r="182" spans="1:26" ht="12" customHeight="1">
      <c r="A182" s="396"/>
      <c r="B182" s="1607" t="s">
        <v>2242</v>
      </c>
      <c r="C182" s="44" t="s">
        <v>6263</v>
      </c>
      <c r="D182" s="100"/>
      <c r="E182" s="100"/>
      <c r="F182" s="100"/>
      <c r="G182" s="100"/>
      <c r="H182" s="100"/>
      <c r="I182" s="100"/>
      <c r="J182" s="100"/>
      <c r="K182" s="100"/>
      <c r="L182" s="100"/>
      <c r="M182" s="458">
        <v>1</v>
      </c>
      <c r="N182" s="48" t="s">
        <v>6262</v>
      </c>
      <c r="O182" s="1637"/>
      <c r="P182" s="1641"/>
      <c r="Q182" s="1212" t="str">
        <f>IF(OR($O182=$M182,$O182=0,$O182=""),"","*CHECK!*")</f>
        <v/>
      </c>
      <c r="R182" s="795" t="s">
        <v>4059</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3822</v>
      </c>
      <c r="D184" s="26"/>
      <c r="F184" s="1189"/>
      <c r="K184" s="915"/>
      <c r="L184" s="307" t="str">
        <f>IF(OR($O184=$M184,$O184=0,$O184=1,$O184=""),"","* * Check Score! * *")</f>
        <v/>
      </c>
      <c r="M184" s="458">
        <v>2</v>
      </c>
      <c r="N184" s="48" t="s">
        <v>1843</v>
      </c>
      <c r="O184" s="459"/>
      <c r="P184" s="664"/>
      <c r="Q184" s="798" t="str">
        <f>IF(OR($O184=$M184,$O184=0,$O184=""),"","*CHECK!*")</f>
        <v/>
      </c>
      <c r="R184" s="795" t="s">
        <v>4059</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552"/>
      <c r="B186" s="4553"/>
      <c r="C186" s="4553"/>
      <c r="D186" s="4553"/>
      <c r="E186" s="4553"/>
      <c r="F186" s="4553"/>
      <c r="G186" s="4553"/>
      <c r="H186" s="4553"/>
      <c r="I186" s="4553"/>
      <c r="J186" s="4553"/>
      <c r="K186" s="4553"/>
      <c r="L186" s="4553"/>
      <c r="M186" s="4553"/>
      <c r="N186" s="4553"/>
      <c r="O186" s="4553"/>
      <c r="P186" s="4554"/>
      <c r="Q186" s="355" t="s">
        <v>1180</v>
      </c>
    </row>
    <row r="187" spans="1:26" s="70" customFormat="1" ht="11.7"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402"/>
      <c r="B188" s="4403"/>
      <c r="C188" s="4403"/>
      <c r="D188" s="4403"/>
      <c r="E188" s="4403"/>
      <c r="F188" s="4403"/>
      <c r="G188" s="4403"/>
      <c r="H188" s="4403"/>
      <c r="I188" s="4403"/>
      <c r="J188" s="4403"/>
      <c r="K188" s="4403"/>
      <c r="L188" s="4403"/>
      <c r="M188" s="4403"/>
      <c r="N188" s="4403"/>
      <c r="O188" s="4403"/>
      <c r="P188" s="4404"/>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3341</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3674</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6253</v>
      </c>
      <c r="C192" s="887"/>
      <c r="D192" s="887"/>
      <c r="E192" s="887"/>
      <c r="F192" s="887"/>
      <c r="G192" s="887"/>
      <c r="H192" s="887"/>
      <c r="L192" s="1190"/>
      <c r="M192" s="119"/>
      <c r="N192" s="119"/>
      <c r="O192" s="119"/>
      <c r="P192" s="119"/>
      <c r="Q192" s="86"/>
      <c r="R192" s="1629"/>
      <c r="S192" s="1629"/>
      <c r="T192" s="1629"/>
      <c r="U192" s="1629"/>
    </row>
    <row r="193" spans="1:24" ht="11.7" customHeight="1">
      <c r="A193" s="107" t="s">
        <v>698</v>
      </c>
      <c r="B193" s="141" t="s">
        <v>6211</v>
      </c>
      <c r="D193" s="26"/>
      <c r="G193" s="370"/>
      <c r="N193"/>
      <c r="O193" s="31"/>
      <c r="P193" s="31"/>
      <c r="Q193" s="241"/>
    </row>
    <row r="194" spans="1:24" s="1323" customFormat="1" ht="12.75" customHeight="1">
      <c r="B194" s="350" t="s">
        <v>1844</v>
      </c>
      <c r="C194" s="4234" t="s">
        <v>6208</v>
      </c>
      <c r="D194" s="4234"/>
      <c r="E194" s="4234"/>
      <c r="F194" s="4234"/>
      <c r="G194" s="4234"/>
      <c r="H194" s="4234"/>
      <c r="I194" s="4234"/>
      <c r="J194" s="4234"/>
      <c r="K194" s="4234"/>
      <c r="L194" s="4234"/>
      <c r="M194" s="884" t="s">
        <v>698</v>
      </c>
      <c r="N194" s="317" t="s">
        <v>1844</v>
      </c>
      <c r="O194" s="894"/>
      <c r="P194" s="893"/>
      <c r="Q194" s="947"/>
      <c r="V194" s="1599"/>
      <c r="W194" s="1599"/>
    </row>
    <row r="195" spans="1:24" s="26" customFormat="1" ht="12.75" customHeight="1">
      <c r="A195" s="396"/>
      <c r="B195" s="350" t="s">
        <v>1846</v>
      </c>
      <c r="C195" s="33" t="s">
        <v>6209</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34" t="s">
        <v>6212</v>
      </c>
      <c r="D196" s="4234"/>
      <c r="E196" s="4234"/>
      <c r="F196" s="4234"/>
      <c r="G196" s="4234"/>
      <c r="H196" s="4234"/>
      <c r="I196" s="4234"/>
      <c r="J196" s="4234"/>
      <c r="K196" s="4234"/>
      <c r="L196" s="4234"/>
      <c r="M196" s="457"/>
      <c r="N196" s="317" t="s">
        <v>2332</v>
      </c>
      <c r="O196" s="896"/>
      <c r="P196" s="895"/>
      <c r="Q196" s="800"/>
      <c r="V196" s="942"/>
      <c r="W196" s="942"/>
    </row>
    <row r="197" spans="1:24" ht="11.7" customHeight="1">
      <c r="A197" s="107" t="s">
        <v>1962</v>
      </c>
      <c r="B197" s="141" t="s">
        <v>6210</v>
      </c>
      <c r="D197" s="26"/>
      <c r="G197" s="370"/>
      <c r="N197"/>
      <c r="O197" s="31"/>
      <c r="P197" s="31"/>
      <c r="Q197" s="241"/>
    </row>
    <row r="198" spans="1:24" s="1323" customFormat="1" ht="23.25" customHeight="1">
      <c r="B198" s="350" t="s">
        <v>1844</v>
      </c>
      <c r="C198" s="4234" t="s">
        <v>6213</v>
      </c>
      <c r="D198" s="4234"/>
      <c r="E198" s="4234"/>
      <c r="F198" s="4234"/>
      <c r="G198" s="4234"/>
      <c r="H198" s="4234"/>
      <c r="I198" s="4234"/>
      <c r="J198" s="4234"/>
      <c r="K198" s="4234"/>
      <c r="L198" s="4234"/>
      <c r="M198" s="884" t="s">
        <v>1962</v>
      </c>
      <c r="N198" s="317" t="s">
        <v>1844</v>
      </c>
      <c r="O198" s="894"/>
      <c r="P198" s="893"/>
      <c r="Q198" s="947"/>
      <c r="V198" s="1599"/>
      <c r="W198" s="1599"/>
    </row>
    <row r="199" spans="1:24" s="26" customFormat="1" ht="23.25" customHeight="1">
      <c r="A199" s="396"/>
      <c r="B199" s="350" t="s">
        <v>1846</v>
      </c>
      <c r="C199" s="4234" t="s">
        <v>6254</v>
      </c>
      <c r="D199" s="4234"/>
      <c r="E199" s="4234"/>
      <c r="F199" s="4234"/>
      <c r="G199" s="4234"/>
      <c r="H199" s="4234"/>
      <c r="I199" s="4234"/>
      <c r="J199" s="4234"/>
      <c r="K199" s="4234"/>
      <c r="L199" s="4234"/>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 customHeight="1" thickTop="1" thickBot="1">
      <c r="A201" s="4615"/>
      <c r="B201" s="4616"/>
      <c r="C201" s="4616"/>
      <c r="D201" s="4616"/>
      <c r="E201" s="4616"/>
      <c r="F201" s="4616"/>
      <c r="G201" s="4616"/>
      <c r="H201" s="4616"/>
      <c r="I201" s="4616"/>
      <c r="J201" s="4616"/>
      <c r="K201" s="4616"/>
      <c r="L201" s="4616"/>
      <c r="M201" s="4616"/>
      <c r="N201" s="4616"/>
      <c r="O201" s="4616"/>
      <c r="P201" s="4617"/>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2" customHeight="1">
      <c r="A203" s="4501"/>
      <c r="B203" s="4502"/>
      <c r="C203" s="4502"/>
      <c r="D203" s="4502"/>
      <c r="E203" s="4502"/>
      <c r="F203" s="4502"/>
      <c r="G203" s="4502"/>
      <c r="H203" s="4502"/>
      <c r="I203" s="4502"/>
      <c r="J203" s="4502"/>
      <c r="K203" s="4502"/>
      <c r="L203" s="4502"/>
      <c r="M203" s="4502"/>
      <c r="N203" s="4502"/>
      <c r="O203" s="4502"/>
      <c r="P203" s="4503"/>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3823</v>
      </c>
      <c r="D207" s="38"/>
      <c r="E207" s="38"/>
      <c r="K207" s="1321"/>
      <c r="M207" s="458">
        <v>5</v>
      </c>
      <c r="N207" s="48" t="s">
        <v>1841</v>
      </c>
      <c r="O207" s="459"/>
      <c r="P207" s="664"/>
      <c r="Q207" s="1212" t="str">
        <f>IF(O207&lt;=M207,"","*CHECK!*")</f>
        <v/>
      </c>
      <c r="R207" s="795" t="s">
        <v>4059</v>
      </c>
      <c r="S207" s="1630"/>
      <c r="T207" s="1630"/>
      <c r="U207" s="1630"/>
    </row>
    <row r="208" spans="1:24" ht="12.75" customHeight="1">
      <c r="B208" s="1600"/>
      <c r="C208" s="29" t="s">
        <v>6255</v>
      </c>
      <c r="D208" s="70"/>
      <c r="E208" s="38"/>
      <c r="F208" s="38"/>
      <c r="G208" s="70"/>
      <c r="H208" s="70"/>
      <c r="I208" s="70"/>
      <c r="J208" s="4571" t="s">
        <v>3204</v>
      </c>
      <c r="K208" s="4572"/>
      <c r="L208" s="4573"/>
      <c r="M208" s="4574"/>
      <c r="N208" s="53"/>
      <c r="R208" s="86"/>
      <c r="S208" s="70"/>
    </row>
    <row r="209" spans="1:27" ht="12.75" customHeight="1">
      <c r="C209" s="685" t="s">
        <v>6256</v>
      </c>
      <c r="D209" s="44"/>
      <c r="J209" s="4636"/>
      <c r="K209" s="4637"/>
      <c r="L209" s="4637"/>
      <c r="M209" s="4638"/>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6214</v>
      </c>
      <c r="C211" s="29"/>
      <c r="K211" s="48"/>
      <c r="L211" s="48"/>
      <c r="M211" s="458">
        <v>5</v>
      </c>
      <c r="N211" s="48" t="s">
        <v>1843</v>
      </c>
      <c r="O211" s="459"/>
      <c r="P211" s="664"/>
      <c r="Q211" s="1212" t="str">
        <f>IF(O211&lt;=M211,"","*CHECK!*")</f>
        <v/>
      </c>
      <c r="R211" s="795" t="s">
        <v>4059</v>
      </c>
      <c r="S211" s="1630"/>
      <c r="T211" s="1630"/>
      <c r="U211" s="1630"/>
    </row>
    <row r="212" spans="1:27">
      <c r="C212" s="1638" t="s">
        <v>6220</v>
      </c>
      <c r="E212" s="4750" t="s">
        <v>6219</v>
      </c>
      <c r="F212" s="4750"/>
      <c r="G212" s="4750"/>
      <c r="H212" s="4750"/>
      <c r="I212" s="1203" t="s">
        <v>6246</v>
      </c>
      <c r="J212" s="4750" t="s">
        <v>6219</v>
      </c>
      <c r="K212" s="4750"/>
      <c r="L212" s="4750"/>
      <c r="M212" s="4750"/>
      <c r="N212"/>
      <c r="O212"/>
      <c r="P212"/>
    </row>
    <row r="213" spans="1:27" ht="13.5" customHeight="1">
      <c r="B213" s="400"/>
      <c r="C213" s="29" t="s">
        <v>6217</v>
      </c>
      <c r="E213" s="4751"/>
      <c r="F213" s="4752"/>
      <c r="G213" s="4752"/>
      <c r="H213" s="4753"/>
      <c r="I213" s="1869" t="s">
        <v>906</v>
      </c>
      <c r="J213" s="4633"/>
      <c r="K213" s="4634"/>
      <c r="L213" s="4634"/>
      <c r="M213" s="4635"/>
      <c r="N213"/>
      <c r="Q213" s="24"/>
      <c r="R213" s="24"/>
      <c r="S213" s="24"/>
      <c r="T213" s="24"/>
      <c r="U213" s="24"/>
      <c r="V213" s="24"/>
      <c r="W213" s="24"/>
      <c r="X213" s="24"/>
      <c r="Y213" s="24"/>
      <c r="Z213" s="24"/>
      <c r="AA213" s="1870"/>
    </row>
    <row r="214" spans="1:27" ht="13.5" customHeight="1">
      <c r="C214" s="29" t="s">
        <v>6218</v>
      </c>
      <c r="E214" s="4624"/>
      <c r="F214" s="4625"/>
      <c r="G214" s="4625"/>
      <c r="H214" s="4626"/>
      <c r="I214" s="1908"/>
      <c r="J214" s="4639"/>
      <c r="K214" s="4640"/>
      <c r="L214" s="4640"/>
      <c r="M214" s="4641"/>
      <c r="N214" s="1212" t="str">
        <f>IF(P211&lt;=N211,"","*CHECK!*")</f>
        <v/>
      </c>
      <c r="Q214" s="24"/>
      <c r="R214" s="24"/>
      <c r="S214" s="24"/>
      <c r="T214" s="24"/>
      <c r="U214" s="24"/>
      <c r="V214" s="24"/>
      <c r="W214" s="24"/>
      <c r="X214" s="24"/>
      <c r="Y214" s="24"/>
      <c r="Z214" s="24"/>
      <c r="AA214" s="1870"/>
    </row>
    <row r="215" spans="1:27" ht="13.5" customHeight="1">
      <c r="B215" s="400"/>
      <c r="C215" s="29" t="s">
        <v>6215</v>
      </c>
      <c r="E215" s="4624"/>
      <c r="F215" s="4625"/>
      <c r="G215" s="4625"/>
      <c r="H215" s="4626"/>
      <c r="I215" s="1908"/>
      <c r="J215" s="4639"/>
      <c r="K215" s="4640"/>
      <c r="L215" s="4640"/>
      <c r="M215" s="4641"/>
      <c r="N215"/>
      <c r="Q215" s="24"/>
      <c r="R215" s="24"/>
      <c r="S215" s="24"/>
      <c r="T215" s="24"/>
      <c r="U215" s="24"/>
      <c r="V215" s="24"/>
      <c r="W215" s="24"/>
      <c r="X215" s="24"/>
      <c r="Y215" s="24"/>
      <c r="Z215" s="24"/>
      <c r="AA215" s="1870"/>
    </row>
    <row r="216" spans="1:27" ht="13.5" customHeight="1">
      <c r="B216" s="44"/>
      <c r="C216" s="29" t="s">
        <v>6216</v>
      </c>
      <c r="E216" s="4621"/>
      <c r="F216" s="4622"/>
      <c r="G216" s="4622"/>
      <c r="H216" s="4623"/>
      <c r="I216" s="1909"/>
      <c r="J216" s="4630"/>
      <c r="K216" s="4631"/>
      <c r="L216" s="4631"/>
      <c r="M216" s="4632"/>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4.950000000000003" customHeight="1" thickTop="1" thickBot="1">
      <c r="A220" s="4552"/>
      <c r="B220" s="4553"/>
      <c r="C220" s="4553"/>
      <c r="D220" s="4553"/>
      <c r="E220" s="4553"/>
      <c r="F220" s="4553"/>
      <c r="G220" s="4553"/>
      <c r="H220" s="4553"/>
      <c r="I220" s="4553"/>
      <c r="J220" s="4553"/>
      <c r="K220" s="4553"/>
      <c r="L220" s="4553"/>
      <c r="M220" s="4553"/>
      <c r="N220" s="4553"/>
      <c r="O220" s="4553"/>
      <c r="P220" s="4554"/>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501"/>
      <c r="B223" s="4502"/>
      <c r="C223" s="4502"/>
      <c r="D223" s="4502"/>
      <c r="E223" s="4502"/>
      <c r="F223" s="4502"/>
      <c r="G223" s="4502"/>
      <c r="H223" s="4502"/>
      <c r="I223" s="4502"/>
      <c r="J223" s="4502"/>
      <c r="K223" s="4502"/>
      <c r="L223" s="4502"/>
      <c r="M223" s="4502"/>
      <c r="N223" s="4502"/>
      <c r="O223" s="4502"/>
      <c r="P223" s="4503"/>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4035</v>
      </c>
      <c r="C225" s="44"/>
      <c r="G225" s="1623" t="s">
        <v>6249</v>
      </c>
      <c r="H225" s="1547" t="str">
        <f>IF(OR($M$34="9% Credit Competitive Round only", $M$34="9% Credit &amp; HOME"),"9%",IF(OR($M$34="4% Credit/TE Bond", $M$34="4% Credit/TE Bond &amp; HOME", $M$34="4% Credit/TE Bond &amp; HOME NOFA", $M$34="4% Credit &amp; NHTF", $M$34="4% Credit &amp; NHTF &amp; HOME"),"4%",""))</f>
        <v>4%</v>
      </c>
      <c r="J225" s="1623" t="s">
        <v>363</v>
      </c>
      <c r="K225" s="4612" t="str">
        <f>M55</f>
        <v>&lt;&lt; Select Activity Type &gt;&gt;</v>
      </c>
      <c r="L225" s="4613"/>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6250</v>
      </c>
      <c r="D226" s="32"/>
      <c r="E226" s="29"/>
      <c r="F226" s="119"/>
      <c r="G226" s="891" t="s">
        <v>3152</v>
      </c>
      <c r="H226" s="1191">
        <f>IF('Part V-Revenues &amp; Expenses'!$P$67=0,0,'Part V-Revenues &amp; Expenses'!$P$64/'Part V-Revenues &amp; Expenses'!$P$67)</f>
        <v>0</v>
      </c>
      <c r="J226" s="370" t="s">
        <v>3960</v>
      </c>
      <c r="K226" s="4628" t="str">
        <f>'Part V-Revenues &amp; Expenses'!$O$53</f>
        <v>40% of Units at 60% of AMI</v>
      </c>
      <c r="L226" s="4629"/>
      <c r="M226" s="31"/>
      <c r="N226" s="119"/>
      <c r="O226" s="24"/>
      <c r="P226" s="3"/>
    </row>
    <row r="227" spans="1:24" ht="12" customHeight="1">
      <c r="A227" s="686" t="s">
        <v>1841</v>
      </c>
      <c r="B227" s="67" t="s">
        <v>3958</v>
      </c>
      <c r="C227" s="44"/>
      <c r="E227" s="236" t="s">
        <v>3959</v>
      </c>
      <c r="M227" s="458">
        <v>1</v>
      </c>
      <c r="N227" s="48" t="s">
        <v>1841</v>
      </c>
      <c r="O227" s="1324"/>
      <c r="P227" s="1325"/>
      <c r="Q227" s="798" t="str">
        <f>IF(OR($O227=$M227,$O227=0,$O227=""),"","*CHECK!*")</f>
        <v/>
      </c>
      <c r="R227" s="795" t="s">
        <v>4059</v>
      </c>
    </row>
    <row r="228" spans="1:24" ht="12" customHeight="1">
      <c r="A228" s="686" t="s">
        <v>1843</v>
      </c>
      <c r="B228" s="67" t="s">
        <v>3813</v>
      </c>
      <c r="C228" s="44"/>
      <c r="E228" s="236" t="s">
        <v>4040</v>
      </c>
      <c r="M228" s="882">
        <v>1</v>
      </c>
      <c r="N228" s="48" t="s">
        <v>1843</v>
      </c>
      <c r="O228" s="407"/>
      <c r="P228" s="415"/>
      <c r="Q228" s="798" t="str">
        <f>IF(OR($O228=$M228,$O228=0,$O228=""),"","*CHECK!*")</f>
        <v/>
      </c>
      <c r="R228" s="795" t="s">
        <v>4059</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501"/>
      <c r="B231" s="4502"/>
      <c r="C231" s="4502"/>
      <c r="D231" s="4502"/>
      <c r="E231" s="4502"/>
      <c r="F231" s="4502"/>
      <c r="G231" s="4502"/>
      <c r="H231" s="4502"/>
      <c r="I231" s="4502"/>
      <c r="J231" s="4502"/>
      <c r="K231" s="4502"/>
      <c r="L231" s="4502"/>
      <c r="M231" s="4502"/>
      <c r="N231" s="4502"/>
      <c r="O231" s="4502"/>
      <c r="P231" s="4503"/>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3263</v>
      </c>
      <c r="D235" s="372"/>
      <c r="E235" s="372"/>
      <c r="F235" s="372"/>
      <c r="G235" s="372"/>
      <c r="H235" s="372"/>
      <c r="L235" s="372"/>
      <c r="M235" s="4619"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3264</v>
      </c>
      <c r="D236" s="372"/>
      <c r="L236" s="372"/>
      <c r="M236" s="4619"/>
      <c r="N236" s="48" t="s">
        <v>1843</v>
      </c>
      <c r="O236" s="176"/>
      <c r="P236" s="421"/>
      <c r="Q236" s="808"/>
      <c r="R236" s="1630"/>
      <c r="S236" s="1630"/>
      <c r="T236" s="1630"/>
      <c r="U236" s="1630"/>
      <c r="V236" s="1630"/>
    </row>
    <row r="237" spans="1:24" s="36" customFormat="1" ht="10.5" customHeight="1" thickBot="1">
      <c r="A237" s="35"/>
      <c r="B237" s="937" t="s">
        <v>3241</v>
      </c>
      <c r="C237" s="35"/>
      <c r="D237" s="41"/>
      <c r="E237" s="41"/>
      <c r="F237" s="41"/>
      <c r="G237" s="41"/>
      <c r="H237" s="29"/>
      <c r="I237" s="29"/>
      <c r="J237" s="29"/>
      <c r="K237" s="29"/>
      <c r="M237" s="39"/>
      <c r="N237" s="47"/>
      <c r="O237" s="3"/>
      <c r="P237" s="24"/>
      <c r="R237" s="1630"/>
      <c r="S237" s="1630"/>
      <c r="T237" s="1630"/>
      <c r="U237" s="1630"/>
      <c r="V237" s="1630"/>
    </row>
    <row r="238" spans="1:24" s="36" customFormat="1" ht="34.950000000000003" customHeight="1" thickTop="1" thickBot="1">
      <c r="A238" s="4552"/>
      <c r="B238" s="4553"/>
      <c r="C238" s="4553"/>
      <c r="D238" s="4553"/>
      <c r="E238" s="4553"/>
      <c r="F238" s="4553"/>
      <c r="G238" s="4553"/>
      <c r="H238" s="4553"/>
      <c r="I238" s="4553"/>
      <c r="J238" s="4553"/>
      <c r="K238" s="4553"/>
      <c r="L238" s="4553"/>
      <c r="M238" s="4553"/>
      <c r="N238" s="4553"/>
      <c r="O238" s="4553"/>
      <c r="P238" s="4554"/>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501"/>
      <c r="B240" s="4502"/>
      <c r="C240" s="4502"/>
      <c r="D240" s="4502"/>
      <c r="E240" s="4502"/>
      <c r="F240" s="4502"/>
      <c r="G240" s="4502"/>
      <c r="H240" s="4502"/>
      <c r="I240" s="4502"/>
      <c r="J240" s="4502"/>
      <c r="K240" s="4502"/>
      <c r="L240" s="4502"/>
      <c r="M240" s="4502"/>
      <c r="N240" s="4502"/>
      <c r="O240" s="4502"/>
      <c r="P240" s="4503"/>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4037</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4059</v>
      </c>
      <c r="S242" s="839"/>
      <c r="T242" s="839"/>
      <c r="U242" s="839"/>
      <c r="V242" s="839"/>
      <c r="W242" s="860"/>
      <c r="X242" s="860"/>
    </row>
    <row r="243" spans="1:27" s="79" customFormat="1" ht="10.199999999999999">
      <c r="A243" s="350"/>
      <c r="B243" s="108" t="s">
        <v>6257</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6258</v>
      </c>
      <c r="E244" s="33" t="s">
        <v>3310</v>
      </c>
      <c r="G244" s="1643"/>
      <c r="H244" s="48" t="s">
        <v>574</v>
      </c>
      <c r="I244" s="4746"/>
      <c r="J244" s="4746"/>
      <c r="L244" s="1662" t="s">
        <v>6260</v>
      </c>
      <c r="M244" s="4747"/>
      <c r="N244" s="4747"/>
    </row>
    <row r="245" spans="1:27" s="32" customFormat="1" ht="11.25" customHeight="1">
      <c r="A245" s="306"/>
      <c r="B245" s="350" t="s">
        <v>1846</v>
      </c>
      <c r="C245" s="29" t="s">
        <v>6259</v>
      </c>
      <c r="E245" s="33" t="s">
        <v>3310</v>
      </c>
      <c r="G245" s="1644"/>
      <c r="H245" s="48" t="s">
        <v>574</v>
      </c>
      <c r="I245" s="4620"/>
      <c r="J245" s="4620"/>
      <c r="L245" s="1662" t="s">
        <v>6260</v>
      </c>
      <c r="M245" s="4627"/>
      <c r="N245" s="4627"/>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552"/>
      <c r="B248" s="4553"/>
      <c r="C248" s="4553"/>
      <c r="D248" s="4553"/>
      <c r="E248" s="4553"/>
      <c r="F248" s="4553"/>
      <c r="G248" s="4553"/>
      <c r="H248" s="4553"/>
      <c r="I248" s="4553"/>
      <c r="J248" s="4553"/>
      <c r="K248" s="4553"/>
      <c r="L248" s="4553"/>
      <c r="M248" s="4553"/>
      <c r="N248" s="4553"/>
      <c r="O248" s="4553"/>
      <c r="P248" s="4554"/>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402"/>
      <c r="B250" s="4403"/>
      <c r="C250" s="4403"/>
      <c r="D250" s="4403"/>
      <c r="E250" s="4403"/>
      <c r="F250" s="4403"/>
      <c r="G250" s="4403"/>
      <c r="H250" s="4403"/>
      <c r="I250" s="4403"/>
      <c r="J250" s="4403"/>
      <c r="K250" s="4403"/>
      <c r="L250" s="4403"/>
      <c r="M250" s="4403"/>
      <c r="N250" s="4403"/>
      <c r="O250" s="4403"/>
      <c r="P250" s="4404"/>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3961</v>
      </c>
      <c r="D252" s="34"/>
      <c r="E252" s="44" t="s">
        <v>6266</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4059</v>
      </c>
      <c r="S252" s="1645"/>
      <c r="T252" s="1645"/>
      <c r="U252" s="1645"/>
      <c r="V252" s="1645"/>
      <c r="W252" s="860"/>
      <c r="X252" s="860"/>
    </row>
    <row r="253" spans="1:27" s="26" customFormat="1" ht="11.25" customHeight="1">
      <c r="A253" s="107" t="s">
        <v>1841</v>
      </c>
      <c r="B253" s="141" t="s">
        <v>6265</v>
      </c>
      <c r="M253" s="458">
        <v>5</v>
      </c>
      <c r="N253" s="48" t="s">
        <v>1841</v>
      </c>
      <c r="O253" s="1646"/>
      <c r="P253" s="901"/>
      <c r="Q253" s="798" t="str">
        <f>IF(OR($O253=$M253,$O253=$M253-1,$O253=0,$O253=""),"","*CHECK!*")</f>
        <v/>
      </c>
      <c r="R253" s="795" t="s">
        <v>4059</v>
      </c>
      <c r="S253" s="1645"/>
      <c r="T253" s="1645"/>
      <c r="U253" s="1645"/>
      <c r="V253" s="1645"/>
    </row>
    <row r="254" spans="1:27" s="26" customFormat="1" ht="11.25" customHeight="1">
      <c r="A254" s="107" t="s">
        <v>1843</v>
      </c>
      <c r="B254" s="141" t="s">
        <v>6267</v>
      </c>
      <c r="M254" s="458">
        <v>3</v>
      </c>
      <c r="N254" s="48" t="s">
        <v>1843</v>
      </c>
      <c r="O254" s="406"/>
      <c r="P254" s="414"/>
      <c r="Q254" s="798" t="str">
        <f>IF(OR($O254=$M254,$O254=$M254-1,$O254=0,$O254=""),"","*CHECK!*")</f>
        <v/>
      </c>
      <c r="R254" s="795" t="s">
        <v>4059</v>
      </c>
    </row>
    <row r="255" spans="1:27" ht="13.8">
      <c r="A255" s="107" t="s">
        <v>698</v>
      </c>
      <c r="B255" s="141" t="s">
        <v>6268</v>
      </c>
      <c r="E255" s="33" t="s">
        <v>6230</v>
      </c>
      <c r="I255" s="1322"/>
      <c r="L255" s="1604"/>
      <c r="M255" s="458">
        <v>3</v>
      </c>
      <c r="N255" s="48" t="s">
        <v>698</v>
      </c>
      <c r="O255" s="407"/>
      <c r="P255" s="415"/>
      <c r="Q255" s="798" t="str">
        <f>IF(OR($O255=$M255,$O255=$M255-1,$O255=0,$O255=""),"","*CHECK!*")</f>
        <v/>
      </c>
      <c r="R255" s="795" t="s">
        <v>4059</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552"/>
      <c r="B257" s="4553"/>
      <c r="C257" s="4553"/>
      <c r="D257" s="4553"/>
      <c r="E257" s="4553"/>
      <c r="F257" s="4553"/>
      <c r="G257" s="4553"/>
      <c r="H257" s="4553"/>
      <c r="I257" s="4553"/>
      <c r="J257" s="4553"/>
      <c r="K257" s="4553"/>
      <c r="L257" s="4553"/>
      <c r="M257" s="4553"/>
      <c r="N257" s="4553"/>
      <c r="O257" s="4553"/>
      <c r="P257" s="4554"/>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402"/>
      <c r="B259" s="4403"/>
      <c r="C259" s="4403"/>
      <c r="D259" s="4403"/>
      <c r="E259" s="4403"/>
      <c r="F259" s="4403"/>
      <c r="G259" s="4403"/>
      <c r="H259" s="4403"/>
      <c r="I259" s="4403"/>
      <c r="J259" s="4403"/>
      <c r="K259" s="4403"/>
      <c r="L259" s="4403"/>
      <c r="M259" s="4403"/>
      <c r="N259" s="4403"/>
      <c r="O259" s="4403"/>
      <c r="P259" s="4404"/>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4060</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6613</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6614</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6615</v>
      </c>
      <c r="D265" s="46"/>
      <c r="E265" s="46"/>
      <c r="F265" s="37"/>
      <c r="G265"/>
      <c r="K265" s="48"/>
      <c r="M265" s="458">
        <v>1</v>
      </c>
      <c r="N265" s="150" t="s">
        <v>2332</v>
      </c>
      <c r="O265" s="176"/>
      <c r="P265" s="421"/>
      <c r="R265" s="236"/>
      <c r="T265" s="845"/>
      <c r="U265" s="845"/>
    </row>
    <row r="266" spans="1:21" s="36" customFormat="1" ht="11.25" customHeight="1">
      <c r="A266" s="107" t="s">
        <v>1843</v>
      </c>
      <c r="B266" s="141" t="s">
        <v>3953</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91" t="s">
        <v>6616</v>
      </c>
      <c r="C267" s="4391"/>
      <c r="D267" s="4391"/>
      <c r="E267" s="4391"/>
      <c r="F267" s="4391"/>
      <c r="G267" s="4391"/>
      <c r="H267" s="4391"/>
      <c r="I267" s="4391"/>
      <c r="J267" s="4391"/>
      <c r="K267" s="4391"/>
      <c r="L267" s="4391"/>
      <c r="M267" s="5"/>
      <c r="N267" s="48"/>
      <c r="O267" s="938"/>
      <c r="P267" s="939"/>
      <c r="Q267" s="236"/>
      <c r="R267" s="307"/>
      <c r="T267" s="845"/>
      <c r="U267" s="845"/>
    </row>
    <row r="268" spans="1:21" s="36" customFormat="1" ht="11.25" customHeight="1">
      <c r="A268" s="107" t="s">
        <v>698</v>
      </c>
      <c r="B268" s="141" t="s">
        <v>3825</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34" t="s">
        <v>6617</v>
      </c>
      <c r="C269" s="4234"/>
      <c r="D269" s="4234"/>
      <c r="E269" s="4234"/>
      <c r="F269" s="4234"/>
      <c r="G269" s="4234"/>
      <c r="H269" s="4234"/>
      <c r="I269" s="4234"/>
      <c r="J269" s="4234"/>
      <c r="K269" s="4234"/>
      <c r="L269" s="4234"/>
      <c r="M269" s="5"/>
      <c r="N269" s="48"/>
      <c r="O269" s="896"/>
      <c r="P269" s="895"/>
      <c r="Q269" s="236"/>
      <c r="R269" s="307"/>
      <c r="T269" s="845"/>
      <c r="U269" s="845"/>
    </row>
    <row r="270" spans="1:21" s="36" customFormat="1" ht="22.5" customHeight="1">
      <c r="B270" s="4234" t="s">
        <v>6231</v>
      </c>
      <c r="C270" s="4234"/>
      <c r="D270" s="4234"/>
      <c r="E270" s="4234"/>
      <c r="F270" s="4234"/>
      <c r="G270" s="4234"/>
      <c r="H270" s="4234"/>
      <c r="I270" s="4234"/>
      <c r="J270" s="4234"/>
      <c r="K270" s="4234"/>
      <c r="L270" s="4234"/>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402"/>
      <c r="B272" s="4403"/>
      <c r="C272" s="4403"/>
      <c r="D272" s="4403"/>
      <c r="E272" s="4403"/>
      <c r="F272" s="4403"/>
      <c r="G272" s="4403"/>
      <c r="H272" s="4403"/>
      <c r="I272" s="4403"/>
      <c r="J272" s="4403"/>
      <c r="K272" s="4403"/>
      <c r="L272" s="4403"/>
      <c r="M272" s="4403"/>
      <c r="N272" s="4403"/>
      <c r="O272" s="4403"/>
      <c r="P272" s="4404"/>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6573</v>
      </c>
      <c r="D274" s="38"/>
      <c r="E274" s="38"/>
      <c r="G274" s="1625"/>
      <c r="H274" s="147"/>
      <c r="I274" s="1623" t="s">
        <v>6140</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6574</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6575</v>
      </c>
      <c r="D277" s="372"/>
      <c r="L277" s="372"/>
      <c r="M277" s="882">
        <v>2</v>
      </c>
      <c r="N277" s="48" t="s">
        <v>1843</v>
      </c>
      <c r="O277" s="176"/>
      <c r="P277" s="421"/>
      <c r="Q277" s="808">
        <f>IF(L277="Yes",1,0)</f>
        <v>0</v>
      </c>
      <c r="R277" s="1630"/>
      <c r="S277" s="1630"/>
      <c r="T277" s="1630"/>
      <c r="U277" s="1630"/>
      <c r="V277" s="1630"/>
    </row>
    <row r="278" spans="1:24" ht="11.25" customHeight="1">
      <c r="B278" s="241" t="s">
        <v>6683</v>
      </c>
      <c r="D278" s="372"/>
      <c r="L278" s="372"/>
      <c r="M278" s="882"/>
      <c r="N278" s="882"/>
      <c r="O278" s="882"/>
      <c r="P278" s="882"/>
      <c r="Q278" s="808"/>
      <c r="R278" s="1630"/>
      <c r="S278" s="1630"/>
      <c r="T278" s="1630"/>
      <c r="U278" s="1630"/>
      <c r="V278" s="1630"/>
    </row>
    <row r="279" spans="1:24" ht="38.25" customHeight="1">
      <c r="B279" s="4597"/>
      <c r="C279" s="4598"/>
      <c r="D279" s="4598"/>
      <c r="E279" s="4598"/>
      <c r="F279" s="4598"/>
      <c r="G279" s="4598"/>
      <c r="H279" s="4598"/>
      <c r="I279" s="4598"/>
      <c r="J279" s="4598"/>
      <c r="K279" s="4598"/>
      <c r="L279" s="4598"/>
      <c r="M279" s="4598"/>
      <c r="N279" s="4598"/>
      <c r="O279" s="4598"/>
      <c r="P279" s="4599"/>
      <c r="Q279" s="808"/>
      <c r="R279" s="1630"/>
      <c r="S279" s="1630"/>
      <c r="T279" s="1630"/>
      <c r="U279" s="1630"/>
      <c r="V279" s="1630"/>
    </row>
    <row r="280" spans="1:24" s="36" customFormat="1" ht="10.5" customHeight="1" thickBot="1">
      <c r="A280" s="35"/>
      <c r="B280" s="937" t="s">
        <v>3241</v>
      </c>
      <c r="C280" s="35"/>
      <c r="D280" s="41"/>
      <c r="E280" s="41"/>
      <c r="F280" s="41"/>
      <c r="G280" s="41"/>
      <c r="H280" s="29"/>
      <c r="I280" s="29"/>
      <c r="J280" s="29"/>
      <c r="K280" s="29"/>
      <c r="M280" s="39"/>
      <c r="N280" s="47"/>
      <c r="O280" s="3"/>
      <c r="P280" s="24"/>
      <c r="R280" s="1630"/>
      <c r="S280" s="1630"/>
      <c r="T280" s="1630"/>
      <c r="U280" s="1630"/>
      <c r="V280" s="1630"/>
    </row>
    <row r="281" spans="1:24" s="36" customFormat="1" ht="34.950000000000003" customHeight="1" thickTop="1" thickBot="1">
      <c r="A281" s="4552"/>
      <c r="B281" s="4553"/>
      <c r="C281" s="4553"/>
      <c r="D281" s="4553"/>
      <c r="E281" s="4553"/>
      <c r="F281" s="4553"/>
      <c r="G281" s="4553"/>
      <c r="H281" s="4553"/>
      <c r="I281" s="4553"/>
      <c r="J281" s="4553"/>
      <c r="K281" s="4553"/>
      <c r="L281" s="4553"/>
      <c r="M281" s="4553"/>
      <c r="N281" s="4553"/>
      <c r="O281" s="4553"/>
      <c r="P281" s="4554"/>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501"/>
      <c r="B283" s="4502"/>
      <c r="C283" s="4502"/>
      <c r="D283" s="4502"/>
      <c r="E283" s="4502"/>
      <c r="F283" s="4502"/>
      <c r="G283" s="4502"/>
      <c r="H283" s="4502"/>
      <c r="I283" s="4502"/>
      <c r="J283" s="4502"/>
      <c r="K283" s="4502"/>
      <c r="L283" s="4502"/>
      <c r="M283" s="4502"/>
      <c r="N283" s="4502"/>
      <c r="O283" s="4502"/>
      <c r="P283" s="4503"/>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6578</v>
      </c>
      <c r="D285" s="38"/>
      <c r="E285" s="38"/>
      <c r="G285" s="1625"/>
      <c r="H285" s="147"/>
      <c r="I285" s="147" t="s">
        <v>6702</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6696</v>
      </c>
      <c r="D286" s="38"/>
      <c r="E286" s="38"/>
      <c r="G286" s="147"/>
      <c r="J286" s="1316"/>
      <c r="M286" s="456"/>
      <c r="Q286" s="86"/>
      <c r="R286" s="1630"/>
      <c r="S286" s="1630"/>
      <c r="T286" s="1630"/>
      <c r="U286" s="1630"/>
      <c r="V286" s="1630"/>
      <c r="W286" s="36"/>
      <c r="X286" s="36"/>
    </row>
    <row r="287" spans="1:24" s="70" customFormat="1" ht="11.25" customHeight="1">
      <c r="A287" s="120"/>
      <c r="C287" s="29" t="s">
        <v>6693</v>
      </c>
      <c r="G287" s="147"/>
      <c r="I287" s="4582"/>
      <c r="J287" s="4583"/>
      <c r="K287" s="4584"/>
      <c r="L287" s="4585"/>
      <c r="M287" s="456"/>
      <c r="O287" s="1919"/>
      <c r="P287" s="1920"/>
      <c r="Q287" s="86"/>
      <c r="R287" s="1630"/>
      <c r="S287" s="1630"/>
      <c r="T287" s="1630"/>
      <c r="U287" s="1630"/>
      <c r="V287" s="1630"/>
      <c r="W287" s="36"/>
      <c r="X287" s="36"/>
    </row>
    <row r="288" spans="1:24" s="70" customFormat="1" ht="11.25" customHeight="1">
      <c r="A288" s="120"/>
      <c r="C288" s="29" t="s">
        <v>6692</v>
      </c>
      <c r="G288" s="147"/>
      <c r="I288" s="4586"/>
      <c r="J288" s="4587"/>
      <c r="M288" s="456"/>
      <c r="O288" s="1919"/>
      <c r="P288" s="1920"/>
      <c r="Q288" s="86"/>
      <c r="R288" s="1630"/>
      <c r="S288" s="1630"/>
      <c r="T288" s="1630"/>
      <c r="U288" s="1630"/>
      <c r="V288" s="1630"/>
      <c r="W288" s="36"/>
      <c r="X288" s="36"/>
    </row>
    <row r="289" spans="1:24" s="70" customFormat="1" ht="11.25" customHeight="1">
      <c r="A289" s="120"/>
      <c r="C289" s="29" t="s">
        <v>6694</v>
      </c>
      <c r="G289" s="147"/>
      <c r="I289" s="4588" t="s">
        <v>6695</v>
      </c>
      <c r="J289" s="4589"/>
      <c r="K289" s="4590"/>
      <c r="L289" s="4591"/>
      <c r="M289" s="456"/>
      <c r="O289" s="4592" t="s">
        <v>3149</v>
      </c>
      <c r="P289" s="4592" t="s">
        <v>3150</v>
      </c>
      <c r="Q289" s="86"/>
      <c r="R289" s="1630"/>
      <c r="S289" s="1630"/>
      <c r="T289" s="1630"/>
      <c r="U289" s="1630"/>
      <c r="V289" s="1630"/>
      <c r="W289" s="36"/>
      <c r="X289" s="36"/>
    </row>
    <row r="290" spans="1:24" s="36" customFormat="1" ht="11.25" customHeight="1">
      <c r="A290" s="120"/>
      <c r="B290" s="29" t="s">
        <v>6582</v>
      </c>
      <c r="D290" s="34"/>
      <c r="H290" s="141"/>
      <c r="M290" s="119"/>
      <c r="N290" s="48"/>
      <c r="O290" s="4593"/>
      <c r="P290" s="4593"/>
      <c r="Q290" s="86"/>
      <c r="R290" s="879"/>
      <c r="S290" s="879"/>
      <c r="T290" s="879"/>
      <c r="U290" s="879"/>
    </row>
    <row r="291" spans="1:24" s="36" customFormat="1" ht="11.25" customHeight="1">
      <c r="A291" s="1918"/>
      <c r="B291" s="128" t="s">
        <v>2240</v>
      </c>
      <c r="C291" s="29" t="s">
        <v>6581</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6701</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6583</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6579</v>
      </c>
      <c r="D295" s="372"/>
      <c r="E295" s="372"/>
      <c r="G295" s="372" t="s">
        <v>6587</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234" t="s">
        <v>6588</v>
      </c>
      <c r="D296" s="4234"/>
      <c r="E296" s="4234"/>
      <c r="F296" s="4234"/>
      <c r="G296" s="4234"/>
      <c r="H296" s="4234"/>
      <c r="I296" s="4234"/>
      <c r="J296" s="4234"/>
      <c r="K296" s="4234"/>
      <c r="L296" s="4234"/>
      <c r="M296" s="4234"/>
      <c r="N296" s="150" t="s">
        <v>1844</v>
      </c>
      <c r="O296" s="1287"/>
      <c r="P296" s="1288"/>
      <c r="Q296" s="331"/>
      <c r="R296" s="1840"/>
      <c r="S296" s="1840"/>
      <c r="T296" s="1840"/>
      <c r="U296" s="1840"/>
    </row>
    <row r="297" spans="1:24" s="332" customFormat="1" ht="21.75" customHeight="1" thickBot="1">
      <c r="A297" s="1608"/>
      <c r="B297" s="350" t="s">
        <v>1846</v>
      </c>
      <c r="C297" s="4234" t="s">
        <v>6589</v>
      </c>
      <c r="D297" s="4234"/>
      <c r="E297" s="4234"/>
      <c r="F297" s="4234"/>
      <c r="G297" s="4234"/>
      <c r="H297" s="4234"/>
      <c r="I297" s="4234"/>
      <c r="J297" s="4234"/>
      <c r="K297" s="4234"/>
      <c r="L297" s="4234"/>
      <c r="M297" s="4234"/>
      <c r="N297" s="150" t="s">
        <v>1846</v>
      </c>
      <c r="O297" s="896"/>
      <c r="P297" s="895"/>
      <c r="Q297" s="331"/>
      <c r="R297" s="1840"/>
      <c r="S297" s="1840"/>
      <c r="T297" s="1840"/>
      <c r="U297" s="1840"/>
    </row>
    <row r="298" spans="1:24" ht="11.25" customHeight="1" thickBot="1">
      <c r="A298" s="686" t="s">
        <v>1843</v>
      </c>
      <c r="B298" s="885" t="s">
        <v>6580</v>
      </c>
      <c r="D298" s="372"/>
      <c r="G298" s="44" t="s">
        <v>6590</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234" t="s">
        <v>6591</v>
      </c>
      <c r="D299" s="4234"/>
      <c r="E299" s="4234"/>
      <c r="F299" s="4234"/>
      <c r="G299" s="4234"/>
      <c r="H299" s="4234"/>
      <c r="I299" s="4234"/>
      <c r="J299" s="4234"/>
      <c r="K299" s="4234"/>
      <c r="L299" s="4234"/>
      <c r="M299" s="4234"/>
      <c r="N299" s="150" t="s">
        <v>1844</v>
      </c>
      <c r="O299" s="1287"/>
      <c r="P299" s="1288"/>
      <c r="Q299" s="331"/>
      <c r="R299" s="1840"/>
      <c r="S299" s="1840"/>
      <c r="T299" s="1840"/>
      <c r="U299" s="1840"/>
    </row>
    <row r="300" spans="1:24" s="332" customFormat="1" ht="10.5" customHeight="1">
      <c r="A300" s="1608"/>
      <c r="B300" s="350" t="s">
        <v>1846</v>
      </c>
      <c r="C300" s="4234" t="s">
        <v>6592</v>
      </c>
      <c r="D300" s="4234"/>
      <c r="E300" s="4234"/>
      <c r="F300" s="4234"/>
      <c r="G300" s="4234"/>
      <c r="H300" s="4234"/>
      <c r="I300" s="4234"/>
      <c r="J300" s="4234"/>
      <c r="K300" s="4234"/>
      <c r="L300" s="4234"/>
      <c r="M300" s="4234"/>
      <c r="N300" s="150" t="s">
        <v>1846</v>
      </c>
      <c r="O300" s="896"/>
      <c r="P300" s="895"/>
      <c r="Q300" s="331"/>
      <c r="R300" s="1840"/>
      <c r="S300" s="1840"/>
      <c r="T300" s="1840"/>
      <c r="U300" s="1840"/>
    </row>
    <row r="301" spans="1:24" s="332" customFormat="1" ht="10.5" customHeight="1">
      <c r="A301" s="1608"/>
      <c r="B301" s="350" t="s">
        <v>2332</v>
      </c>
      <c r="C301" s="685" t="s">
        <v>6697</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6593</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6594</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234" t="s">
        <v>6595</v>
      </c>
      <c r="D304" s="4234"/>
      <c r="E304" s="4234"/>
      <c r="F304" s="4234"/>
      <c r="G304" s="4234"/>
      <c r="H304" s="4234"/>
      <c r="I304" s="4234"/>
      <c r="J304" s="4234"/>
      <c r="K304" s="4234"/>
      <c r="L304" s="4234"/>
      <c r="M304" s="4234"/>
      <c r="N304" s="150" t="s">
        <v>1150</v>
      </c>
      <c r="O304" s="896"/>
      <c r="P304" s="895"/>
      <c r="Q304" s="331"/>
      <c r="R304" s="1840"/>
      <c r="S304" s="1840"/>
      <c r="T304" s="1840"/>
      <c r="U304" s="1840"/>
    </row>
    <row r="305" spans="1:22" s="36" customFormat="1" ht="10.5" customHeight="1" thickBot="1">
      <c r="A305" s="35"/>
      <c r="B305" s="937" t="s">
        <v>3241</v>
      </c>
      <c r="C305" s="35"/>
      <c r="D305" s="41"/>
      <c r="E305" s="41"/>
      <c r="F305" s="41"/>
      <c r="G305" s="41"/>
      <c r="H305" s="29"/>
      <c r="I305" s="29"/>
      <c r="J305" s="29"/>
      <c r="K305" s="29"/>
      <c r="M305" s="39"/>
      <c r="N305" s="47"/>
      <c r="O305" s="3"/>
      <c r="P305" s="24"/>
      <c r="R305" s="1630"/>
      <c r="S305" s="1630"/>
      <c r="T305" s="1630"/>
      <c r="U305" s="1630"/>
      <c r="V305" s="1630"/>
    </row>
    <row r="306" spans="1:22" s="36" customFormat="1" ht="34.950000000000003" customHeight="1" thickTop="1" thickBot="1">
      <c r="A306" s="4552"/>
      <c r="B306" s="4553"/>
      <c r="C306" s="4553"/>
      <c r="D306" s="4553"/>
      <c r="E306" s="4553"/>
      <c r="F306" s="4553"/>
      <c r="G306" s="4553"/>
      <c r="H306" s="4553"/>
      <c r="I306" s="4553"/>
      <c r="J306" s="4553"/>
      <c r="K306" s="4553"/>
      <c r="L306" s="4553"/>
      <c r="M306" s="4553"/>
      <c r="N306" s="4553"/>
      <c r="O306" s="4553"/>
      <c r="P306" s="4554"/>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501"/>
      <c r="B308" s="4502"/>
      <c r="C308" s="4502"/>
      <c r="D308" s="4502"/>
      <c r="E308" s="4502"/>
      <c r="F308" s="4502"/>
      <c r="G308" s="4502"/>
      <c r="H308" s="4502"/>
      <c r="I308" s="4502"/>
      <c r="J308" s="4502"/>
      <c r="K308" s="4502"/>
      <c r="L308" s="4502"/>
      <c r="M308" s="4502"/>
      <c r="N308" s="4502"/>
      <c r="O308" s="4502"/>
      <c r="P308" s="4503"/>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6584</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6585</v>
      </c>
      <c r="D311" s="372"/>
      <c r="E311" s="372" t="s">
        <v>6596</v>
      </c>
      <c r="F311" s="372"/>
      <c r="G311" s="372"/>
      <c r="H311" s="372"/>
      <c r="I311" s="4743"/>
      <c r="J311" s="4744"/>
      <c r="K311" s="4744"/>
      <c r="L311" s="4745"/>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6586</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3241</v>
      </c>
      <c r="C313" s="35"/>
      <c r="D313" s="41"/>
      <c r="E313" s="41"/>
      <c r="F313" s="41"/>
      <c r="G313" s="41"/>
      <c r="H313" s="29"/>
      <c r="I313" s="29"/>
      <c r="J313" s="29"/>
      <c r="K313" s="29"/>
      <c r="M313" s="39"/>
      <c r="N313" s="47"/>
      <c r="O313" s="3"/>
      <c r="P313" s="24"/>
      <c r="R313" s="1630"/>
      <c r="S313" s="1630"/>
      <c r="T313" s="1630"/>
      <c r="U313" s="1630"/>
      <c r="V313" s="1630"/>
    </row>
    <row r="314" spans="1:22" s="36" customFormat="1" ht="34.950000000000003" customHeight="1" thickTop="1" thickBot="1">
      <c r="A314" s="4552"/>
      <c r="B314" s="4553"/>
      <c r="C314" s="4553"/>
      <c r="D314" s="4553"/>
      <c r="E314" s="4553"/>
      <c r="F314" s="4553"/>
      <c r="G314" s="4553"/>
      <c r="H314" s="4553"/>
      <c r="I314" s="4553"/>
      <c r="J314" s="4553"/>
      <c r="K314" s="4553"/>
      <c r="L314" s="4553"/>
      <c r="M314" s="4553"/>
      <c r="N314" s="4553"/>
      <c r="O314" s="4553"/>
      <c r="P314" s="4554"/>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501"/>
      <c r="B316" s="4502"/>
      <c r="C316" s="4502"/>
      <c r="D316" s="4502"/>
      <c r="E316" s="4502"/>
      <c r="F316" s="4502"/>
      <c r="G316" s="4502"/>
      <c r="H316" s="4502"/>
      <c r="I316" s="4502"/>
      <c r="J316" s="4502"/>
      <c r="K316" s="4502"/>
      <c r="L316" s="4502"/>
      <c r="M316" s="4502"/>
      <c r="N316" s="4502"/>
      <c r="O316" s="4502"/>
      <c r="P316" s="4503"/>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3372</v>
      </c>
      <c r="B318" s="83" t="s">
        <v>3343</v>
      </c>
      <c r="C318" s="67"/>
      <c r="D318" s="44"/>
      <c r="E318" s="29"/>
      <c r="G318" s="44"/>
      <c r="I318" s="1623" t="s">
        <v>6249</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6232</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3344</v>
      </c>
      <c r="C320" s="67"/>
      <c r="D320" s="44"/>
      <c r="E320" s="29"/>
      <c r="G320" s="1446"/>
      <c r="I320" s="33" t="s">
        <v>4078</v>
      </c>
      <c r="K320" s="1605">
        <f>'Part VIII Scoring Criteria OLD'!P42</f>
        <v>0</v>
      </c>
      <c r="M320" s="458">
        <v>2</v>
      </c>
      <c r="N320" s="48" t="s">
        <v>1841</v>
      </c>
      <c r="P320" s="416"/>
      <c r="Q320" s="86"/>
      <c r="R320" s="867" t="s">
        <v>2459</v>
      </c>
    </row>
    <row r="321" spans="1:19" s="70" customFormat="1" ht="10.5" customHeight="1">
      <c r="A321" s="686"/>
      <c r="B321" s="306" t="s">
        <v>1844</v>
      </c>
      <c r="C321" s="29" t="s">
        <v>3840</v>
      </c>
      <c r="D321" s="26"/>
      <c r="N321" s="348" t="s">
        <v>3841</v>
      </c>
      <c r="O321" s="175"/>
      <c r="P321" s="419"/>
      <c r="R321" s="307"/>
    </row>
    <row r="322" spans="1:19" s="70" customFormat="1" ht="10.5" customHeight="1">
      <c r="A322" s="686"/>
      <c r="B322" s="306"/>
      <c r="C322" s="29" t="s">
        <v>6576</v>
      </c>
      <c r="D322" s="26"/>
      <c r="N322" s="348" t="s">
        <v>3842</v>
      </c>
      <c r="O322" s="299"/>
      <c r="P322" s="420"/>
      <c r="R322" s="307"/>
    </row>
    <row r="323" spans="1:19" s="70" customFormat="1" ht="10.5" customHeight="1">
      <c r="A323" s="686"/>
      <c r="B323" s="306" t="s">
        <v>1846</v>
      </c>
      <c r="C323" s="29" t="s">
        <v>3349</v>
      </c>
      <c r="D323" s="26"/>
      <c r="N323" s="348" t="s">
        <v>1846</v>
      </c>
      <c r="O323" s="299"/>
      <c r="P323" s="420"/>
      <c r="R323" s="307"/>
    </row>
    <row r="324" spans="1:19" s="70" customFormat="1" ht="10.5" customHeight="1">
      <c r="A324" s="686"/>
      <c r="B324" s="306" t="s">
        <v>2332</v>
      </c>
      <c r="C324" s="29" t="s">
        <v>3843</v>
      </c>
      <c r="D324" s="26"/>
      <c r="N324" s="348" t="s">
        <v>2332</v>
      </c>
      <c r="O324" s="299"/>
      <c r="P324" s="420"/>
      <c r="R324" s="307"/>
    </row>
    <row r="325" spans="1:19" s="70" customFormat="1" ht="10.5" customHeight="1">
      <c r="A325" s="935"/>
      <c r="B325" s="306" t="s">
        <v>1150</v>
      </c>
      <c r="C325" s="29" t="s">
        <v>3350</v>
      </c>
      <c r="D325" s="26"/>
      <c r="N325" s="348" t="s">
        <v>1150</v>
      </c>
      <c r="O325" s="176"/>
      <c r="P325" s="420"/>
      <c r="R325" s="307"/>
    </row>
    <row r="326" spans="1:19" s="36" customFormat="1" ht="12" customHeight="1">
      <c r="A326" s="686" t="s">
        <v>1843</v>
      </c>
      <c r="B326" s="141" t="s">
        <v>3345</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3840</v>
      </c>
      <c r="D327" s="29"/>
      <c r="E327" s="29"/>
      <c r="M327" s="119"/>
      <c r="N327" s="348" t="s">
        <v>3841</v>
      </c>
      <c r="O327" s="175"/>
      <c r="P327" s="419"/>
      <c r="Q327" s="86"/>
    </row>
    <row r="328" spans="1:19" s="70" customFormat="1" ht="10.5" customHeight="1">
      <c r="A328" s="107"/>
      <c r="B328" s="306"/>
      <c r="C328" s="29" t="s">
        <v>6577</v>
      </c>
      <c r="D328" s="26"/>
      <c r="N328" s="348" t="s">
        <v>3842</v>
      </c>
      <c r="O328" s="299"/>
      <c r="P328" s="420"/>
      <c r="R328" s="307"/>
    </row>
    <row r="329" spans="1:19" s="70" customFormat="1" ht="10.5" customHeight="1">
      <c r="A329" s="107"/>
      <c r="B329" s="306" t="s">
        <v>1846</v>
      </c>
      <c r="C329" s="29" t="s">
        <v>3361</v>
      </c>
      <c r="D329" s="26"/>
      <c r="N329" s="348" t="s">
        <v>1846</v>
      </c>
      <c r="O329" s="299"/>
      <c r="P329" s="420"/>
      <c r="R329" s="307"/>
    </row>
    <row r="330" spans="1:19" s="70" customFormat="1" ht="10.5" customHeight="1">
      <c r="B330" s="306" t="s">
        <v>2332</v>
      </c>
      <c r="C330" s="29" t="s">
        <v>3350</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402"/>
      <c r="B332" s="4403"/>
      <c r="C332" s="4403"/>
      <c r="D332" s="4403"/>
      <c r="E332" s="4403"/>
      <c r="F332" s="4403"/>
      <c r="G332" s="4403"/>
      <c r="H332" s="4403"/>
      <c r="I332" s="4403"/>
      <c r="J332" s="4403"/>
      <c r="K332" s="4403"/>
      <c r="L332" s="4403"/>
      <c r="M332" s="4403"/>
      <c r="N332" s="4403"/>
      <c r="O332" s="4403"/>
      <c r="P332" s="4404"/>
      <c r="Q332" s="354"/>
    </row>
    <row r="333" spans="1:19" ht="2.25" customHeight="1" thickBot="1"/>
    <row r="334" spans="1:19" s="36" customFormat="1" ht="13.5" customHeight="1" thickBot="1">
      <c r="A334" s="121" t="s">
        <v>3373</v>
      </c>
      <c r="B334" s="83" t="s">
        <v>1555</v>
      </c>
      <c r="D334" s="67"/>
      <c r="E334" s="67"/>
      <c r="G334" s="29"/>
      <c r="M334" s="119">
        <v>2</v>
      </c>
      <c r="N334" s="321"/>
      <c r="O334" s="899"/>
      <c r="P334" s="883"/>
      <c r="Q334" s="86" t="s">
        <v>416</v>
      </c>
      <c r="R334" s="1647" t="s">
        <v>4059</v>
      </c>
      <c r="S334" s="1647"/>
    </row>
    <row r="335" spans="1:19" s="36" customFormat="1" ht="11.25" customHeight="1">
      <c r="A335" s="107"/>
      <c r="B335" s="89" t="s">
        <v>3153</v>
      </c>
      <c r="D335" s="67"/>
      <c r="E335" s="67"/>
      <c r="G335" s="29"/>
      <c r="I335" s="3555" t="s">
        <v>6060</v>
      </c>
      <c r="J335" s="3556"/>
      <c r="K335" s="3556"/>
      <c r="L335" s="3557"/>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0.95" customHeight="1" thickTop="1" thickBot="1">
      <c r="A338" s="4552"/>
      <c r="B338" s="4553"/>
      <c r="C338" s="4553"/>
      <c r="D338" s="4553"/>
      <c r="E338" s="4553"/>
      <c r="F338" s="4553"/>
      <c r="G338" s="4553"/>
      <c r="H338" s="4553"/>
      <c r="I338" s="4553"/>
      <c r="J338" s="4553"/>
      <c r="K338" s="4553"/>
      <c r="L338" s="4553"/>
      <c r="M338" s="4553"/>
      <c r="N338" s="4553"/>
      <c r="O338" s="4553"/>
      <c r="P338" s="4554"/>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402"/>
      <c r="B340" s="4403"/>
      <c r="C340" s="4403"/>
      <c r="D340" s="4403"/>
      <c r="E340" s="4403"/>
      <c r="F340" s="4403"/>
      <c r="G340" s="4403"/>
      <c r="H340" s="4403"/>
      <c r="I340" s="4403"/>
      <c r="J340" s="4403"/>
      <c r="K340" s="4403"/>
      <c r="L340" s="4403"/>
      <c r="M340" s="4403"/>
      <c r="N340" s="4403"/>
      <c r="O340" s="4403"/>
      <c r="P340" s="4404"/>
      <c r="Q340" s="354"/>
    </row>
    <row r="341" spans="1:20" ht="3" customHeight="1" thickBot="1"/>
    <row r="342" spans="1:20" s="36" customFormat="1" ht="13.5" customHeight="1" thickBot="1">
      <c r="A342" s="120" t="s">
        <v>3376</v>
      </c>
      <c r="B342" s="83" t="s">
        <v>3347</v>
      </c>
      <c r="D342" s="67"/>
      <c r="E342" s="67"/>
      <c r="F342" s="29"/>
      <c r="G342" s="29"/>
      <c r="H342" s="29"/>
      <c r="J342" s="1967" t="s">
        <v>6139</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6598</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618" t="str">
        <f>IF(OR(O344="No",O344="",O345="No",O345="",O346="No",O346="",O347="No",O347=""),"Unmet criterion results in no points!","")</f>
        <v>Unmet criterion results in no points!</v>
      </c>
      <c r="M344" s="4618"/>
      <c r="N344" s="49" t="s">
        <v>2240</v>
      </c>
      <c r="O344" s="175"/>
      <c r="P344" s="419"/>
      <c r="R344" s="4614" t="str">
        <f>IF(OR(P344="No",P344="",P345="No",P345="",P346="No",P346="",P347="No",P347=""),"Unmet criterion results in no points!","")</f>
        <v>Unmet criterion results in no points!</v>
      </c>
      <c r="S344" s="4614" t="e">
        <f>IF(OR(V344="No",V344="",V345="No",V345="",V346="No",V346="",V347="No",V347="",#REF!="No",#REF!="",#REF!="No",#REF!=""),"Unmet criterion results in no points!","")</f>
        <v>#REF!</v>
      </c>
    </row>
    <row r="345" spans="1:20" s="79" customFormat="1" ht="12.75" customHeight="1">
      <c r="B345" s="49" t="s">
        <v>2241</v>
      </c>
      <c r="C345" s="29" t="s">
        <v>3275</v>
      </c>
      <c r="L345" s="4618"/>
      <c r="M345" s="4618"/>
      <c r="N345" s="49" t="s">
        <v>2241</v>
      </c>
      <c r="O345" s="299"/>
      <c r="P345" s="420"/>
      <c r="R345" s="4614"/>
      <c r="S345" s="4614"/>
    </row>
    <row r="346" spans="1:20" s="79" customFormat="1" ht="12.75" customHeight="1">
      <c r="B346" s="49" t="s">
        <v>2242</v>
      </c>
      <c r="C346" s="29" t="s">
        <v>3274</v>
      </c>
      <c r="L346" s="4618"/>
      <c r="M346" s="4618"/>
      <c r="N346" s="49" t="s">
        <v>2242</v>
      </c>
      <c r="O346" s="299"/>
      <c r="P346" s="420"/>
      <c r="R346" s="4614"/>
      <c r="S346" s="4614"/>
    </row>
    <row r="347" spans="1:20" s="79" customFormat="1" ht="33.75" customHeight="1">
      <c r="B347" s="117" t="s">
        <v>2243</v>
      </c>
      <c r="C347" s="4234" t="s">
        <v>6597</v>
      </c>
      <c r="D347" s="4234"/>
      <c r="E347" s="4234"/>
      <c r="F347" s="4234"/>
      <c r="G347" s="4234"/>
      <c r="H347" s="4234"/>
      <c r="I347" s="4234"/>
      <c r="J347" s="4234"/>
      <c r="K347" s="4234"/>
      <c r="L347" s="4234"/>
      <c r="M347" s="4234"/>
      <c r="N347" s="117" t="s">
        <v>2243</v>
      </c>
      <c r="O347" s="896"/>
      <c r="P347" s="895"/>
    </row>
    <row r="348" spans="1:20" ht="3" customHeight="1" thickBot="1">
      <c r="C348" s="4234"/>
      <c r="D348" s="4234"/>
      <c r="E348" s="4234"/>
      <c r="F348" s="4234"/>
      <c r="G348" s="4234"/>
      <c r="H348" s="4234"/>
      <c r="I348" s="4234"/>
      <c r="J348" s="4234"/>
      <c r="K348" s="4234"/>
      <c r="L348" s="4234"/>
      <c r="M348" s="4234"/>
    </row>
    <row r="349" spans="1:20" ht="12.75" customHeight="1" thickBot="1">
      <c r="A349" s="806" t="s">
        <v>1841</v>
      </c>
      <c r="B349" s="141" t="s">
        <v>3348</v>
      </c>
      <c r="L349" s="307" t="str">
        <f>IF(O349&lt;=M349,"","* * Check Score! * *")</f>
        <v/>
      </c>
      <c r="M349" s="458">
        <v>3</v>
      </c>
      <c r="N349" s="48" t="s">
        <v>1841</v>
      </c>
      <c r="O349" s="1626"/>
      <c r="P349" s="1627"/>
      <c r="Q349" s="798" t="str">
        <f>IF(O349&lt;=M349,"","*CHECK!*")</f>
        <v/>
      </c>
      <c r="R349" s="393" t="s">
        <v>4059</v>
      </c>
      <c r="S349" s="393"/>
      <c r="T349" s="1426"/>
    </row>
    <row r="350" spans="1:20" ht="12.75" customHeight="1">
      <c r="A350" s="806"/>
      <c r="B350" s="685" t="s">
        <v>6715</v>
      </c>
      <c r="C350" s="108"/>
      <c r="D350" s="108"/>
      <c r="E350" s="108"/>
      <c r="F350" s="108"/>
      <c r="G350" s="108"/>
      <c r="H350" s="108"/>
      <c r="I350" s="108"/>
      <c r="N350"/>
      <c r="O350" s="1400"/>
      <c r="P350" s="1399"/>
      <c r="R350" s="393"/>
      <c r="S350" s="393"/>
      <c r="T350" s="1426"/>
    </row>
    <row r="351" spans="1:20" ht="12.75" customHeight="1">
      <c r="A351" s="806"/>
      <c r="B351" s="1939" t="s">
        <v>6714</v>
      </c>
      <c r="C351" s="108"/>
      <c r="D351" s="108"/>
      <c r="E351" s="108"/>
      <c r="F351" s="108"/>
      <c r="G351" s="108"/>
      <c r="H351" s="108"/>
      <c r="I351" s="108"/>
      <c r="J351" s="4611" t="s">
        <v>1848</v>
      </c>
      <c r="K351" s="4611"/>
      <c r="M351" s="4611" t="s">
        <v>1848</v>
      </c>
      <c r="N351" s="4611"/>
      <c r="O351" s="4611"/>
      <c r="P351" s="4611"/>
      <c r="R351" s="1836"/>
      <c r="S351" s="1836"/>
      <c r="T351" s="1426"/>
    </row>
    <row r="352" spans="1:20" s="36" customFormat="1" ht="12.75" customHeight="1">
      <c r="A352" s="151"/>
      <c r="B352" s="150" t="s">
        <v>6599</v>
      </c>
      <c r="C352" s="29" t="s">
        <v>1388</v>
      </c>
      <c r="I352" s="49" t="s">
        <v>2240</v>
      </c>
      <c r="J352" s="4702"/>
      <c r="K352" s="4703"/>
      <c r="L352" s="49" t="s">
        <v>2240</v>
      </c>
      <c r="M352" s="4568"/>
      <c r="N352" s="4569"/>
      <c r="O352" s="4569"/>
      <c r="P352" s="4570"/>
      <c r="R352" s="307"/>
    </row>
    <row r="353" spans="1:18" ht="12.75" customHeight="1">
      <c r="A353" s="152"/>
      <c r="B353" s="117" t="s">
        <v>2241</v>
      </c>
      <c r="C353" s="29" t="s">
        <v>3155</v>
      </c>
      <c r="I353" s="117" t="s">
        <v>2241</v>
      </c>
      <c r="J353" s="4563"/>
      <c r="K353" s="4564"/>
      <c r="L353" s="117" t="s">
        <v>2241</v>
      </c>
      <c r="M353" s="4565"/>
      <c r="N353" s="4566"/>
      <c r="O353" s="4566"/>
      <c r="P353" s="4567"/>
      <c r="R353" s="307"/>
    </row>
    <row r="354" spans="1:18" ht="12.75" customHeight="1">
      <c r="B354" s="49" t="s">
        <v>2242</v>
      </c>
      <c r="C354" s="29" t="s">
        <v>3954</v>
      </c>
      <c r="I354" s="49" t="s">
        <v>2242</v>
      </c>
      <c r="J354" s="4563"/>
      <c r="K354" s="4564"/>
      <c r="L354" s="49" t="s">
        <v>2242</v>
      </c>
      <c r="M354" s="4565"/>
      <c r="N354" s="4566"/>
      <c r="O354" s="4566"/>
      <c r="P354" s="4567"/>
      <c r="R354" s="307"/>
    </row>
    <row r="355" spans="1:18" ht="12.75" customHeight="1">
      <c r="A355" s="152"/>
      <c r="B355" s="49" t="s">
        <v>2243</v>
      </c>
      <c r="C355" s="29" t="s">
        <v>3071</v>
      </c>
      <c r="I355" s="49" t="s">
        <v>2243</v>
      </c>
      <c r="J355" s="4563"/>
      <c r="K355" s="4564"/>
      <c r="L355" s="49" t="s">
        <v>2243</v>
      </c>
      <c r="M355" s="4565"/>
      <c r="N355" s="4566"/>
      <c r="O355" s="4566"/>
      <c r="P355" s="4567"/>
      <c r="R355" s="307"/>
    </row>
    <row r="356" spans="1:18" s="36" customFormat="1" ht="12.75" customHeight="1">
      <c r="A356" s="151"/>
      <c r="B356" s="117" t="s">
        <v>2244</v>
      </c>
      <c r="C356" s="29" t="s">
        <v>2473</v>
      </c>
      <c r="I356" s="117" t="s">
        <v>2244</v>
      </c>
      <c r="J356" s="4563"/>
      <c r="K356" s="4564"/>
      <c r="L356" s="117" t="s">
        <v>2244</v>
      </c>
      <c r="M356" s="4565"/>
      <c r="N356" s="4566"/>
      <c r="O356" s="4566"/>
      <c r="P356" s="4567"/>
      <c r="R356" s="307"/>
    </row>
    <row r="357" spans="1:18" ht="12.75" customHeight="1">
      <c r="B357" s="49" t="s">
        <v>2260</v>
      </c>
      <c r="C357" s="29" t="s">
        <v>1387</v>
      </c>
      <c r="I357" s="49" t="s">
        <v>2260</v>
      </c>
      <c r="J357" s="4563"/>
      <c r="K357" s="4564"/>
      <c r="L357" s="49" t="s">
        <v>2260</v>
      </c>
      <c r="M357" s="4565"/>
      <c r="N357" s="4566"/>
      <c r="O357" s="4566"/>
      <c r="P357" s="4567"/>
      <c r="R357" s="307"/>
    </row>
    <row r="358" spans="1:18" ht="12.75" customHeight="1">
      <c r="B358" s="49" t="s">
        <v>2261</v>
      </c>
      <c r="C358" s="29" t="s">
        <v>6233</v>
      </c>
      <c r="I358" s="49" t="s">
        <v>2261</v>
      </c>
      <c r="J358" s="4563"/>
      <c r="K358" s="4564"/>
      <c r="L358" s="49" t="s">
        <v>2261</v>
      </c>
      <c r="M358" s="1601"/>
      <c r="N358" s="1602"/>
      <c r="O358" s="1602"/>
      <c r="P358" s="1603"/>
      <c r="R358" s="307"/>
    </row>
    <row r="359" spans="1:18" ht="12.75" customHeight="1">
      <c r="A359" s="152"/>
      <c r="B359" s="48" t="s">
        <v>2262</v>
      </c>
      <c r="C359" s="29" t="s">
        <v>3154</v>
      </c>
      <c r="I359" s="48" t="s">
        <v>2262</v>
      </c>
      <c r="J359" s="4563"/>
      <c r="K359" s="4564"/>
      <c r="L359" s="48" t="s">
        <v>2262</v>
      </c>
      <c r="M359" s="4565"/>
      <c r="N359" s="4566"/>
      <c r="O359" s="4566"/>
      <c r="P359" s="4567"/>
      <c r="R359" s="307"/>
    </row>
    <row r="360" spans="1:18" ht="12.75" customHeight="1">
      <c r="B360" s="48" t="s">
        <v>2263</v>
      </c>
      <c r="C360" s="29" t="s">
        <v>6600</v>
      </c>
      <c r="I360" s="48" t="s">
        <v>2263</v>
      </c>
      <c r="J360" s="4563"/>
      <c r="K360" s="4564"/>
      <c r="L360" s="48" t="s">
        <v>2263</v>
      </c>
      <c r="M360" s="4565"/>
      <c r="N360" s="4566"/>
      <c r="O360" s="4566"/>
      <c r="P360" s="4567"/>
      <c r="R360" s="307"/>
    </row>
    <row r="361" spans="1:18" ht="12.75" customHeight="1">
      <c r="B361" s="48" t="s">
        <v>3156</v>
      </c>
      <c r="C361" s="29" t="s">
        <v>3826</v>
      </c>
      <c r="I361" s="48" t="s">
        <v>3156</v>
      </c>
      <c r="J361" s="4563"/>
      <c r="K361" s="4564"/>
      <c r="L361" s="48" t="s">
        <v>3156</v>
      </c>
      <c r="M361" s="4565"/>
      <c r="N361" s="4566"/>
      <c r="O361" s="4566"/>
      <c r="P361" s="4567"/>
      <c r="R361" s="307"/>
    </row>
    <row r="362" spans="1:18" ht="12.75" customHeight="1" thickBot="1">
      <c r="B362" s="48" t="s">
        <v>6234</v>
      </c>
      <c r="C362" s="29" t="s">
        <v>6235</v>
      </c>
      <c r="I362" s="48" t="s">
        <v>6234</v>
      </c>
      <c r="J362" s="4563"/>
      <c r="K362" s="4564"/>
      <c r="L362" s="48" t="s">
        <v>6234</v>
      </c>
      <c r="M362" s="4604"/>
      <c r="N362" s="4605"/>
      <c r="O362" s="4605"/>
      <c r="P362" s="4606"/>
      <c r="R362" s="307"/>
    </row>
    <row r="363" spans="1:18" ht="12.75" customHeight="1" thickBot="1">
      <c r="B363" s="919" t="s">
        <v>6601</v>
      </c>
      <c r="H363" s="89" t="s">
        <v>2413</v>
      </c>
      <c r="J363" s="4698">
        <f>SUM(J352:K362)</f>
        <v>0</v>
      </c>
      <c r="K363" s="4699"/>
      <c r="M363" s="4698">
        <f>SUM($M352:$M362)</f>
        <v>0</v>
      </c>
      <c r="N363" s="4701"/>
      <c r="O363" s="4701"/>
      <c r="P363" s="4699"/>
      <c r="R363" s="307"/>
    </row>
    <row r="364" spans="1:18" ht="6" customHeight="1">
      <c r="M364" s="393"/>
      <c r="N364" s="393"/>
      <c r="O364" s="115"/>
      <c r="P364" s="393"/>
    </row>
    <row r="365" spans="1:18" s="36" customFormat="1" ht="12" customHeight="1">
      <c r="A365" s="35"/>
      <c r="B365" s="1193" t="s">
        <v>1846</v>
      </c>
      <c r="C365" s="400" t="s">
        <v>2412</v>
      </c>
      <c r="D365" s="230"/>
      <c r="E365" s="230"/>
      <c r="F365" s="33" t="s">
        <v>6236</v>
      </c>
      <c r="H365"/>
      <c r="I365"/>
      <c r="J365" s="4580">
        <f>'Part V-Revenues &amp; Expenses'!$P$67</f>
        <v>40</v>
      </c>
      <c r="K365" s="4581"/>
      <c r="L365" s="430"/>
      <c r="M365" s="393"/>
      <c r="N365" s="393"/>
      <c r="O365" s="881"/>
      <c r="P365" s="393"/>
    </row>
    <row r="366" spans="1:18" ht="13.5" customHeight="1">
      <c r="C366" s="230"/>
      <c r="D366" s="230"/>
      <c r="E366" s="230"/>
      <c r="F366" s="349" t="s">
        <v>6237</v>
      </c>
      <c r="J366" s="4578">
        <f>IF(J365=0,0,J363/J365)</f>
        <v>0</v>
      </c>
      <c r="K366" s="4579"/>
      <c r="M366" s="4704">
        <f>IF($J365=0,0,$M363/$J365)</f>
        <v>0</v>
      </c>
      <c r="N366" s="4705"/>
      <c r="O366" s="4705"/>
      <c r="P366" s="4706"/>
    </row>
    <row r="367" spans="1:18" s="36" customFormat="1" ht="12.75" customHeight="1">
      <c r="C367" s="230"/>
      <c r="D367" s="230"/>
      <c r="E367" s="230"/>
      <c r="F367" s="44" t="s">
        <v>6238</v>
      </c>
      <c r="I367"/>
      <c r="J367" s="4575">
        <f>IF(L344="", IF($J366&gt;=30000, 3,IF($J366&gt;=20000, 2,IF($J366&gt;=10000,1,0))),0)</f>
        <v>0</v>
      </c>
      <c r="K367" s="4577"/>
      <c r="L367" s="398"/>
      <c r="M367" s="4575">
        <f>IF(R344="", IF($M366&gt;=30000, 3,IF($M366&gt;=20000, 2,IF($M366&gt;=10000,1,0))),0)</f>
        <v>0</v>
      </c>
      <c r="N367" s="4576"/>
      <c r="O367" s="4576"/>
      <c r="P367" s="4577"/>
    </row>
    <row r="368" spans="1:18" ht="9" customHeight="1" thickBot="1"/>
    <row r="369" spans="1:22" s="70" customFormat="1" ht="12.75" customHeight="1" thickBot="1">
      <c r="A369" s="686" t="s">
        <v>1843</v>
      </c>
      <c r="B369" s="153" t="s">
        <v>3157</v>
      </c>
      <c r="D369" s="32"/>
      <c r="E369" s="29"/>
      <c r="F369" s="119"/>
      <c r="H369" s="29"/>
      <c r="I369" s="119"/>
      <c r="J369" s="33"/>
      <c r="K369" s="33"/>
      <c r="L369" s="307" t="str">
        <f>IF(OR($O369=$M369,$O369=0,$O369=""),"","* * Check Score! * *")</f>
        <v/>
      </c>
      <c r="M369" s="458">
        <v>1</v>
      </c>
      <c r="N369" s="48" t="s">
        <v>1843</v>
      </c>
      <c r="O369" s="899"/>
      <c r="P369" s="883"/>
      <c r="Q369" s="795" t="s">
        <v>4059</v>
      </c>
      <c r="V369" s="845"/>
    </row>
    <row r="370" spans="1:22" s="36" customFormat="1" ht="22.5" customHeight="1">
      <c r="A370" s="107"/>
      <c r="B370" s="350" t="s">
        <v>1844</v>
      </c>
      <c r="C370" s="4234" t="s">
        <v>6602</v>
      </c>
      <c r="D370" s="4234"/>
      <c r="E370" s="4234"/>
      <c r="F370" s="4234"/>
      <c r="G370" s="4234"/>
      <c r="H370" s="4234"/>
      <c r="I370" s="4234"/>
      <c r="J370" s="4234"/>
      <c r="K370" s="4234"/>
      <c r="L370" s="4234"/>
      <c r="M370" s="4234"/>
      <c r="N370" s="374" t="s">
        <v>1844</v>
      </c>
      <c r="O370" s="838"/>
      <c r="P370" s="1590"/>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3827</v>
      </c>
      <c r="N372" s="348" t="s">
        <v>2332</v>
      </c>
      <c r="O372" s="176"/>
      <c r="P372" s="421"/>
    </row>
    <row r="373" spans="1:22" ht="12" customHeight="1" thickBot="1">
      <c r="B373" s="937" t="s">
        <v>3241</v>
      </c>
    </row>
    <row r="374" spans="1:22" s="36" customFormat="1" ht="21.75" customHeight="1" thickTop="1" thickBot="1">
      <c r="A374" s="4552"/>
      <c r="B374" s="4553"/>
      <c r="C374" s="4553"/>
      <c r="D374" s="4553"/>
      <c r="E374" s="4553"/>
      <c r="F374" s="4553"/>
      <c r="G374" s="4553"/>
      <c r="H374" s="4553"/>
      <c r="I374" s="4553"/>
      <c r="J374" s="4553"/>
      <c r="K374" s="4553"/>
      <c r="L374" s="4553"/>
      <c r="M374" s="4553"/>
      <c r="N374" s="4553"/>
      <c r="O374" s="4553"/>
      <c r="P374" s="4554"/>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402"/>
      <c r="B376" s="4403"/>
      <c r="C376" s="4403"/>
      <c r="D376" s="4403"/>
      <c r="E376" s="4403"/>
      <c r="F376" s="4403"/>
      <c r="G376" s="4403"/>
      <c r="H376" s="4403"/>
      <c r="I376" s="4403"/>
      <c r="J376" s="4403"/>
      <c r="K376" s="4403"/>
      <c r="L376" s="4403"/>
      <c r="M376" s="4403"/>
      <c r="N376" s="4403"/>
      <c r="O376" s="4403"/>
      <c r="P376" s="4404"/>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3377</v>
      </c>
      <c r="B378" s="83" t="s">
        <v>2469</v>
      </c>
      <c r="D378" s="33"/>
      <c r="G378" s="46" t="s">
        <v>6085</v>
      </c>
      <c r="I378" s="1548" t="s">
        <v>6249</v>
      </c>
      <c r="J378" s="1547" t="str">
        <f>IF(OR($M$34="9% Credit Competitive Round only", $M$34="9% Credit &amp; HOME"),"9%",IF(OR($M$34="4% Credit/TE Bond", $M$34="4% Credit/TE Bond &amp; HOME", $M$34="4% Credit/TE Bond &amp; HOME NOFA", $M$34="4% Credit &amp; NHTF", $M$34="4% Credit &amp; NHTF &amp; HOME"),"4%",""))</f>
        <v>4%</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55" t="s">
        <v>3886</v>
      </c>
      <c r="E380" s="3556"/>
      <c r="F380" s="3556"/>
      <c r="G380" s="3556"/>
      <c r="H380" s="3556"/>
      <c r="I380" s="3557"/>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3955</v>
      </c>
      <c r="C382" s="108"/>
      <c r="D382" s="108"/>
      <c r="E382" s="108"/>
      <c r="F382" s="108"/>
      <c r="G382" s="108"/>
      <c r="H382" s="108"/>
      <c r="I382" s="108"/>
      <c r="M382" s="1848">
        <v>2</v>
      </c>
      <c r="N382" s="128" t="s">
        <v>1841</v>
      </c>
      <c r="O382" s="459"/>
      <c r="P382" s="1078"/>
      <c r="Q382" s="798" t="str">
        <f>IF(OR($O382=$M382,$O382=0,$O382=""),"","*CHECK!*")</f>
        <v/>
      </c>
      <c r="R382" s="795" t="s">
        <v>4059</v>
      </c>
    </row>
    <row r="383" spans="1:22" s="332" customFormat="1" ht="12" customHeight="1">
      <c r="A383" s="331"/>
      <c r="B383" s="4391" t="s">
        <v>6603</v>
      </c>
      <c r="C383" s="4391"/>
      <c r="D383" s="4391"/>
      <c r="E383" s="4391"/>
      <c r="F383" s="4391"/>
      <c r="G383" s="4391"/>
      <c r="H383" s="4391"/>
      <c r="I383" s="4391"/>
      <c r="J383" s="4391"/>
      <c r="K383" s="4391"/>
      <c r="L383" s="4391"/>
      <c r="M383" s="4603" t="s">
        <v>3887</v>
      </c>
      <c r="N383" s="4603"/>
      <c r="Q383" s="147"/>
    </row>
    <row r="384" spans="1:22" s="332" customFormat="1" ht="12" customHeight="1">
      <c r="B384" s="4391"/>
      <c r="C384" s="4391"/>
      <c r="D384" s="4391"/>
      <c r="E384" s="4391"/>
      <c r="F384" s="4391"/>
      <c r="G384" s="4391"/>
      <c r="H384" s="4391"/>
      <c r="I384" s="4391"/>
      <c r="J384" s="4391"/>
      <c r="K384" s="4391"/>
      <c r="L384" s="4391"/>
      <c r="M384" s="4603"/>
      <c r="N384" s="4603"/>
      <c r="O384" s="4609">
        <f>'Part V-Revenues &amp; Expenses'!$P$123</f>
        <v>0</v>
      </c>
      <c r="P384" s="4610"/>
      <c r="Q384" s="147"/>
    </row>
    <row r="385" spans="1:19" s="332" customFormat="1" ht="12" customHeight="1">
      <c r="B385" s="4391"/>
      <c r="C385" s="4391"/>
      <c r="D385" s="4391"/>
      <c r="E385" s="4391"/>
      <c r="F385" s="4391"/>
      <c r="G385" s="4391"/>
      <c r="H385" s="4391"/>
      <c r="I385" s="4391"/>
      <c r="J385" s="4391"/>
      <c r="K385" s="4391"/>
      <c r="L385" s="4391"/>
      <c r="M385" s="241" t="s">
        <v>2517</v>
      </c>
      <c r="N385" s="333"/>
      <c r="O385" s="4607">
        <f>'Part V-Revenues &amp; Expenses'!$P$67</f>
        <v>40</v>
      </c>
      <c r="P385" s="4608"/>
      <c r="Q385" s="147"/>
    </row>
    <row r="386" spans="1:19" s="332" customFormat="1" ht="12" customHeight="1">
      <c r="B386" s="4600"/>
      <c r="C386" s="4600"/>
      <c r="D386" s="4600"/>
      <c r="E386" s="4600"/>
      <c r="F386" s="4600"/>
      <c r="G386" s="4600"/>
      <c r="H386" s="4600"/>
      <c r="I386" s="4600"/>
      <c r="J386" s="4600"/>
      <c r="K386" s="4600"/>
      <c r="L386" s="4600"/>
      <c r="M386" s="1194" t="s">
        <v>2518</v>
      </c>
      <c r="N386" s="333"/>
      <c r="O386" s="4601">
        <f>IF(O385=0,0,O384/O385)</f>
        <v>0</v>
      </c>
      <c r="P386" s="4602"/>
      <c r="Q386" s="147"/>
    </row>
    <row r="387" spans="1:19" s="36" customFormat="1" ht="105.75" customHeight="1">
      <c r="A387" s="411"/>
      <c r="B387" s="4380" t="s">
        <v>3415</v>
      </c>
      <c r="C387" s="4381"/>
      <c r="D387" s="4381"/>
      <c r="E387" s="4381"/>
      <c r="F387" s="4381"/>
      <c r="G387" s="4381"/>
      <c r="H387" s="4381"/>
      <c r="I387" s="4381"/>
      <c r="J387" s="4381"/>
      <c r="K387" s="4381"/>
      <c r="L387" s="4381"/>
      <c r="M387" s="4381"/>
      <c r="N387" s="4381"/>
      <c r="O387" s="4381"/>
      <c r="P387" s="4382"/>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3414</v>
      </c>
      <c r="B389" s="100" t="s">
        <v>3956</v>
      </c>
      <c r="C389" s="108"/>
      <c r="H389" s="108"/>
      <c r="M389" s="333">
        <v>2</v>
      </c>
      <c r="N389" s="128" t="s">
        <v>1843</v>
      </c>
      <c r="O389" s="459"/>
      <c r="P389" s="1078"/>
      <c r="Q389" s="798" t="str">
        <f>IF(OR($O389=$M389,$O389=0,$O389=""),"","*CHECK!*")</f>
        <v/>
      </c>
      <c r="R389" s="795" t="s">
        <v>4059</v>
      </c>
    </row>
    <row r="390" spans="1:19" s="332" customFormat="1" ht="11.25" customHeight="1">
      <c r="A390" s="412"/>
      <c r="B390" s="108" t="s">
        <v>6604</v>
      </c>
      <c r="C390" s="108"/>
      <c r="D390" s="108"/>
      <c r="E390" s="108"/>
      <c r="F390" s="108"/>
      <c r="G390" s="108"/>
      <c r="H390" s="108"/>
      <c r="I390" s="108"/>
      <c r="J390" s="108"/>
      <c r="K390" s="108"/>
      <c r="L390" s="108"/>
      <c r="Q390" s="147"/>
    </row>
    <row r="391" spans="1:19" s="332" customFormat="1" ht="11.25" customHeight="1">
      <c r="A391" s="412"/>
      <c r="E391" s="1842"/>
      <c r="G391" s="1241" t="s">
        <v>3828</v>
      </c>
      <c r="H391" s="1844">
        <f>'Part V-Revenues &amp; Expenses'!$P$125</f>
        <v>0</v>
      </c>
      <c r="I391" s="947" t="s">
        <v>2517</v>
      </c>
      <c r="J391" s="410">
        <f>'Part V-Revenues &amp; Expenses'!$P$67</f>
        <v>40</v>
      </c>
      <c r="K391" s="1846" t="s">
        <v>2518</v>
      </c>
      <c r="L391" s="1845">
        <f>IF(J391=0,0,H391/J391)</f>
        <v>0</v>
      </c>
      <c r="N391" s="1843"/>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552"/>
      <c r="B393" s="4553"/>
      <c r="C393" s="4553"/>
      <c r="D393" s="4553"/>
      <c r="E393" s="4553"/>
      <c r="F393" s="4553"/>
      <c r="G393" s="4553"/>
      <c r="H393" s="4553"/>
      <c r="I393" s="4553"/>
      <c r="J393" s="4553"/>
      <c r="K393" s="4553"/>
      <c r="L393" s="4553"/>
      <c r="M393" s="4553"/>
      <c r="N393" s="4553"/>
      <c r="O393" s="4553"/>
      <c r="P393" s="4554"/>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2" customHeight="1">
      <c r="A395" s="4402"/>
      <c r="B395" s="4403"/>
      <c r="C395" s="4403"/>
      <c r="D395" s="4403"/>
      <c r="E395" s="4403"/>
      <c r="F395" s="4403"/>
      <c r="G395" s="4403"/>
      <c r="H395" s="4403"/>
      <c r="I395" s="4403"/>
      <c r="J395" s="4403"/>
      <c r="K395" s="4403"/>
      <c r="L395" s="4403"/>
      <c r="M395" s="4403"/>
      <c r="N395" s="4403"/>
      <c r="O395" s="4403"/>
      <c r="P395" s="4404"/>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3378</v>
      </c>
      <c r="B397" s="83" t="s">
        <v>4036</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71">
        <v>10</v>
      </c>
      <c r="P399" s="1871">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402"/>
      <c r="B403" s="4403"/>
      <c r="C403" s="4403"/>
      <c r="D403" s="4403"/>
      <c r="E403" s="4403"/>
      <c r="F403" s="4403"/>
      <c r="G403" s="4403"/>
      <c r="H403" s="4403"/>
      <c r="I403" s="4403"/>
      <c r="J403" s="4403"/>
      <c r="K403" s="4403"/>
      <c r="L403" s="4403"/>
      <c r="M403" s="4403"/>
      <c r="N403" s="4403"/>
      <c r="O403" s="4403"/>
      <c r="P403" s="4404"/>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3379</v>
      </c>
      <c r="B405" s="83" t="s">
        <v>6605</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6606</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6607</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6608</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6239</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6609</v>
      </c>
      <c r="H410" s="29"/>
      <c r="M410" s="458">
        <v>2</v>
      </c>
      <c r="N410" s="1661" t="s">
        <v>1962</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42">
        <v>2</v>
      </c>
      <c r="P411" s="1942">
        <v>2</v>
      </c>
      <c r="Q411" s="86"/>
    </row>
    <row r="412" spans="1:21" s="70" customFormat="1" ht="12" customHeight="1">
      <c r="A412" s="121"/>
      <c r="C412" s="66" t="s">
        <v>3178</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552"/>
      <c r="B414" s="4553"/>
      <c r="C414" s="4553"/>
      <c r="D414" s="4553"/>
      <c r="E414" s="4553"/>
      <c r="F414" s="4553"/>
      <c r="G414" s="4553"/>
      <c r="H414" s="4553"/>
      <c r="I414" s="4553"/>
      <c r="J414" s="4553"/>
      <c r="K414" s="4553"/>
      <c r="L414" s="4553"/>
      <c r="M414" s="4553"/>
      <c r="N414" s="4553"/>
      <c r="O414" s="4553"/>
      <c r="P414" s="4554"/>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402"/>
      <c r="B416" s="4403"/>
      <c r="C416" s="4403"/>
      <c r="D416" s="4403"/>
      <c r="E416" s="4403"/>
      <c r="F416" s="4403"/>
      <c r="G416" s="4403"/>
      <c r="H416" s="4403"/>
      <c r="I416" s="4403"/>
      <c r="J416" s="4403"/>
      <c r="K416" s="4403"/>
      <c r="L416" s="4403"/>
      <c r="M416" s="4403"/>
      <c r="N416" s="4403"/>
      <c r="O416" s="4403"/>
      <c r="P416" s="4404"/>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3380</v>
      </c>
      <c r="B418" s="83" t="s">
        <v>6240</v>
      </c>
      <c r="D418" s="38"/>
      <c r="E418" s="38"/>
      <c r="F418" s="32"/>
      <c r="L418" s="798"/>
      <c r="M418" s="119">
        <v>6</v>
      </c>
      <c r="N418" s="5"/>
      <c r="O418" s="899"/>
      <c r="P418" s="883"/>
      <c r="Q418" s="86" t="s">
        <v>416</v>
      </c>
      <c r="R418" s="795" t="s">
        <v>2459</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552"/>
      <c r="B420" s="4553"/>
      <c r="C420" s="4553"/>
      <c r="D420" s="4553"/>
      <c r="E420" s="4553"/>
      <c r="F420" s="4553"/>
      <c r="G420" s="4553"/>
      <c r="H420" s="4553"/>
      <c r="I420" s="4553"/>
      <c r="J420" s="4553"/>
      <c r="K420" s="4553"/>
      <c r="L420" s="4553"/>
      <c r="M420" s="4553"/>
      <c r="N420" s="4553"/>
      <c r="O420" s="4553"/>
      <c r="P420" s="4554"/>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5" customHeight="1">
      <c r="A422" s="4402"/>
      <c r="B422" s="4403"/>
      <c r="C422" s="4403"/>
      <c r="D422" s="4403"/>
      <c r="E422" s="4403"/>
      <c r="F422" s="4403"/>
      <c r="G422" s="4403"/>
      <c r="H422" s="4403"/>
      <c r="I422" s="4403"/>
      <c r="J422" s="4403"/>
      <c r="K422" s="4403"/>
      <c r="L422" s="4403"/>
      <c r="M422" s="4403"/>
      <c r="N422" s="4403"/>
      <c r="O422" s="4403"/>
      <c r="P422" s="4404"/>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3381</v>
      </c>
      <c r="B424" s="83" t="s">
        <v>6610</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5" customHeight="1">
      <c r="A426" s="4402"/>
      <c r="B426" s="4403"/>
      <c r="C426" s="4403"/>
      <c r="D426" s="4403"/>
      <c r="E426" s="4403"/>
      <c r="F426" s="4403"/>
      <c r="G426" s="4403"/>
      <c r="H426" s="4403"/>
      <c r="I426" s="4403"/>
      <c r="J426" s="4403"/>
      <c r="K426" s="4403"/>
      <c r="L426" s="4403"/>
      <c r="M426" s="4403"/>
      <c r="N426" s="4403"/>
      <c r="O426" s="4403"/>
      <c r="P426" s="4404"/>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3803</v>
      </c>
      <c r="B428" s="83" t="s">
        <v>6611</v>
      </c>
      <c r="D428" s="38"/>
      <c r="L428" s="798"/>
      <c r="M428" s="119">
        <v>4</v>
      </c>
      <c r="N428" s="5"/>
      <c r="O428" s="899"/>
      <c r="P428" s="883"/>
      <c r="Q428" s="86" t="s">
        <v>416</v>
      </c>
      <c r="R428" s="795" t="s">
        <v>2459</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552"/>
      <c r="B430" s="4553"/>
      <c r="C430" s="4553"/>
      <c r="D430" s="4553"/>
      <c r="E430" s="4553"/>
      <c r="F430" s="4553"/>
      <c r="G430" s="4553"/>
      <c r="H430" s="4553"/>
      <c r="I430" s="4553"/>
      <c r="J430" s="4553"/>
      <c r="K430" s="4553"/>
      <c r="L430" s="4553"/>
      <c r="M430" s="4553"/>
      <c r="N430" s="4553"/>
      <c r="O430" s="4553"/>
      <c r="P430" s="4554"/>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5" customHeight="1">
      <c r="A432" s="4402"/>
      <c r="B432" s="4403"/>
      <c r="C432" s="4403"/>
      <c r="D432" s="4403"/>
      <c r="E432" s="4403"/>
      <c r="F432" s="4403"/>
      <c r="G432" s="4403"/>
      <c r="H432" s="4403"/>
      <c r="I432" s="4403"/>
      <c r="J432" s="4403"/>
      <c r="K432" s="4403"/>
      <c r="L432" s="4403"/>
      <c r="M432" s="4403"/>
      <c r="N432" s="4403"/>
      <c r="O432" s="4403"/>
      <c r="P432" s="4404"/>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6556</v>
      </c>
      <c r="B434" s="83" t="s">
        <v>6612</v>
      </c>
      <c r="D434" s="38"/>
      <c r="G434" s="46" t="s">
        <v>6085</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6133</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6134</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552"/>
      <c r="B438" s="4553"/>
      <c r="C438" s="4553"/>
      <c r="D438" s="4553"/>
      <c r="E438" s="4553"/>
      <c r="F438" s="4553"/>
      <c r="G438" s="4553"/>
      <c r="H438" s="4553"/>
      <c r="I438" s="4553"/>
      <c r="J438" s="4553"/>
      <c r="K438" s="4553"/>
      <c r="L438" s="4553"/>
      <c r="M438" s="4553"/>
      <c r="N438" s="4553"/>
      <c r="O438" s="4553"/>
      <c r="P438" s="4554"/>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402"/>
      <c r="B440" s="4403"/>
      <c r="C440" s="4403"/>
      <c r="D440" s="4403"/>
      <c r="E440" s="4403"/>
      <c r="F440" s="4403"/>
      <c r="G440" s="4403"/>
      <c r="H440" s="4403"/>
      <c r="I440" s="4403"/>
      <c r="J440" s="4403"/>
      <c r="K440" s="4403"/>
      <c r="L440" s="4403"/>
      <c r="M440" s="4403"/>
      <c r="N440" s="4403"/>
      <c r="O440" s="4403"/>
      <c r="P440" s="4404"/>
      <c r="Q440" s="355"/>
      <c r="R440" s="355"/>
    </row>
    <row r="441" spans="1:27" ht="13.5" customHeight="1" thickBot="1">
      <c r="Q441" s="4479" t="s">
        <v>6745</v>
      </c>
      <c r="R441" s="4479"/>
      <c r="S441" s="4479"/>
      <c r="T441" s="4479"/>
      <c r="U441" s="4479"/>
      <c r="V441" s="4479"/>
      <c r="W441" s="4479"/>
      <c r="X441" s="4479"/>
      <c r="Y441" s="4479"/>
      <c r="Z441" s="4479"/>
      <c r="AA441" s="4479"/>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479"/>
      <c r="R442" s="4479"/>
      <c r="S442" s="4479"/>
      <c r="T442" s="4479"/>
      <c r="U442" s="4479"/>
      <c r="V442" s="4479"/>
      <c r="W442" s="4479"/>
      <c r="X442" s="4479"/>
      <c r="Y442" s="4479"/>
      <c r="Z442" s="4479"/>
      <c r="AA442" s="4479"/>
    </row>
    <row r="443" spans="1:27" s="36" customFormat="1" ht="15" thickTop="1">
      <c r="A443" s="35"/>
      <c r="C443" s="887"/>
      <c r="D443" s="887"/>
      <c r="E443" s="887"/>
      <c r="F443" s="887"/>
      <c r="G443" s="887"/>
      <c r="H443" s="887"/>
      <c r="I443" s="887"/>
      <c r="J443" s="887"/>
      <c r="K443" s="887"/>
      <c r="L443" s="887"/>
      <c r="M443" s="887"/>
      <c r="N443" s="887"/>
      <c r="O443" s="887"/>
      <c r="P443" s="887"/>
      <c r="Q443" s="4479"/>
      <c r="R443" s="4479"/>
      <c r="S443" s="4479"/>
      <c r="T443" s="4479"/>
      <c r="U443" s="4479"/>
      <c r="V443" s="4479"/>
      <c r="W443" s="4479"/>
      <c r="X443" s="4479"/>
      <c r="Y443" s="4479"/>
      <c r="Z443" s="4479"/>
      <c r="AA443" s="4479"/>
    </row>
    <row r="444" spans="1:27" s="115" customFormat="1" ht="6.75" customHeight="1">
      <c r="A444" s="36"/>
      <c r="B444" s="50"/>
      <c r="C444" s="36"/>
      <c r="F444" s="33"/>
      <c r="G444" s="33"/>
      <c r="H444" s="51"/>
      <c r="I444" s="51"/>
      <c r="L444" s="36"/>
      <c r="N444" s="119"/>
      <c r="O444" s="119"/>
      <c r="P444" s="3"/>
      <c r="Q444" s="4479"/>
      <c r="R444" s="4479"/>
      <c r="S444" s="4479"/>
      <c r="T444" s="4479"/>
      <c r="U444" s="4479"/>
      <c r="V444" s="4479"/>
      <c r="W444" s="4479"/>
      <c r="X444" s="4479"/>
      <c r="Y444" s="4479"/>
      <c r="Z444" s="4479"/>
      <c r="AA444" s="4479"/>
    </row>
    <row r="445" spans="1:27" s="36" customFormat="1" ht="22.5" customHeight="1">
      <c r="A445" s="4700" t="s">
        <v>6699</v>
      </c>
      <c r="B445" s="4700"/>
      <c r="C445" s="4700"/>
      <c r="D445" s="4700"/>
      <c r="E445" s="4700"/>
      <c r="F445" s="4700"/>
      <c r="G445" s="4700"/>
      <c r="H445" s="4700"/>
      <c r="I445" s="4700"/>
      <c r="J445" s="4700"/>
      <c r="K445" s="4700"/>
      <c r="L445" s="4700"/>
      <c r="M445" s="4700"/>
      <c r="N445" s="4700"/>
      <c r="O445" s="4700"/>
      <c r="P445" s="4700"/>
      <c r="Q445" s="4479"/>
      <c r="R445" s="4479"/>
      <c r="S445" s="4479"/>
      <c r="T445" s="4479"/>
      <c r="U445" s="4479"/>
      <c r="V445" s="4479"/>
      <c r="W445" s="4479"/>
      <c r="X445" s="4479"/>
      <c r="Y445" s="4479"/>
      <c r="Z445" s="4479"/>
      <c r="AA445" s="4479"/>
    </row>
    <row r="446" spans="1:27" s="36" customFormat="1" ht="409.2" customHeight="1">
      <c r="A446" s="4231"/>
      <c r="B446" s="4232"/>
      <c r="C446" s="4232"/>
      <c r="D446" s="4232"/>
      <c r="E446" s="4232"/>
      <c r="F446" s="4232"/>
      <c r="G446" s="4232"/>
      <c r="H446" s="4232"/>
      <c r="I446" s="4232"/>
      <c r="J446" s="4232"/>
      <c r="K446" s="4232"/>
      <c r="L446" s="4232"/>
      <c r="M446" s="4232"/>
      <c r="N446" s="4232"/>
      <c r="O446" s="4232"/>
      <c r="P446" s="4233"/>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0"/>
      <c r="P447" s="2400"/>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0"/>
      <c r="P448" s="2400"/>
      <c r="Q448" s="68"/>
    </row>
    <row r="449" spans="3:17" s="115" customFormat="1">
      <c r="C449" s="68" t="s">
        <v>1941</v>
      </c>
      <c r="D449" s="68"/>
      <c r="E449" s="68"/>
      <c r="F449" s="68"/>
      <c r="G449" s="68"/>
      <c r="H449" s="68"/>
      <c r="I449" s="68"/>
      <c r="J449" s="380" t="s">
        <v>2306</v>
      </c>
      <c r="K449" s="68"/>
      <c r="L449" s="68"/>
      <c r="M449" s="68"/>
      <c r="N449" s="882"/>
      <c r="O449" s="2400"/>
      <c r="P449" s="2400"/>
      <c r="Q449" s="68"/>
    </row>
    <row r="450" spans="3:17" s="115" customFormat="1">
      <c r="C450" s="68" t="s">
        <v>1942</v>
      </c>
      <c r="D450" s="68"/>
      <c r="E450" s="68"/>
      <c r="F450" s="68"/>
      <c r="G450" s="68"/>
      <c r="H450" s="68"/>
      <c r="I450" s="68"/>
      <c r="J450" s="380" t="s">
        <v>1539</v>
      </c>
      <c r="K450" s="68"/>
      <c r="L450" s="68"/>
      <c r="M450" s="68"/>
      <c r="N450" s="882"/>
      <c r="O450" s="2400"/>
      <c r="P450" s="2400"/>
      <c r="Q450" s="68"/>
    </row>
    <row r="451" spans="3:17" s="115" customFormat="1">
      <c r="C451" s="68"/>
      <c r="D451" s="68"/>
      <c r="E451" s="68"/>
      <c r="F451" s="68"/>
      <c r="G451" s="68"/>
      <c r="H451" s="68"/>
      <c r="I451" s="68"/>
      <c r="J451" s="380" t="s">
        <v>1540</v>
      </c>
      <c r="K451" s="68"/>
      <c r="L451" s="68"/>
      <c r="M451" s="68"/>
      <c r="N451" s="882"/>
      <c r="O451" s="2400"/>
      <c r="P451" s="2400"/>
      <c r="Q451" s="68"/>
    </row>
    <row r="452" spans="3:17" s="115" customFormat="1">
      <c r="C452" s="68" t="s">
        <v>1646</v>
      </c>
      <c r="D452" s="68"/>
      <c r="E452" s="68"/>
      <c r="F452" s="68"/>
      <c r="G452" s="68"/>
      <c r="H452" s="68"/>
      <c r="I452" s="68"/>
      <c r="J452" s="380" t="s">
        <v>1541</v>
      </c>
      <c r="K452" s="68"/>
      <c r="L452" s="68"/>
      <c r="M452" s="68"/>
      <c r="N452" s="882"/>
      <c r="O452" s="2400"/>
      <c r="P452" s="2400"/>
      <c r="Q452" s="68"/>
    </row>
    <row r="453" spans="3:17" s="115" customFormat="1">
      <c r="C453" s="1406" t="s">
        <v>1312</v>
      </c>
      <c r="D453" s="68"/>
      <c r="E453" s="68"/>
      <c r="F453" s="68"/>
      <c r="G453" s="68"/>
      <c r="H453" s="68"/>
      <c r="I453" s="68"/>
      <c r="J453" s="380" t="s">
        <v>1542</v>
      </c>
      <c r="K453" s="68"/>
      <c r="L453" s="68"/>
      <c r="M453" s="68"/>
      <c r="N453" s="882"/>
      <c r="O453" s="2400"/>
      <c r="P453" s="2400"/>
      <c r="Q453" s="68"/>
    </row>
    <row r="454" spans="3:17" s="115" customFormat="1">
      <c r="C454" s="1406" t="s">
        <v>1313</v>
      </c>
      <c r="D454" s="68"/>
      <c r="E454" s="68"/>
      <c r="F454" s="68"/>
      <c r="G454" s="68"/>
      <c r="H454" s="68"/>
      <c r="I454" s="68"/>
      <c r="J454" s="380" t="s">
        <v>1543</v>
      </c>
      <c r="K454" s="68"/>
      <c r="L454" s="68"/>
      <c r="M454" s="68"/>
      <c r="N454" s="882"/>
      <c r="O454" s="2400"/>
      <c r="P454" s="2400"/>
      <c r="Q454" s="68"/>
    </row>
    <row r="455" spans="3:17" s="115" customFormat="1">
      <c r="C455" s="1406" t="s">
        <v>1980</v>
      </c>
      <c r="D455" s="68"/>
      <c r="E455" s="68"/>
      <c r="F455" s="68"/>
      <c r="G455" s="68"/>
      <c r="H455" s="68"/>
      <c r="I455" s="68"/>
      <c r="J455" s="380" t="s">
        <v>1544</v>
      </c>
      <c r="K455" s="68"/>
      <c r="L455" s="68"/>
      <c r="M455" s="68"/>
      <c r="N455" s="882"/>
      <c r="O455" s="2400"/>
      <c r="P455" s="2400"/>
      <c r="Q455" s="68"/>
    </row>
    <row r="456" spans="3:17" s="115" customFormat="1">
      <c r="C456" s="1406" t="s">
        <v>1309</v>
      </c>
      <c r="D456" s="68"/>
      <c r="E456" s="68"/>
      <c r="F456" s="68"/>
      <c r="G456" s="68"/>
      <c r="H456" s="68"/>
      <c r="I456" s="68"/>
      <c r="J456" s="380" t="s">
        <v>549</v>
      </c>
      <c r="K456" s="68"/>
      <c r="L456" s="68"/>
      <c r="M456" s="68"/>
      <c r="N456" s="882"/>
      <c r="O456" s="2400"/>
      <c r="P456" s="2400"/>
      <c r="Q456" s="68"/>
    </row>
    <row r="457" spans="3:17" s="115" customFormat="1">
      <c r="C457" s="1406" t="s">
        <v>1310</v>
      </c>
      <c r="D457" s="68"/>
      <c r="E457" s="68"/>
      <c r="F457" s="68"/>
      <c r="G457" s="68"/>
      <c r="H457" s="68"/>
      <c r="I457" s="68"/>
      <c r="J457" s="380" t="s">
        <v>1545</v>
      </c>
      <c r="K457" s="68"/>
      <c r="L457" s="68"/>
      <c r="M457" s="68"/>
      <c r="N457" s="882"/>
      <c r="O457" s="2400"/>
      <c r="P457" s="2400"/>
      <c r="Q457" s="68"/>
    </row>
    <row r="458" spans="3:17" s="115" customFormat="1">
      <c r="C458" s="1406" t="s">
        <v>1975</v>
      </c>
      <c r="D458" s="68"/>
      <c r="E458" s="68"/>
      <c r="F458" s="68"/>
      <c r="G458" s="68"/>
      <c r="H458" s="68"/>
      <c r="I458" s="68"/>
      <c r="J458" s="380" t="s">
        <v>1546</v>
      </c>
      <c r="K458" s="68"/>
      <c r="L458" s="68"/>
      <c r="M458" s="68"/>
      <c r="N458" s="882"/>
      <c r="O458" s="2400"/>
      <c r="P458" s="2400"/>
      <c r="Q458" s="68"/>
    </row>
    <row r="459" spans="3:17" s="115" customFormat="1">
      <c r="C459" s="1406" t="s">
        <v>1976</v>
      </c>
      <c r="D459" s="68"/>
      <c r="E459" s="68"/>
      <c r="F459" s="68"/>
      <c r="G459" s="68"/>
      <c r="H459" s="68"/>
      <c r="I459" s="68"/>
      <c r="J459" s="380" t="s">
        <v>1547</v>
      </c>
      <c r="K459" s="68"/>
      <c r="L459" s="68"/>
      <c r="M459" s="68"/>
      <c r="N459" s="882"/>
      <c r="O459" s="2400"/>
      <c r="P459" s="2400"/>
      <c r="Q459" s="68"/>
    </row>
    <row r="460" spans="3:17" s="115" customFormat="1">
      <c r="C460" s="1406" t="s">
        <v>1977</v>
      </c>
      <c r="D460" s="68"/>
      <c r="E460" s="68"/>
      <c r="F460" s="68"/>
      <c r="G460" s="68"/>
      <c r="H460" s="68"/>
      <c r="I460" s="68"/>
      <c r="J460" s="380" t="s">
        <v>32</v>
      </c>
      <c r="K460" s="68"/>
      <c r="L460" s="68"/>
      <c r="M460" s="68"/>
      <c r="N460" s="882"/>
      <c r="O460" s="2400"/>
      <c r="P460" s="2400"/>
      <c r="Q460" s="68"/>
    </row>
    <row r="461" spans="3:17" s="115" customFormat="1">
      <c r="C461" s="1406" t="s">
        <v>1978</v>
      </c>
      <c r="D461" s="68"/>
      <c r="E461" s="68"/>
      <c r="F461" s="68"/>
      <c r="G461" s="68"/>
      <c r="H461" s="68"/>
      <c r="I461" s="68"/>
      <c r="J461" s="68"/>
      <c r="K461" s="68"/>
      <c r="L461" s="68"/>
      <c r="M461" s="68"/>
      <c r="N461" s="882"/>
      <c r="O461" s="2400"/>
      <c r="P461" s="2400"/>
      <c r="Q461" s="68"/>
    </row>
    <row r="462" spans="3:17" s="115" customFormat="1">
      <c r="C462" s="1406" t="s">
        <v>1979</v>
      </c>
      <c r="D462" s="68"/>
      <c r="E462" s="68"/>
      <c r="F462" s="68"/>
      <c r="G462" s="68"/>
      <c r="H462" s="68"/>
      <c r="I462" s="68"/>
      <c r="J462" s="2401" t="s">
        <v>3037</v>
      </c>
      <c r="K462" s="68"/>
      <c r="L462" s="68"/>
      <c r="M462" s="68"/>
      <c r="N462" s="882"/>
      <c r="O462" s="2401" t="s">
        <v>3252</v>
      </c>
      <c r="P462" s="2400"/>
      <c r="Q462" s="68"/>
    </row>
    <row r="463" spans="3:17" s="115" customFormat="1">
      <c r="C463" s="1406" t="s">
        <v>1311</v>
      </c>
      <c r="D463" s="68"/>
      <c r="E463" s="68"/>
      <c r="F463" s="68"/>
      <c r="G463" s="68"/>
      <c r="H463" s="68"/>
      <c r="I463" s="68"/>
      <c r="J463" s="380" t="s">
        <v>3038</v>
      </c>
      <c r="K463" s="68"/>
      <c r="L463" s="68"/>
      <c r="M463" s="68"/>
      <c r="N463" s="882"/>
      <c r="O463" s="2400"/>
      <c r="P463" s="2400"/>
      <c r="Q463" s="68"/>
    </row>
    <row r="464" spans="3:17" s="115" customFormat="1">
      <c r="C464" s="1406" t="s">
        <v>2108</v>
      </c>
      <c r="D464" s="68"/>
      <c r="E464" s="68"/>
      <c r="F464" s="68"/>
      <c r="G464" s="68"/>
      <c r="H464" s="68"/>
      <c r="I464" s="68"/>
      <c r="J464" s="68" t="s">
        <v>3022</v>
      </c>
      <c r="K464" s="68"/>
      <c r="L464" s="68"/>
      <c r="M464" s="68"/>
      <c r="N464" s="882"/>
      <c r="O464" s="2400">
        <v>2</v>
      </c>
      <c r="P464" s="2400"/>
      <c r="Q464" s="68"/>
    </row>
    <row r="465" spans="1:17" s="115" customFormat="1">
      <c r="C465" s="68"/>
      <c r="D465" s="68"/>
      <c r="E465" s="68"/>
      <c r="F465" s="68"/>
      <c r="G465" s="68"/>
      <c r="H465" s="68"/>
      <c r="I465" s="68"/>
      <c r="J465" s="68" t="s">
        <v>3023</v>
      </c>
      <c r="K465" s="68"/>
      <c r="L465" s="68"/>
      <c r="M465" s="68"/>
      <c r="N465" s="882"/>
      <c r="O465" s="2400">
        <v>2</v>
      </c>
      <c r="P465" s="2400"/>
      <c r="Q465" s="68"/>
    </row>
    <row r="466" spans="1:17" s="115" customFormat="1">
      <c r="C466" s="68"/>
      <c r="D466" s="68"/>
      <c r="E466" s="68"/>
      <c r="F466" s="68"/>
      <c r="G466" s="4697" t="s">
        <v>1407</v>
      </c>
      <c r="H466" s="4697"/>
      <c r="I466" s="4697"/>
      <c r="J466" s="68" t="s">
        <v>3024</v>
      </c>
      <c r="K466" s="68"/>
      <c r="L466" s="68"/>
      <c r="M466" s="68"/>
      <c r="N466" s="882"/>
      <c r="O466" s="2400">
        <v>2</v>
      </c>
      <c r="P466" s="2400"/>
      <c r="Q466" s="68"/>
    </row>
    <row r="467" spans="1:17" s="115" customFormat="1">
      <c r="C467" s="68"/>
      <c r="D467" s="68"/>
      <c r="E467" s="68"/>
      <c r="F467" s="68"/>
      <c r="G467" s="1848" t="s">
        <v>4064</v>
      </c>
      <c r="H467" s="68" t="s">
        <v>4065</v>
      </c>
      <c r="I467" s="1848" t="s">
        <v>4063</v>
      </c>
      <c r="J467" s="68" t="s">
        <v>3025</v>
      </c>
      <c r="K467" s="68"/>
      <c r="L467" s="1848"/>
      <c r="M467" s="68"/>
      <c r="N467" s="882"/>
      <c r="O467" s="2400">
        <v>2</v>
      </c>
      <c r="P467" s="2400"/>
      <c r="Q467" s="68"/>
    </row>
    <row r="468" spans="1:17" s="115" customFormat="1">
      <c r="C468" s="503"/>
      <c r="D468" s="68"/>
      <c r="E468" s="68"/>
      <c r="F468" s="68"/>
      <c r="G468" s="1508" t="s">
        <v>2320</v>
      </c>
      <c r="H468" s="68"/>
      <c r="I468" s="1508"/>
      <c r="J468" s="68" t="s">
        <v>3250</v>
      </c>
      <c r="K468" s="68"/>
      <c r="L468" s="1508"/>
      <c r="M468" s="68"/>
      <c r="N468" s="882"/>
      <c r="O468" s="2400">
        <v>2</v>
      </c>
      <c r="P468" s="2400"/>
      <c r="Q468" s="68"/>
    </row>
    <row r="469" spans="1:17" s="115" customFormat="1">
      <c r="C469" s="503"/>
      <c r="D469" s="68"/>
      <c r="E469" s="68"/>
      <c r="F469" s="68"/>
      <c r="G469" s="1508" t="s">
        <v>436</v>
      </c>
      <c r="H469" s="882" t="s">
        <v>4067</v>
      </c>
      <c r="I469" s="1848" t="s">
        <v>2453</v>
      </c>
      <c r="J469" s="68" t="s">
        <v>3026</v>
      </c>
      <c r="K469" s="68"/>
      <c r="L469" s="503"/>
      <c r="M469" s="68"/>
      <c r="N469" s="882"/>
      <c r="O469" s="2400">
        <v>1</v>
      </c>
      <c r="P469" s="2400"/>
      <c r="Q469" s="68"/>
    </row>
    <row r="470" spans="1:17" s="115" customFormat="1">
      <c r="C470" s="503"/>
      <c r="D470" s="68"/>
      <c r="E470" s="68"/>
      <c r="F470" s="68"/>
      <c r="G470" s="1508" t="s">
        <v>1657</v>
      </c>
      <c r="H470" s="882">
        <v>2020</v>
      </c>
      <c r="I470" s="882" t="s">
        <v>4066</v>
      </c>
      <c r="J470" s="68" t="s">
        <v>3027</v>
      </c>
      <c r="K470" s="68"/>
      <c r="L470" s="503"/>
      <c r="M470" s="68"/>
      <c r="N470" s="882"/>
      <c r="O470" s="2400">
        <v>1</v>
      </c>
      <c r="P470" s="2400"/>
      <c r="Q470" s="68"/>
    </row>
    <row r="471" spans="1:17" s="115" customFormat="1">
      <c r="C471" s="503"/>
      <c r="D471" s="68"/>
      <c r="E471" s="68"/>
      <c r="F471" s="68"/>
      <c r="G471" s="1508" t="s">
        <v>2351</v>
      </c>
      <c r="H471" s="882" t="s">
        <v>1610</v>
      </c>
      <c r="I471" s="1848" t="s">
        <v>2453</v>
      </c>
      <c r="J471" s="68" t="s">
        <v>3028</v>
      </c>
      <c r="K471" s="68"/>
      <c r="L471" s="503"/>
      <c r="M471" s="68"/>
      <c r="N471" s="882"/>
      <c r="O471" s="2400">
        <v>1</v>
      </c>
      <c r="P471" s="2400"/>
      <c r="Q471" s="68"/>
    </row>
    <row r="472" spans="1:17" s="115" customFormat="1">
      <c r="C472" s="503"/>
      <c r="D472" s="68"/>
      <c r="E472" s="68"/>
      <c r="F472" s="68"/>
      <c r="G472" s="1508" t="s">
        <v>971</v>
      </c>
      <c r="H472" s="882">
        <v>2020</v>
      </c>
      <c r="I472" s="882" t="s">
        <v>4066</v>
      </c>
      <c r="J472" s="68" t="s">
        <v>3251</v>
      </c>
      <c r="K472" s="68"/>
      <c r="L472" s="503"/>
      <c r="M472" s="68"/>
      <c r="N472" s="882"/>
      <c r="O472" s="2400">
        <v>1</v>
      </c>
      <c r="P472" s="2400"/>
      <c r="Q472" s="68"/>
    </row>
    <row r="473" spans="1:17" s="115" customFormat="1">
      <c r="C473" s="503"/>
      <c r="D473" s="68"/>
      <c r="E473" s="68"/>
      <c r="F473" s="68"/>
      <c r="G473" s="1508" t="s">
        <v>3273</v>
      </c>
      <c r="H473" s="882">
        <v>2019</v>
      </c>
      <c r="I473" s="882" t="s">
        <v>4066</v>
      </c>
      <c r="J473" s="68" t="s">
        <v>3036</v>
      </c>
      <c r="K473" s="68"/>
      <c r="L473" s="503"/>
      <c r="M473" s="68"/>
      <c r="N473" s="882"/>
      <c r="O473" s="2400">
        <v>1</v>
      </c>
      <c r="P473" s="2400"/>
      <c r="Q473" s="68"/>
    </row>
    <row r="474" spans="1:17" s="115" customFormat="1">
      <c r="C474" s="503"/>
      <c r="D474" s="68"/>
      <c r="E474" s="68"/>
      <c r="F474" s="68"/>
      <c r="G474" s="1508" t="s">
        <v>340</v>
      </c>
      <c r="H474" s="882" t="s">
        <v>1610</v>
      </c>
      <c r="I474" s="1848" t="s">
        <v>2453</v>
      </c>
      <c r="J474" s="68" t="s">
        <v>3029</v>
      </c>
      <c r="K474" s="68"/>
      <c r="L474" s="503"/>
      <c r="M474" s="68"/>
      <c r="N474" s="882"/>
      <c r="O474" s="2400">
        <v>1</v>
      </c>
      <c r="P474" s="2400"/>
      <c r="Q474" s="68"/>
    </row>
    <row r="475" spans="1:17" s="115" customFormat="1">
      <c r="C475" s="503"/>
      <c r="D475" s="68"/>
      <c r="E475" s="68"/>
      <c r="F475" s="68"/>
      <c r="G475" s="1508" t="s">
        <v>1633</v>
      </c>
      <c r="H475" s="882">
        <v>2020</v>
      </c>
      <c r="I475" s="882" t="s">
        <v>4066</v>
      </c>
      <c r="J475" s="68" t="s">
        <v>3030</v>
      </c>
      <c r="K475" s="68"/>
      <c r="L475" s="503"/>
      <c r="M475" s="68"/>
      <c r="N475" s="882"/>
      <c r="O475" s="2400">
        <v>1</v>
      </c>
      <c r="P475" s="2400"/>
      <c r="Q475" s="68"/>
    </row>
    <row r="476" spans="1:17" s="115" customFormat="1">
      <c r="C476" s="503"/>
      <c r="D476" s="68"/>
      <c r="E476" s="68"/>
      <c r="F476" s="68"/>
      <c r="G476" s="1508" t="s">
        <v>1909</v>
      </c>
      <c r="H476" s="882" t="s">
        <v>4067</v>
      </c>
      <c r="I476" s="1848" t="s">
        <v>2453</v>
      </c>
      <c r="J476" s="68" t="s">
        <v>3031</v>
      </c>
      <c r="K476" s="68"/>
      <c r="L476" s="503"/>
      <c r="M476" s="68"/>
      <c r="N476" s="882"/>
      <c r="O476" s="2400">
        <v>1</v>
      </c>
      <c r="P476" s="2400"/>
      <c r="Q476" s="68"/>
    </row>
    <row r="477" spans="1:17" s="115" customFormat="1">
      <c r="C477" s="68"/>
      <c r="D477" s="68"/>
      <c r="E477" s="68"/>
      <c r="F477" s="68"/>
      <c r="G477" s="1508" t="s">
        <v>82</v>
      </c>
      <c r="H477" s="882" t="s">
        <v>4067</v>
      </c>
      <c r="I477" s="1848" t="s">
        <v>2453</v>
      </c>
      <c r="J477" s="68" t="s">
        <v>3032</v>
      </c>
      <c r="K477" s="68"/>
      <c r="L477" s="503"/>
      <c r="M477" s="68"/>
      <c r="N477" s="882"/>
      <c r="O477" s="2400">
        <v>1</v>
      </c>
      <c r="P477" s="2400"/>
      <c r="Q477" s="68"/>
    </row>
    <row r="478" spans="1:17" s="115" customFormat="1">
      <c r="C478" s="68"/>
      <c r="D478" s="68"/>
      <c r="E478" s="68"/>
      <c r="F478" s="68"/>
      <c r="G478" s="1508" t="s">
        <v>837</v>
      </c>
      <c r="H478" s="882">
        <v>2019</v>
      </c>
      <c r="I478" s="882" t="s">
        <v>4066</v>
      </c>
      <c r="J478" s="68" t="s">
        <v>3035</v>
      </c>
      <c r="K478" s="68"/>
      <c r="L478" s="503"/>
      <c r="M478" s="68"/>
      <c r="N478" s="882"/>
      <c r="O478" s="2400">
        <v>1</v>
      </c>
      <c r="P478" s="2400"/>
      <c r="Q478" s="68"/>
    </row>
    <row r="479" spans="1:17" s="115" customFormat="1">
      <c r="A479" s="44" t="s">
        <v>2498</v>
      </c>
      <c r="C479" s="68"/>
      <c r="D479" s="68"/>
      <c r="E479" s="68"/>
      <c r="F479" s="68"/>
      <c r="G479" s="1508" t="s">
        <v>1986</v>
      </c>
      <c r="H479" s="882" t="s">
        <v>4067</v>
      </c>
      <c r="I479" s="1848" t="s">
        <v>2453</v>
      </c>
      <c r="J479" s="68" t="s">
        <v>3033</v>
      </c>
      <c r="K479" s="68"/>
      <c r="L479" s="503"/>
      <c r="M479" s="68"/>
      <c r="N479" s="882"/>
      <c r="O479" s="2400">
        <v>1</v>
      </c>
      <c r="P479" s="2400"/>
      <c r="Q479" s="68"/>
    </row>
    <row r="480" spans="1:17" s="115" customFormat="1">
      <c r="A480" s="44" t="s">
        <v>2513</v>
      </c>
      <c r="C480" s="68"/>
      <c r="D480" s="68"/>
      <c r="E480" s="68"/>
      <c r="F480" s="68"/>
      <c r="G480" s="1508" t="s">
        <v>1907</v>
      </c>
      <c r="H480" s="882">
        <v>2019</v>
      </c>
      <c r="I480" s="882" t="s">
        <v>4066</v>
      </c>
      <c r="J480" s="68" t="s">
        <v>3034</v>
      </c>
      <c r="K480" s="68"/>
      <c r="L480" s="503"/>
      <c r="M480" s="68"/>
      <c r="N480" s="882"/>
      <c r="O480" s="2400">
        <v>1</v>
      </c>
      <c r="P480" s="2400"/>
      <c r="Q480" s="68"/>
    </row>
    <row r="481" spans="1:17" s="115" customFormat="1">
      <c r="A481" s="108" t="s">
        <v>3005</v>
      </c>
      <c r="C481" s="68"/>
      <c r="D481" s="503"/>
      <c r="E481" s="503">
        <v>3</v>
      </c>
      <c r="F481" s="68"/>
      <c r="G481" s="1508" t="s">
        <v>322</v>
      </c>
      <c r="H481" s="882">
        <v>2019</v>
      </c>
      <c r="I481" s="882" t="s">
        <v>4066</v>
      </c>
      <c r="J481" s="68"/>
      <c r="K481" s="68"/>
      <c r="L481" s="503"/>
      <c r="M481" s="68"/>
      <c r="N481" s="882"/>
      <c r="O481" s="2400"/>
      <c r="P481" s="2400"/>
      <c r="Q481" s="68"/>
    </row>
    <row r="482" spans="1:17" s="115" customFormat="1">
      <c r="A482" s="108" t="s">
        <v>3006</v>
      </c>
      <c r="C482" s="68"/>
      <c r="D482" s="503"/>
      <c r="E482" s="503">
        <v>2</v>
      </c>
      <c r="F482" s="68"/>
      <c r="G482" s="1508" t="s">
        <v>815</v>
      </c>
      <c r="H482" s="882">
        <v>2019</v>
      </c>
      <c r="I482" s="882" t="s">
        <v>4066</v>
      </c>
      <c r="J482" s="68"/>
      <c r="K482" s="68"/>
      <c r="L482" s="503"/>
      <c r="M482" s="68"/>
      <c r="N482" s="882"/>
      <c r="O482" s="2400"/>
      <c r="P482" s="2400"/>
      <c r="Q482" s="68"/>
    </row>
    <row r="483" spans="1:17" s="115" customFormat="1">
      <c r="A483" s="108" t="s">
        <v>3007</v>
      </c>
      <c r="C483" s="68"/>
      <c r="D483" s="503"/>
      <c r="E483" s="503">
        <v>10</v>
      </c>
      <c r="F483" s="68"/>
      <c r="G483" s="1508" t="s">
        <v>1789</v>
      </c>
      <c r="H483" s="882">
        <v>2019</v>
      </c>
      <c r="I483" s="882" t="s">
        <v>4066</v>
      </c>
      <c r="J483" s="400" t="s">
        <v>3261</v>
      </c>
      <c r="K483" s="68"/>
      <c r="L483" s="503"/>
      <c r="M483" s="68"/>
      <c r="N483" s="882"/>
      <c r="O483" s="2400"/>
      <c r="P483" s="2400"/>
      <c r="Q483" s="68"/>
    </row>
    <row r="484" spans="1:17" s="115" customFormat="1">
      <c r="A484" s="108" t="s">
        <v>2514</v>
      </c>
      <c r="C484" s="68"/>
      <c r="D484" s="503"/>
      <c r="E484" s="503"/>
      <c r="F484" s="68"/>
      <c r="G484" s="1508" t="s">
        <v>395</v>
      </c>
      <c r="H484" s="882">
        <v>2019</v>
      </c>
      <c r="I484" s="882" t="s">
        <v>4066</v>
      </c>
      <c r="J484" s="68" t="s">
        <v>3337</v>
      </c>
      <c r="K484" s="68"/>
      <c r="L484" s="503"/>
      <c r="M484" s="68"/>
      <c r="N484" s="882"/>
      <c r="O484" s="2400"/>
      <c r="P484" s="2400"/>
      <c r="Q484" s="68"/>
    </row>
    <row r="485" spans="1:17" s="115" customFormat="1">
      <c r="C485" s="503"/>
      <c r="D485" s="68"/>
      <c r="E485" s="68"/>
      <c r="F485" s="68"/>
      <c r="G485" s="1508" t="s">
        <v>921</v>
      </c>
      <c r="H485" s="882">
        <v>2020</v>
      </c>
      <c r="I485" s="882" t="s">
        <v>4066</v>
      </c>
      <c r="J485" s="68" t="s">
        <v>3332</v>
      </c>
      <c r="K485" s="68"/>
      <c r="L485" s="503"/>
      <c r="M485" s="68"/>
      <c r="N485" s="882"/>
      <c r="O485" s="2400"/>
      <c r="P485" s="2400"/>
      <c r="Q485" s="68"/>
    </row>
    <row r="486" spans="1:17" s="115" customFormat="1">
      <c r="C486" s="503"/>
      <c r="D486" s="68"/>
      <c r="E486" s="68"/>
      <c r="F486" s="68"/>
      <c r="G486" s="1508" t="s">
        <v>532</v>
      </c>
      <c r="H486" s="882">
        <v>2020</v>
      </c>
      <c r="I486" s="882" t="s">
        <v>4066</v>
      </c>
      <c r="J486" s="68" t="s">
        <v>3254</v>
      </c>
      <c r="K486" s="68"/>
      <c r="L486" s="503"/>
      <c r="M486" s="68"/>
      <c r="N486" s="882"/>
      <c r="O486" s="2400"/>
      <c r="P486" s="2400"/>
      <c r="Q486" s="68"/>
    </row>
    <row r="487" spans="1:17" s="115" customFormat="1">
      <c r="C487" s="503"/>
      <c r="D487" s="68"/>
      <c r="E487" s="68"/>
      <c r="F487" s="68"/>
      <c r="G487" s="1508" t="s">
        <v>809</v>
      </c>
      <c r="H487" s="882" t="s">
        <v>4067</v>
      </c>
      <c r="I487" s="1848" t="s">
        <v>2453</v>
      </c>
      <c r="J487" s="68" t="s">
        <v>3328</v>
      </c>
      <c r="K487" s="68"/>
      <c r="L487" s="503"/>
      <c r="M487" s="68"/>
      <c r="N487" s="882"/>
      <c r="O487" s="2400"/>
      <c r="P487" s="2400"/>
      <c r="Q487" s="68"/>
    </row>
    <row r="488" spans="1:17" s="115" customFormat="1">
      <c r="C488" s="503"/>
      <c r="D488" s="68"/>
      <c r="E488" s="68"/>
      <c r="F488" s="68"/>
      <c r="G488" s="1508" t="s">
        <v>3019</v>
      </c>
      <c r="H488" s="882">
        <v>2019</v>
      </c>
      <c r="I488" s="882" t="s">
        <v>4066</v>
      </c>
      <c r="J488" s="68" t="s">
        <v>3255</v>
      </c>
      <c r="K488" s="68"/>
      <c r="L488" s="503"/>
      <c r="M488" s="68"/>
      <c r="N488" s="882"/>
      <c r="O488" s="2400"/>
      <c r="P488" s="2400"/>
      <c r="Q488" s="68"/>
    </row>
    <row r="489" spans="1:17" s="115" customFormat="1">
      <c r="C489" s="68"/>
      <c r="D489" s="68"/>
      <c r="E489" s="68"/>
      <c r="F489" s="68"/>
      <c r="G489" s="1508" t="s">
        <v>764</v>
      </c>
      <c r="H489" s="882">
        <v>2019</v>
      </c>
      <c r="I489" s="882" t="s">
        <v>4066</v>
      </c>
      <c r="J489" s="68" t="s">
        <v>3329</v>
      </c>
      <c r="K489" s="68"/>
      <c r="L489" s="503"/>
      <c r="M489" s="68"/>
      <c r="N489" s="882"/>
      <c r="O489" s="2400"/>
      <c r="P489" s="2400"/>
      <c r="Q489" s="68"/>
    </row>
    <row r="490" spans="1:17" s="115" customFormat="1">
      <c r="C490" s="68"/>
      <c r="D490" s="68"/>
      <c r="E490" s="68"/>
      <c r="F490" s="68"/>
      <c r="G490" s="1508" t="s">
        <v>172</v>
      </c>
      <c r="H490" s="882">
        <v>2019</v>
      </c>
      <c r="I490" s="882" t="s">
        <v>4066</v>
      </c>
      <c r="J490" s="68" t="s">
        <v>3256</v>
      </c>
      <c r="K490" s="68"/>
      <c r="L490" s="68"/>
      <c r="M490" s="68"/>
      <c r="N490" s="882"/>
      <c r="O490" s="2400"/>
      <c r="P490" s="2400"/>
      <c r="Q490" s="68"/>
    </row>
    <row r="491" spans="1:17" s="115" customFormat="1">
      <c r="C491" s="68"/>
      <c r="D491" s="68"/>
      <c r="E491" s="68"/>
      <c r="F491" s="68"/>
      <c r="G491" s="1508" t="s">
        <v>3346</v>
      </c>
      <c r="H491" s="882" t="s">
        <v>4067</v>
      </c>
      <c r="I491" s="1848" t="s">
        <v>2453</v>
      </c>
      <c r="J491" s="68" t="s">
        <v>3330</v>
      </c>
      <c r="K491" s="68"/>
      <c r="L491" s="503"/>
      <c r="M491" s="68"/>
      <c r="N491" s="882"/>
      <c r="O491" s="2400"/>
      <c r="P491" s="2400"/>
      <c r="Q491" s="68"/>
    </row>
    <row r="492" spans="1:17" s="115" customFormat="1">
      <c r="C492" s="68"/>
      <c r="D492" s="68"/>
      <c r="E492" s="68"/>
      <c r="F492" s="68"/>
      <c r="G492" s="1508" t="s">
        <v>507</v>
      </c>
      <c r="H492" s="882">
        <v>2020</v>
      </c>
      <c r="I492" s="882" t="s">
        <v>4066</v>
      </c>
      <c r="J492" s="68" t="s">
        <v>3333</v>
      </c>
      <c r="K492" s="68"/>
      <c r="L492" s="503"/>
      <c r="M492" s="68"/>
      <c r="N492" s="882"/>
      <c r="O492" s="2400"/>
      <c r="P492" s="2400"/>
      <c r="Q492" s="68"/>
    </row>
    <row r="493" spans="1:17" s="115" customFormat="1">
      <c r="C493" s="68"/>
      <c r="D493" s="68"/>
      <c r="E493" s="68"/>
      <c r="F493" s="68"/>
      <c r="G493" s="1508" t="s">
        <v>376</v>
      </c>
      <c r="H493" s="882">
        <v>2020</v>
      </c>
      <c r="I493" s="882" t="s">
        <v>4066</v>
      </c>
      <c r="J493" s="68" t="s">
        <v>3336</v>
      </c>
      <c r="K493" s="68"/>
      <c r="L493" s="68"/>
      <c r="M493" s="68"/>
      <c r="N493" s="882"/>
      <c r="O493" s="2400"/>
      <c r="P493" s="2400"/>
      <c r="Q493" s="68"/>
    </row>
    <row r="494" spans="1:17" s="115" customFormat="1">
      <c r="C494" s="68"/>
      <c r="D494" s="697"/>
      <c r="E494" s="68"/>
      <c r="F494" s="68"/>
      <c r="G494" s="1508" t="s">
        <v>1349</v>
      </c>
      <c r="H494" s="882" t="s">
        <v>4067</v>
      </c>
      <c r="I494" s="1848" t="s">
        <v>2453</v>
      </c>
      <c r="J494" s="68" t="s">
        <v>3257</v>
      </c>
      <c r="K494" s="68"/>
      <c r="L494" s="503"/>
      <c r="M494" s="68"/>
      <c r="N494" s="882"/>
      <c r="O494" s="2400"/>
      <c r="P494" s="2400"/>
      <c r="Q494" s="68"/>
    </row>
    <row r="495" spans="1:17" s="115" customFormat="1">
      <c r="C495" s="68"/>
      <c r="D495" s="697"/>
      <c r="E495" s="68"/>
      <c r="F495" s="68"/>
      <c r="G495" s="1508" t="s">
        <v>1707</v>
      </c>
      <c r="H495" s="882" t="s">
        <v>4067</v>
      </c>
      <c r="I495" s="1848" t="s">
        <v>2453</v>
      </c>
      <c r="J495" s="68" t="s">
        <v>3258</v>
      </c>
      <c r="K495" s="68"/>
      <c r="L495" s="503"/>
      <c r="M495" s="68"/>
      <c r="N495" s="882"/>
      <c r="O495" s="2400"/>
      <c r="P495" s="2400"/>
      <c r="Q495" s="68"/>
    </row>
    <row r="496" spans="1:17" s="115" customFormat="1">
      <c r="C496" s="68"/>
      <c r="D496" s="68"/>
      <c r="E496" s="68"/>
      <c r="F496" s="68"/>
      <c r="G496" s="1508" t="s">
        <v>1969</v>
      </c>
      <c r="H496" s="882">
        <v>2020</v>
      </c>
      <c r="I496" s="882" t="s">
        <v>4066</v>
      </c>
      <c r="J496" s="68" t="s">
        <v>3331</v>
      </c>
      <c r="K496" s="68"/>
      <c r="L496" s="503"/>
      <c r="M496" s="68"/>
      <c r="N496" s="882"/>
      <c r="O496" s="2400"/>
      <c r="P496" s="2400"/>
      <c r="Q496" s="68"/>
    </row>
    <row r="497" spans="3:17" s="115" customFormat="1">
      <c r="C497" s="68"/>
      <c r="D497" s="68"/>
      <c r="E497" s="68"/>
      <c r="F497" s="68"/>
      <c r="G497" s="1508" t="s">
        <v>1352</v>
      </c>
      <c r="H497" s="882">
        <v>2019</v>
      </c>
      <c r="I497" s="882" t="s">
        <v>4066</v>
      </c>
      <c r="J497" s="68" t="s">
        <v>3334</v>
      </c>
      <c r="K497" s="68"/>
      <c r="L497" s="68"/>
      <c r="M497" s="68"/>
      <c r="N497" s="882"/>
      <c r="O497" s="2400"/>
      <c r="P497" s="2400"/>
      <c r="Q497" s="68"/>
    </row>
    <row r="498" spans="3:17" s="115" customFormat="1">
      <c r="C498" s="68"/>
      <c r="D498" s="68"/>
      <c r="E498" s="68"/>
      <c r="F498" s="68"/>
      <c r="G498" s="1508" t="s">
        <v>235</v>
      </c>
      <c r="H498" s="882">
        <v>2019</v>
      </c>
      <c r="I498" s="882" t="s">
        <v>4066</v>
      </c>
      <c r="J498" s="68" t="s">
        <v>3335</v>
      </c>
      <c r="K498" s="68"/>
      <c r="L498" s="503"/>
      <c r="M498" s="68"/>
      <c r="N498" s="882"/>
      <c r="O498" s="2400"/>
      <c r="P498" s="2400"/>
      <c r="Q498" s="68"/>
    </row>
    <row r="499" spans="3:17" s="115" customFormat="1">
      <c r="C499" s="68"/>
      <c r="D499" s="68"/>
      <c r="E499" s="68"/>
      <c r="F499" s="68"/>
      <c r="G499" s="1508" t="s">
        <v>978</v>
      </c>
      <c r="H499" s="882">
        <v>2020</v>
      </c>
      <c r="I499" s="882" t="s">
        <v>4066</v>
      </c>
      <c r="J499" s="68" t="s">
        <v>3259</v>
      </c>
      <c r="K499" s="68"/>
      <c r="L499" s="503"/>
      <c r="M499" s="68"/>
      <c r="N499" s="882"/>
      <c r="O499" s="2400"/>
      <c r="P499" s="2400"/>
      <c r="Q499" s="68"/>
    </row>
    <row r="500" spans="3:17" s="115" customFormat="1">
      <c r="C500" s="697"/>
      <c r="D500" s="68"/>
      <c r="E500" s="68"/>
      <c r="F500" s="68"/>
      <c r="G500" s="1508" t="s">
        <v>2096</v>
      </c>
      <c r="H500" s="882">
        <v>2020</v>
      </c>
      <c r="I500" s="882" t="s">
        <v>4066</v>
      </c>
      <c r="J500" s="68" t="s">
        <v>3260</v>
      </c>
      <c r="K500" s="68"/>
      <c r="L500" s="503"/>
      <c r="M500" s="68"/>
      <c r="N500" s="882"/>
      <c r="O500" s="2400"/>
      <c r="P500" s="2400"/>
      <c r="Q500" s="68"/>
    </row>
    <row r="501" spans="3:17" s="115" customFormat="1">
      <c r="C501" s="697"/>
      <c r="D501" s="68"/>
      <c r="E501" s="68"/>
      <c r="F501" s="68"/>
      <c r="G501" s="1508" t="s">
        <v>4061</v>
      </c>
      <c r="H501" s="882" t="s">
        <v>4067</v>
      </c>
      <c r="I501" s="1848" t="s">
        <v>2453</v>
      </c>
      <c r="J501" s="68"/>
      <c r="K501" s="68"/>
      <c r="L501" s="503"/>
      <c r="M501" s="68"/>
      <c r="N501" s="882"/>
      <c r="O501" s="2400"/>
      <c r="P501" s="2400"/>
      <c r="Q501" s="68"/>
    </row>
    <row r="502" spans="3:17" s="115" customFormat="1">
      <c r="C502" s="697"/>
      <c r="D502" s="68"/>
      <c r="E502" s="68"/>
      <c r="F502" s="68"/>
      <c r="G502" s="1508" t="s">
        <v>1749</v>
      </c>
      <c r="H502" s="882" t="s">
        <v>4067</v>
      </c>
      <c r="I502" s="1848" t="s">
        <v>2453</v>
      </c>
      <c r="J502" s="68"/>
      <c r="K502" s="68"/>
      <c r="L502" s="503"/>
      <c r="M502" s="68"/>
      <c r="N502" s="882"/>
      <c r="O502" s="2400"/>
      <c r="P502" s="2400"/>
      <c r="Q502" s="68"/>
    </row>
    <row r="503" spans="3:17" s="115" customFormat="1">
      <c r="C503" s="697"/>
      <c r="D503" s="68"/>
      <c r="E503" s="68"/>
      <c r="F503" s="68"/>
      <c r="G503" s="1508" t="s">
        <v>472</v>
      </c>
      <c r="H503" s="882" t="s">
        <v>4067</v>
      </c>
      <c r="I503" s="1848" t="s">
        <v>2453</v>
      </c>
      <c r="J503" s="68"/>
      <c r="K503" s="68"/>
      <c r="L503" s="503"/>
      <c r="M503" s="68"/>
      <c r="N503" s="882"/>
      <c r="O503" s="2400"/>
      <c r="P503" s="2400"/>
      <c r="Q503" s="68"/>
    </row>
    <row r="504" spans="3:17" s="115" customFormat="1">
      <c r="C504" s="697"/>
      <c r="D504" s="68"/>
      <c r="E504" s="68"/>
      <c r="F504" s="68"/>
      <c r="G504" s="1508" t="s">
        <v>1951</v>
      </c>
      <c r="H504" s="882" t="s">
        <v>4067</v>
      </c>
      <c r="I504" s="1848" t="s">
        <v>2453</v>
      </c>
      <c r="J504" s="68"/>
      <c r="K504" s="68"/>
      <c r="L504" s="503"/>
      <c r="M504" s="68"/>
      <c r="N504" s="882"/>
      <c r="O504" s="2400"/>
      <c r="P504" s="2400"/>
      <c r="Q504" s="68"/>
    </row>
    <row r="505" spans="3:17" s="115" customFormat="1">
      <c r="C505" s="697"/>
      <c r="D505" s="68"/>
      <c r="E505" s="68"/>
      <c r="F505" s="68"/>
      <c r="G505" s="1508" t="s">
        <v>2088</v>
      </c>
      <c r="H505" s="882">
        <v>2020</v>
      </c>
      <c r="I505" s="882" t="s">
        <v>4066</v>
      </c>
      <c r="J505" s="68"/>
      <c r="K505" s="68"/>
      <c r="L505" s="503"/>
      <c r="M505" s="68"/>
      <c r="N505" s="882"/>
      <c r="O505" s="2400"/>
      <c r="P505" s="2400"/>
      <c r="Q505" s="68"/>
    </row>
    <row r="506" spans="3:17" s="115" customFormat="1">
      <c r="C506" s="697"/>
      <c r="D506" s="68"/>
      <c r="E506" s="68"/>
      <c r="F506" s="68"/>
      <c r="G506" s="1508" t="s">
        <v>1974</v>
      </c>
      <c r="H506" s="882">
        <v>2020</v>
      </c>
      <c r="I506" s="882" t="s">
        <v>4066</v>
      </c>
      <c r="J506" s="68"/>
      <c r="K506" s="68"/>
      <c r="L506" s="68"/>
      <c r="M506" s="68"/>
      <c r="N506" s="882"/>
      <c r="O506" s="2400"/>
      <c r="P506" s="2400"/>
      <c r="Q506" s="68"/>
    </row>
    <row r="507" spans="3:17" s="115" customFormat="1">
      <c r="C507" s="68"/>
      <c r="D507" s="68"/>
      <c r="E507" s="68"/>
      <c r="F507" s="68"/>
      <c r="G507" s="1508" t="s">
        <v>2154</v>
      </c>
      <c r="H507" s="882">
        <v>2019</v>
      </c>
      <c r="I507" s="882" t="s">
        <v>4066</v>
      </c>
      <c r="J507" s="68"/>
      <c r="K507" s="68"/>
      <c r="L507" s="68"/>
      <c r="M507" s="68"/>
      <c r="N507" s="882"/>
      <c r="O507" s="2400"/>
      <c r="P507" s="2400"/>
      <c r="Q507" s="68"/>
    </row>
    <row r="508" spans="3:17" s="115" customFormat="1">
      <c r="C508" s="68"/>
      <c r="D508" s="68"/>
      <c r="E508" s="68"/>
      <c r="F508" s="68"/>
      <c r="G508" s="1508" t="s">
        <v>4062</v>
      </c>
      <c r="H508" s="68"/>
      <c r="I508" s="68"/>
      <c r="J508" s="68"/>
      <c r="K508" s="68"/>
      <c r="L508" s="68"/>
      <c r="M508" s="68"/>
      <c r="N508" s="882"/>
      <c r="O508" s="2400"/>
      <c r="P508" s="2400"/>
      <c r="Q508" s="68"/>
    </row>
    <row r="509" spans="3:17" s="115" customFormat="1">
      <c r="C509" s="68"/>
      <c r="D509" s="68"/>
      <c r="E509" s="68"/>
      <c r="F509" s="68"/>
      <c r="G509" s="1508" t="s">
        <v>1574</v>
      </c>
      <c r="H509" s="882">
        <v>2019</v>
      </c>
      <c r="I509" s="882" t="s">
        <v>4066</v>
      </c>
      <c r="J509" s="68"/>
      <c r="K509" s="68"/>
      <c r="L509" s="68"/>
      <c r="M509" s="68"/>
      <c r="N509" s="882"/>
      <c r="O509" s="2400"/>
      <c r="P509" s="2400"/>
      <c r="Q509" s="68"/>
    </row>
    <row r="510" spans="3:17" s="115" customFormat="1">
      <c r="C510" s="68"/>
      <c r="D510" s="68"/>
      <c r="E510" s="68"/>
      <c r="F510" s="68"/>
      <c r="G510" s="1508" t="s">
        <v>1577</v>
      </c>
      <c r="H510" s="882">
        <v>2020</v>
      </c>
      <c r="I510" s="882" t="s">
        <v>4066</v>
      </c>
      <c r="J510" s="68"/>
      <c r="K510" s="68"/>
      <c r="L510" s="68"/>
      <c r="M510" s="68"/>
      <c r="N510" s="882"/>
      <c r="O510" s="2400"/>
      <c r="P510" s="2400"/>
      <c r="Q510" s="68"/>
    </row>
    <row r="511" spans="3:17" s="115" customFormat="1">
      <c r="C511" s="68"/>
      <c r="D511" s="68"/>
      <c r="E511" s="68"/>
      <c r="F511" s="68"/>
      <c r="G511" s="1508" t="s">
        <v>1582</v>
      </c>
      <c r="H511" s="882">
        <v>2020</v>
      </c>
      <c r="I511" s="882" t="s">
        <v>4066</v>
      </c>
      <c r="J511" s="68"/>
      <c r="K511" s="68"/>
      <c r="L511" s="68"/>
      <c r="M511" s="68"/>
      <c r="N511" s="882"/>
      <c r="O511" s="2400"/>
      <c r="P511" s="2400"/>
      <c r="Q511" s="68"/>
    </row>
    <row r="512" spans="3:17" s="115" customFormat="1">
      <c r="C512" s="68"/>
      <c r="D512" s="68"/>
      <c r="E512" s="68"/>
      <c r="F512" s="68"/>
      <c r="G512" s="1508" t="s">
        <v>1590</v>
      </c>
      <c r="H512" s="882">
        <v>2020</v>
      </c>
      <c r="I512" s="882" t="s">
        <v>4066</v>
      </c>
      <c r="J512" s="68"/>
      <c r="K512" s="68"/>
      <c r="L512" s="68"/>
      <c r="M512" s="68"/>
      <c r="N512" s="882"/>
      <c r="O512" s="2400"/>
      <c r="P512" s="2400"/>
      <c r="Q512" s="68"/>
    </row>
    <row r="513" spans="3:17" s="115" customFormat="1">
      <c r="C513" s="68"/>
      <c r="D513" s="68"/>
      <c r="E513" s="68"/>
      <c r="F513" s="68"/>
      <c r="G513" s="1508" t="s">
        <v>1591</v>
      </c>
      <c r="H513" s="882">
        <v>2019</v>
      </c>
      <c r="I513" s="882" t="s">
        <v>4066</v>
      </c>
      <c r="J513" s="68"/>
      <c r="K513" s="68"/>
      <c r="L513" s="68"/>
      <c r="M513" s="68"/>
      <c r="N513" s="882"/>
      <c r="O513" s="2400"/>
      <c r="P513" s="2400"/>
      <c r="Q513" s="68"/>
    </row>
    <row r="514" spans="3:17" s="115" customFormat="1">
      <c r="C514" s="68"/>
      <c r="D514" s="68"/>
      <c r="E514" s="68"/>
      <c r="F514" s="68"/>
      <c r="G514" s="1508" t="s">
        <v>100</v>
      </c>
      <c r="H514" s="882">
        <v>2020</v>
      </c>
      <c r="I514" s="882" t="s">
        <v>4066</v>
      </c>
      <c r="J514" s="68"/>
      <c r="K514" s="68"/>
      <c r="L514" s="68"/>
      <c r="M514" s="68"/>
      <c r="N514" s="882"/>
      <c r="O514" s="2400"/>
      <c r="P514" s="2400"/>
      <c r="Q514" s="68"/>
    </row>
    <row r="515" spans="3:17" s="115" customFormat="1">
      <c r="C515" s="68"/>
      <c r="D515" s="68"/>
      <c r="E515" s="68"/>
      <c r="F515" s="68"/>
      <c r="G515" s="1508" t="s">
        <v>285</v>
      </c>
      <c r="H515" s="882">
        <v>2020</v>
      </c>
      <c r="I515" s="882" t="s">
        <v>4066</v>
      </c>
      <c r="J515" s="68"/>
      <c r="K515" s="68"/>
      <c r="L515" s="68"/>
      <c r="M515" s="68"/>
      <c r="N515" s="882"/>
      <c r="O515" s="2400"/>
      <c r="P515" s="2400"/>
      <c r="Q515" s="68"/>
    </row>
    <row r="516" spans="3:17" s="115" customFormat="1">
      <c r="C516" s="68"/>
      <c r="D516" s="68"/>
      <c r="E516" s="68"/>
      <c r="F516" s="68"/>
      <c r="G516" s="1508" t="s">
        <v>1442</v>
      </c>
      <c r="H516" s="882" t="s">
        <v>4067</v>
      </c>
      <c r="I516" s="1848" t="s">
        <v>2453</v>
      </c>
      <c r="J516" s="68"/>
      <c r="K516" s="68"/>
      <c r="L516" s="68"/>
      <c r="M516" s="68"/>
      <c r="N516" s="882"/>
      <c r="O516" s="2400"/>
      <c r="P516" s="2400"/>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507" customWidth="1"/>
    <col min="4" max="4" width="15.44140625" style="507" customWidth="1"/>
    <col min="5" max="5" width="4.6640625" style="507" customWidth="1"/>
    <col min="6" max="9" width="12.6640625" style="507" customWidth="1"/>
    <col min="10" max="10" width="5.33203125" style="507" customWidth="1"/>
    <col min="11" max="16384" width="9.33203125" style="507"/>
  </cols>
  <sheetData>
    <row r="1" spans="1:16" ht="15.6">
      <c r="A1" s="4768" t="s">
        <v>2581</v>
      </c>
      <c r="B1" s="4768"/>
      <c r="C1" s="4768"/>
      <c r="D1" s="4768"/>
      <c r="E1" s="4768"/>
      <c r="F1" s="4768"/>
      <c r="G1" s="4768"/>
      <c r="H1" s="4768"/>
      <c r="I1" s="4768"/>
      <c r="J1" s="4768"/>
    </row>
    <row r="2" spans="1:16" ht="15.6">
      <c r="A2" s="4768" t="str">
        <f>'Sensitivity Analysis'!C8</f>
        <v>Brightwood Lane Apartments</v>
      </c>
      <c r="B2" s="4768"/>
      <c r="C2" s="4768"/>
      <c r="D2" s="4768"/>
      <c r="E2" s="4768"/>
      <c r="F2" s="4768"/>
      <c r="G2" s="4768"/>
      <c r="H2" s="4768"/>
      <c r="I2" s="4768"/>
      <c r="J2" s="4768"/>
    </row>
    <row r="3" spans="1:16" ht="15.6">
      <c r="A3" s="4768" t="str">
        <f>'Subsidy Layering Memo'!F14</f>
        <v>Washington, Wilkes</v>
      </c>
      <c r="B3" s="4768"/>
      <c r="C3" s="4768"/>
      <c r="D3" s="4768"/>
      <c r="E3" s="4768"/>
      <c r="F3" s="4768"/>
      <c r="G3" s="4768"/>
      <c r="H3" s="4768"/>
      <c r="I3" s="4768"/>
      <c r="J3" s="4768"/>
    </row>
    <row r="4" spans="1:16" ht="15.6">
      <c r="A4" s="4769" t="s">
        <v>2582</v>
      </c>
      <c r="B4" s="4768"/>
      <c r="C4" s="4768"/>
      <c r="D4" s="4768"/>
      <c r="E4" s="4768"/>
      <c r="F4" s="4768"/>
      <c r="G4" s="4768"/>
      <c r="H4" s="4768"/>
      <c r="I4" s="4768"/>
      <c r="J4" s="4768"/>
    </row>
    <row r="5" spans="1:16" ht="5.25" customHeight="1"/>
    <row r="6" spans="1:16" ht="5.25" customHeight="1"/>
    <row r="7" spans="1:16" ht="15.6">
      <c r="A7" s="4770" t="s">
        <v>2583</v>
      </c>
      <c r="B7" s="4770"/>
      <c r="C7" s="4771"/>
      <c r="M7" s="4762"/>
      <c r="N7" s="4762"/>
      <c r="O7" s="4762"/>
      <c r="P7" s="4762"/>
    </row>
    <row r="8" spans="1:16" ht="57" customHeight="1">
      <c r="A8" s="4763" t="s">
        <v>6152</v>
      </c>
      <c r="B8" s="4763"/>
      <c r="C8" s="4763"/>
      <c r="D8" s="4763"/>
      <c r="E8" s="4763"/>
      <c r="F8" s="4763"/>
      <c r="G8" s="4763"/>
      <c r="H8" s="4763"/>
      <c r="I8" s="4763"/>
      <c r="J8" s="4763"/>
      <c r="K8" s="508"/>
    </row>
    <row r="9" spans="1:16" ht="45.75" customHeight="1">
      <c r="A9" s="4763"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Washington, Wilkes County, Georgia, with the development of 40 units set aside for &lt;&lt; Select PROPOSED Tenancy &gt;&gt;.</v>
      </c>
      <c r="B9" s="4763"/>
      <c r="C9" s="4763"/>
      <c r="D9" s="4763"/>
      <c r="E9" s="4763"/>
      <c r="F9" s="4763"/>
      <c r="G9" s="4763"/>
      <c r="H9" s="4763"/>
      <c r="I9" s="4763"/>
      <c r="J9" s="4763"/>
      <c r="K9" s="508"/>
    </row>
    <row r="10" spans="1:16" ht="15.6">
      <c r="A10" s="509" t="s">
        <v>2584</v>
      </c>
    </row>
    <row r="11" spans="1:16" ht="16.5" customHeight="1">
      <c r="A11" s="4763" t="str">
        <f>'Subsidy Layering Memo'!A50</f>
        <v xml:space="preserve">Ownership entity:  (NAME) LP, a Georgia Limited Partnership, will be the ownership entity for the proposed project. </v>
      </c>
      <c r="B11" s="4765"/>
      <c r="C11" s="4765"/>
      <c r="D11" s="4765"/>
      <c r="E11" s="4765"/>
      <c r="F11" s="4765"/>
      <c r="G11" s="4765"/>
      <c r="H11" s="4765"/>
      <c r="I11" s="4765"/>
      <c r="J11" s="4763"/>
    </row>
    <row r="12" spans="1:16" ht="63.75" customHeight="1">
      <c r="A12" s="4763"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63"/>
      <c r="C12" s="4763"/>
      <c r="D12" s="4763"/>
      <c r="E12" s="4763"/>
      <c r="F12" s="4763"/>
      <c r="G12" s="4763"/>
      <c r="H12" s="4763"/>
      <c r="I12" s="4763"/>
      <c r="J12" s="4763"/>
    </row>
    <row r="13" spans="1:16" ht="48.75" customHeight="1">
      <c r="A13" s="4763"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63"/>
      <c r="C13" s="4763"/>
      <c r="D13" s="4763"/>
      <c r="E13" s="4763"/>
      <c r="F13" s="4763"/>
      <c r="G13" s="4763"/>
      <c r="H13" s="4763"/>
      <c r="I13" s="4763"/>
      <c r="J13" s="4763"/>
    </row>
    <row r="14" spans="1:16" ht="15.6">
      <c r="A14" s="509" t="s">
        <v>2585</v>
      </c>
      <c r="B14" s="510"/>
    </row>
    <row r="15" spans="1:16">
      <c r="A15" s="507" t="s">
        <v>2586</v>
      </c>
      <c r="D15" s="1020" t="s">
        <v>2587</v>
      </c>
    </row>
    <row r="16" spans="1:16">
      <c r="A16" s="507" t="s">
        <v>2588</v>
      </c>
      <c r="D16" s="1254">
        <f>'Sensitivity Analysis'!C25</f>
        <v>769000</v>
      </c>
    </row>
    <row r="17" spans="1:11">
      <c r="A17" s="511" t="s">
        <v>2589</v>
      </c>
      <c r="D17" s="1255">
        <f>'Sensitivity Analysis'!C13</f>
        <v>40</v>
      </c>
    </row>
    <row r="18" spans="1:11" ht="14.25" customHeight="1"/>
    <row r="19" spans="1:11" ht="15.6">
      <c r="A19" s="509" t="s">
        <v>2590</v>
      </c>
      <c r="B19" s="510"/>
      <c r="C19" s="510"/>
    </row>
    <row r="20" spans="1:11" ht="48.75" customHeight="1">
      <c r="A20" s="4766"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66"/>
      <c r="C20" s="4766"/>
      <c r="D20" s="4766"/>
      <c r="E20" s="4766"/>
      <c r="F20" s="4766"/>
      <c r="G20" s="4766"/>
      <c r="H20" s="4766"/>
      <c r="I20" s="4766"/>
      <c r="J20" s="4766"/>
    </row>
    <row r="21" spans="1:11" ht="72.75" customHeight="1">
      <c r="A21" s="4763" t="str">
        <f>'Subsidy Layering Memo'!A67</f>
        <v xml:space="preserve"> will make a capital contribution totaling 1586243 via the syndication of the 2021 Federal LIHTC allocation of 206805 per annum. will make a capital contribution totaling 1265647 via the syndication of the 2021 State LIHTC allocation of 206805 per annum.</v>
      </c>
      <c r="B21" s="4763"/>
      <c r="C21" s="4763"/>
      <c r="D21" s="4763"/>
      <c r="E21" s="4763"/>
      <c r="F21" s="4763"/>
      <c r="G21" s="4763"/>
      <c r="H21" s="4763"/>
      <c r="I21" s="4763"/>
      <c r="J21" s="4763"/>
    </row>
    <row r="22" spans="1:11" ht="43.5" customHeight="1">
      <c r="A22" s="4767" t="str">
        <f>'Subsidy Layering Memo'!A68</f>
        <v xml:space="preserve">The total equity price per credit will be 1.37902329 (0.76702329 Federal tax credit and 0.612 State tax credit) for a (X%) ownership interest of the Federal Credits and a (X%) ownership interest of the State Credits. </v>
      </c>
      <c r="B22" s="4767"/>
      <c r="C22" s="4767"/>
      <c r="D22" s="4767"/>
      <c r="E22" s="4767"/>
      <c r="F22" s="4767"/>
      <c r="G22" s="4767"/>
      <c r="H22" s="4767"/>
      <c r="I22" s="4767"/>
      <c r="J22" s="4767"/>
    </row>
    <row r="23" spans="1:11" ht="15.6">
      <c r="A23" s="509" t="s">
        <v>6153</v>
      </c>
      <c r="B23" s="510"/>
      <c r="C23" s="510"/>
      <c r="D23" s="510"/>
      <c r="E23" s="510"/>
      <c r="F23" s="510"/>
    </row>
    <row r="24" spans="1:11" ht="102.75" customHeight="1">
      <c r="A24" s="476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63"/>
      <c r="C24" s="4763"/>
      <c r="D24" s="4763"/>
      <c r="E24" s="4763"/>
      <c r="F24" s="4763"/>
      <c r="G24" s="4763"/>
      <c r="H24" s="4763"/>
      <c r="I24" s="4763"/>
      <c r="J24" s="4763"/>
    </row>
    <row r="25" spans="1:11" ht="15" customHeight="1">
      <c r="A25" s="4764"/>
      <c r="B25" s="4764"/>
      <c r="C25" s="4764"/>
      <c r="D25" s="4764"/>
      <c r="E25" s="4764"/>
      <c r="F25" s="4764"/>
      <c r="G25" s="4764"/>
      <c r="H25" s="4764"/>
      <c r="I25" s="4764"/>
      <c r="J25" s="4764"/>
      <c r="K25" s="507" t="s">
        <v>233</v>
      </c>
    </row>
    <row r="26" spans="1:11" ht="15" customHeight="1">
      <c r="B26" s="1019"/>
      <c r="C26" s="1019"/>
      <c r="D26" s="1019"/>
      <c r="E26" s="1019"/>
      <c r="F26" s="1019"/>
      <c r="G26" s="1019"/>
      <c r="H26" s="1019"/>
      <c r="I26" s="1019" t="s">
        <v>233</v>
      </c>
      <c r="J26" s="1019"/>
    </row>
    <row r="27" spans="1:11" ht="15.6">
      <c r="A27" s="510" t="s">
        <v>2591</v>
      </c>
    </row>
    <row r="29" spans="1:11" ht="15.6"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2645</v>
      </c>
      <c r="B1" s="550"/>
      <c r="C1" s="550"/>
      <c r="D1" s="550"/>
      <c r="E1" s="550"/>
      <c r="F1" s="550"/>
      <c r="G1" s="550"/>
      <c r="H1" s="550"/>
      <c r="I1" s="550"/>
      <c r="J1" s="550"/>
      <c r="K1" s="550"/>
      <c r="L1" s="510"/>
      <c r="M1" s="510"/>
    </row>
    <row r="2" spans="1:14" s="10" customFormat="1" ht="17.399999999999999">
      <c r="A2" s="966" t="str">
        <f>+"Financial Analysis for:  "&amp;E8&amp;"  "&amp;C8</f>
        <v>Financial Analysis for:  2023-5  Brightwood Lane Apartments</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76" t="s">
        <v>2646</v>
      </c>
      <c r="B7" s="567"/>
      <c r="C7" s="1977"/>
      <c r="D7" s="567"/>
      <c r="E7" s="567"/>
      <c r="F7" s="576" t="s">
        <v>2958</v>
      </c>
      <c r="G7" s="567"/>
      <c r="H7" s="4773"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73"/>
      <c r="J7" s="4773"/>
      <c r="K7" s="4773"/>
      <c r="L7" s="567"/>
      <c r="M7" s="507"/>
    </row>
    <row r="8" spans="1:14" ht="15.6">
      <c r="A8" s="576" t="s">
        <v>2647</v>
      </c>
      <c r="B8" s="576"/>
      <c r="C8" s="4773" t="str">
        <f>'Part I-Project Identification'!$F$25</f>
        <v>Brightwood Lane Apartments</v>
      </c>
      <c r="D8" s="4773"/>
      <c r="E8" s="1978" t="str">
        <f>'Part I-Project Identification'!$O$7</f>
        <v>2023-5</v>
      </c>
      <c r="F8" s="576" t="s">
        <v>2648</v>
      </c>
      <c r="G8" s="567"/>
      <c r="H8" s="4773" t="str">
        <f>CONCATENATE('Part I-Project Identification'!$F$26,", ",'Part I-Project Identification'!$J$26)</f>
        <v>Washington, Wilkes</v>
      </c>
      <c r="I8" s="4773"/>
      <c r="J8" s="4773"/>
      <c r="K8" s="4773"/>
      <c r="L8" s="567"/>
      <c r="M8" s="545"/>
    </row>
    <row r="9" spans="1:14" ht="15.6">
      <c r="A9" s="576" t="s">
        <v>2650</v>
      </c>
      <c r="B9" s="576"/>
      <c r="C9" s="4773" t="s">
        <v>1646</v>
      </c>
      <c r="D9" s="4773"/>
      <c r="E9" s="567"/>
      <c r="F9" s="576" t="s">
        <v>2651</v>
      </c>
      <c r="G9" s="567"/>
      <c r="H9" s="4782"/>
      <c r="I9" s="4782"/>
      <c r="J9" s="4782"/>
      <c r="K9" s="4782"/>
      <c r="L9" s="4782"/>
      <c r="M9" s="545"/>
    </row>
    <row r="10" spans="1:14" ht="15.6">
      <c r="A10" s="576" t="s">
        <v>2653</v>
      </c>
      <c r="B10" s="567"/>
      <c r="C10" s="4783"/>
      <c r="D10" s="4783"/>
      <c r="E10" s="567"/>
      <c r="F10" s="576" t="s">
        <v>3131</v>
      </c>
      <c r="G10" s="567"/>
      <c r="H10" s="4778"/>
      <c r="I10" s="4778"/>
      <c r="J10" s="4778"/>
      <c r="K10" s="4778"/>
      <c r="L10" s="4778"/>
    </row>
    <row r="11" spans="1:14" ht="15.6">
      <c r="A11" s="576" t="s">
        <v>2654</v>
      </c>
      <c r="B11" s="567"/>
      <c r="C11" s="4777"/>
      <c r="D11" s="4777"/>
      <c r="E11" s="1992"/>
      <c r="F11" s="576" t="s">
        <v>606</v>
      </c>
      <c r="G11" s="567"/>
      <c r="H11" s="4778"/>
      <c r="I11" s="4778"/>
      <c r="J11" s="4778"/>
      <c r="K11" s="4778"/>
      <c r="L11" s="4778"/>
      <c r="M11" s="4779"/>
      <c r="N11" s="4780"/>
    </row>
    <row r="12" spans="1:14" ht="15.6">
      <c r="A12" s="576" t="s">
        <v>2655</v>
      </c>
      <c r="B12" s="567"/>
      <c r="C12" s="4777"/>
      <c r="D12" s="4777"/>
      <c r="E12" s="567"/>
      <c r="F12" s="576" t="s">
        <v>2656</v>
      </c>
      <c r="G12" s="567"/>
      <c r="H12" s="4777"/>
      <c r="I12" s="4777"/>
      <c r="J12" s="4777"/>
      <c r="K12" s="4777"/>
      <c r="L12" s="4777"/>
      <c r="M12" s="507"/>
    </row>
    <row r="13" spans="1:14" ht="15.6">
      <c r="A13" s="576" t="s">
        <v>2657</v>
      </c>
      <c r="B13" s="576"/>
      <c r="C13" s="1979">
        <f>'Part V-Revenues &amp; Expenses'!$P$67</f>
        <v>40</v>
      </c>
      <c r="D13" s="26"/>
      <c r="E13" s="1980">
        <f>'Part V-Revenues &amp; Expenses'!$P$63</f>
        <v>40</v>
      </c>
      <c r="F13" s="576" t="s">
        <v>3452</v>
      </c>
      <c r="G13" s="567"/>
      <c r="H13" s="1990"/>
      <c r="I13" s="1982"/>
      <c r="J13" s="1982"/>
      <c r="K13" s="1981">
        <f>'Part V-Revenues &amp; Expenses'!$K$175</f>
        <v>29849</v>
      </c>
      <c r="L13" s="567"/>
      <c r="M13" s="507"/>
    </row>
    <row r="14" spans="1:14" ht="15.6">
      <c r="A14" s="576" t="s">
        <v>2949</v>
      </c>
      <c r="B14" s="567"/>
      <c r="C14" s="1981" t="str">
        <f>'Part VII-Threshold Criteria OLD'!J35</f>
        <v>&lt;&lt; Select PROPOSED Tenancy &gt;&gt;</v>
      </c>
      <c r="D14" s="4773" t="str">
        <f>IF('Part VII-Threshold Criteria OLD'!$N$35=0,"",'Part VII-Threshold Criteria OLD'!$N$35)</f>
        <v/>
      </c>
      <c r="E14" s="4773"/>
      <c r="F14" s="576" t="s">
        <v>2658</v>
      </c>
      <c r="G14" s="567"/>
      <c r="H14" s="4781" t="s">
        <v>3099</v>
      </c>
      <c r="I14" s="4781"/>
      <c r="J14" s="4781"/>
      <c r="K14" s="4781" t="s">
        <v>3099</v>
      </c>
      <c r="L14" s="4781"/>
      <c r="M14" s="507"/>
    </row>
    <row r="15" spans="1:14" ht="15.6">
      <c r="A15" s="576" t="s">
        <v>2659</v>
      </c>
      <c r="B15" s="567"/>
      <c r="C15" s="1983" t="s">
        <v>1646</v>
      </c>
      <c r="D15" s="567"/>
      <c r="E15" s="567"/>
      <c r="F15" s="576" t="s">
        <v>2950</v>
      </c>
      <c r="G15" s="567"/>
      <c r="H15" s="1978" t="str">
        <f>'Part I-Project Identification'!K28</f>
        <v>Rural</v>
      </c>
      <c r="I15" s="567"/>
      <c r="J15" s="567"/>
      <c r="K15" s="567"/>
      <c r="L15" s="567"/>
      <c r="M15" s="507"/>
    </row>
    <row r="16" spans="1:14" ht="15.6">
      <c r="A16" s="576" t="s">
        <v>3126</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6">
      <c r="A18" s="576" t="s">
        <v>2952</v>
      </c>
      <c r="B18" s="567"/>
      <c r="C18" s="1985">
        <f>'Part III-A-Uses of Funds'!$G$146</f>
        <v>4829637</v>
      </c>
      <c r="D18" s="1986">
        <f>IF(C18=0,"",$C$29/C18)</f>
        <v>0.15922521713329593</v>
      </c>
      <c r="E18" s="567" t="s">
        <v>2953</v>
      </c>
      <c r="F18" s="576" t="s">
        <v>6750</v>
      </c>
      <c r="G18" s="567"/>
      <c r="H18" s="4772">
        <f>'Part III-A-Uses of Funds'!$C$49</f>
        <v>2052000</v>
      </c>
      <c r="I18" s="4772"/>
      <c r="J18" s="1987">
        <f>IF(H18=0,"",$C$29/H18)</f>
        <v>0.37475633528265107</v>
      </c>
      <c r="K18" s="4773" t="s">
        <v>2955</v>
      </c>
      <c r="L18" s="4773"/>
      <c r="M18" s="507"/>
    </row>
    <row r="19" spans="1:13" ht="15.6">
      <c r="A19" s="576" t="s">
        <v>2660</v>
      </c>
      <c r="B19" s="567"/>
      <c r="C19" s="1988">
        <f>C18/C13</f>
        <v>120740.925</v>
      </c>
      <c r="D19" s="567"/>
      <c r="E19" s="567"/>
      <c r="F19" s="576" t="s">
        <v>2660</v>
      </c>
      <c r="G19" s="567"/>
      <c r="H19" s="4774">
        <f>H18/C13</f>
        <v>51300</v>
      </c>
      <c r="I19" s="4774"/>
      <c r="J19" s="567"/>
      <c r="K19" s="567"/>
      <c r="L19" s="567"/>
      <c r="M19" s="507"/>
    </row>
    <row r="20" spans="1:13" ht="15.6">
      <c r="A20" s="576" t="s">
        <v>2661</v>
      </c>
      <c r="B20" s="567"/>
      <c r="C20" s="1978">
        <f>C18/K13</f>
        <v>161.8023049348387</v>
      </c>
      <c r="D20" s="1989"/>
      <c r="E20" s="1989"/>
      <c r="F20" s="576" t="s">
        <v>2661</v>
      </c>
      <c r="G20" s="567"/>
      <c r="H20" s="4773">
        <f>H18/K13</f>
        <v>68.746021642266072</v>
      </c>
      <c r="I20" s="4774"/>
      <c r="J20" s="567"/>
      <c r="K20" s="567"/>
      <c r="L20" s="56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6">
      <c r="A25" s="510" t="s">
        <v>2664</v>
      </c>
      <c r="B25" s="552" t="str">
        <f>'Part II-Sources of Funds'!E40</f>
        <v>Churchill Stateside Group</v>
      </c>
      <c r="C25" s="553">
        <f>'Part II-Sources of Funds'!I40</f>
        <v>769000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2" thickBot="1">
      <c r="A29" s="507"/>
      <c r="B29" s="556" t="s">
        <v>2669</v>
      </c>
      <c r="C29" s="1976">
        <f>SUM(C25:C27)</f>
        <v>769000</v>
      </c>
      <c r="D29" s="507"/>
      <c r="E29" s="507"/>
      <c r="F29" s="507"/>
      <c r="G29" s="507" t="s">
        <v>2670</v>
      </c>
      <c r="H29" s="507"/>
      <c r="I29" s="507"/>
      <c r="K29" s="555" t="e">
        <f>C29/K28</f>
        <v>#DIV/0!</v>
      </c>
      <c r="L29" s="507"/>
      <c r="M29" s="507"/>
    </row>
    <row r="30" spans="1:13" ht="16.2" thickTop="1">
      <c r="A30" s="510" t="s">
        <v>2671</v>
      </c>
      <c r="B30" s="556"/>
      <c r="C30" s="558">
        <f>'Part II-Sources of Funds'!$I$51+'Part II-Sources of Funds'!$I$52</f>
        <v>2851890</v>
      </c>
      <c r="D30" s="507"/>
      <c r="E30" s="507"/>
      <c r="F30" s="507"/>
      <c r="G30" s="507"/>
      <c r="H30" s="507"/>
      <c r="I30" s="507"/>
      <c r="K30" s="559"/>
      <c r="L30" s="507"/>
      <c r="M30" s="507"/>
    </row>
    <row r="31" spans="1:13" ht="15">
      <c r="A31" s="560" t="s">
        <v>2672</v>
      </c>
      <c r="B31" s="552" t="str">
        <f>'Part II-Sources of Funds'!E41</f>
        <v>USDA Rural Development</v>
      </c>
      <c r="C31" s="553">
        <f>'Part II-Sources of Funds'!I41</f>
        <v>1028757</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6">
      <c r="A34" s="507"/>
      <c r="B34" s="556" t="s">
        <v>2675</v>
      </c>
      <c r="C34" s="558">
        <f>SUM(C31:C33)</f>
        <v>1028757</v>
      </c>
      <c r="D34" s="507"/>
      <c r="E34" s="507"/>
      <c r="F34" s="507"/>
      <c r="G34" s="507"/>
      <c r="H34" s="507"/>
      <c r="I34" s="507"/>
      <c r="K34" s="507"/>
      <c r="L34" s="507"/>
      <c r="M34" s="561"/>
    </row>
    <row r="35" spans="1:13" ht="15.6">
      <c r="A35" s="507"/>
      <c r="B35" s="556"/>
      <c r="C35" s="507"/>
      <c r="D35" s="507"/>
      <c r="E35" s="507"/>
      <c r="F35" s="507"/>
      <c r="G35" s="973" t="s">
        <v>2676</v>
      </c>
      <c r="H35" s="973"/>
      <c r="I35" s="973"/>
      <c r="K35" s="562" t="e">
        <f>(C36)/K25</f>
        <v>#DIV/0!</v>
      </c>
      <c r="L35" s="507"/>
      <c r="M35" s="507"/>
    </row>
    <row r="36" spans="1:13" ht="15.6">
      <c r="A36" s="507"/>
      <c r="B36" s="556" t="s">
        <v>2677</v>
      </c>
      <c r="C36" s="558">
        <f>C29+C34</f>
        <v>1797757</v>
      </c>
      <c r="D36" s="507"/>
      <c r="E36" s="507"/>
      <c r="F36" s="507"/>
      <c r="G36" s="507"/>
      <c r="H36" s="507"/>
      <c r="I36" s="507"/>
      <c r="K36" s="507"/>
      <c r="L36" s="507"/>
      <c r="M36" s="507"/>
    </row>
    <row r="37" spans="1:13" ht="15.6">
      <c r="A37" s="507"/>
      <c r="B37" s="556"/>
      <c r="C37" s="559"/>
      <c r="D37" s="507"/>
      <c r="E37" s="507"/>
      <c r="F37" s="507"/>
      <c r="G37" s="973" t="s">
        <v>2678</v>
      </c>
      <c r="H37" s="973"/>
      <c r="I37" s="973"/>
      <c r="K37" s="974" t="e">
        <f>+(C36)/K32</f>
        <v>#DIV/0!</v>
      </c>
      <c r="L37" s="507"/>
      <c r="M37" s="561"/>
    </row>
    <row r="38" spans="1:13" ht="15.6">
      <c r="A38" s="507"/>
      <c r="B38" s="556" t="s">
        <v>2679</v>
      </c>
      <c r="C38" s="563">
        <f>C36/C18</f>
        <v>0.37223439359935334</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2680</v>
      </c>
      <c r="C40" s="563">
        <f>C36/H18</f>
        <v>0.87609990253411307</v>
      </c>
      <c r="D40" s="507"/>
      <c r="E40" s="507"/>
      <c r="F40" s="510"/>
      <c r="G40" s="510" t="s">
        <v>2681</v>
      </c>
      <c r="H40" s="507"/>
      <c r="I40" s="507"/>
      <c r="K40" s="555">
        <f>C30/C18</f>
        <v>0.59049779517591072</v>
      </c>
      <c r="L40" s="507"/>
      <c r="M40" s="507"/>
    </row>
    <row r="46" spans="1:13" ht="15.6">
      <c r="A46" s="550" t="s">
        <v>2682</v>
      </c>
      <c r="B46" s="540"/>
      <c r="C46" s="540"/>
      <c r="D46" s="540"/>
      <c r="E46" s="540"/>
      <c r="F46" s="540"/>
      <c r="G46" s="540"/>
      <c r="H46" s="540"/>
      <c r="I46" s="540"/>
      <c r="J46" s="540"/>
      <c r="K46" s="540"/>
      <c r="L46" s="540"/>
      <c r="M46" s="507"/>
    </row>
    <row r="47" spans="1:13" ht="15.6">
      <c r="A47" s="550" t="str">
        <f>C8</f>
        <v>Brightwood Lane Apartments</v>
      </c>
      <c r="B47" s="540"/>
      <c r="C47" s="540"/>
      <c r="D47" s="540"/>
      <c r="E47" s="540"/>
      <c r="F47" s="540"/>
      <c r="G47" s="540"/>
      <c r="H47" s="540"/>
      <c r="I47" s="540"/>
      <c r="J47" s="540"/>
      <c r="K47" s="540"/>
      <c r="L47" s="540"/>
      <c r="M47" s="507"/>
    </row>
    <row r="50" spans="1:14" s="507" customFormat="1" ht="15.6">
      <c r="A50" s="510" t="s">
        <v>2683</v>
      </c>
      <c r="C50" s="561" t="s">
        <v>2684</v>
      </c>
      <c r="E50" s="564" t="s">
        <v>3100</v>
      </c>
      <c r="F50" s="565">
        <v>0.1</v>
      </c>
      <c r="G50" s="564" t="s">
        <v>3101</v>
      </c>
      <c r="H50" s="565">
        <v>0.05</v>
      </c>
      <c r="I50" s="564" t="s">
        <v>3102</v>
      </c>
      <c r="J50" s="565">
        <v>0.03</v>
      </c>
      <c r="K50" s="4775" t="s">
        <v>2685</v>
      </c>
      <c r="L50" s="4776"/>
      <c r="M50"/>
      <c r="N50"/>
    </row>
    <row r="51" spans="1:14" s="507" customFormat="1" ht="15.6">
      <c r="A51" s="510"/>
      <c r="C51" s="561"/>
      <c r="E51" s="561"/>
      <c r="F51" s="566"/>
      <c r="G51" s="561"/>
      <c r="H51" s="566"/>
      <c r="I51" s="561"/>
      <c r="J51" s="566"/>
      <c r="K51" s="561"/>
      <c r="M51"/>
      <c r="N51"/>
    </row>
    <row r="52" spans="1:14" s="507" customFormat="1" ht="18.75" customHeight="1">
      <c r="B52" s="567" t="s">
        <v>2686</v>
      </c>
      <c r="C52" s="568">
        <f>'Part VI-Pro Forma'!B15</f>
        <v>281736</v>
      </c>
      <c r="D52" s="568"/>
      <c r="E52" s="568">
        <f>$C$52</f>
        <v>281736</v>
      </c>
      <c r="F52" s="568"/>
      <c r="G52" s="568">
        <f>$C$52</f>
        <v>281736</v>
      </c>
      <c r="H52" s="568"/>
      <c r="I52" s="568">
        <f>$C$52</f>
        <v>281736</v>
      </c>
      <c r="J52" s="568"/>
      <c r="K52" s="568">
        <f>$C$52</f>
        <v>281736</v>
      </c>
      <c r="L52" s="569"/>
      <c r="M52"/>
      <c r="N52"/>
    </row>
    <row r="53" spans="1:14" s="507" customFormat="1" ht="18.75" customHeight="1">
      <c r="B53" s="567" t="s">
        <v>2689</v>
      </c>
      <c r="C53" s="568">
        <f>'Part VI-Pro Forma'!B16</f>
        <v>892</v>
      </c>
      <c r="D53" s="568"/>
      <c r="E53" s="568">
        <f>$C$53</f>
        <v>892</v>
      </c>
      <c r="F53" s="568"/>
      <c r="G53" s="568">
        <f>$C$53</f>
        <v>892</v>
      </c>
      <c r="H53" s="568"/>
      <c r="I53" s="568">
        <f>$C$53</f>
        <v>892</v>
      </c>
      <c r="J53" s="568"/>
      <c r="K53" s="568">
        <f>$C$53</f>
        <v>892</v>
      </c>
      <c r="L53" s="569"/>
      <c r="M53"/>
      <c r="N53"/>
    </row>
    <row r="54" spans="1:14" s="507" customFormat="1" ht="18.75" customHeight="1">
      <c r="B54" s="567" t="s">
        <v>2687</v>
      </c>
      <c r="C54" s="568">
        <f>'Part VI-Pro Forma'!B17</f>
        <v>-14131.400000000001</v>
      </c>
      <c r="D54" s="568"/>
      <c r="E54" s="568">
        <f>-($C$52+E53)*F50</f>
        <v>-28262.800000000003</v>
      </c>
      <c r="F54" s="570"/>
      <c r="G54" s="568">
        <f>-($C$52+G53)*0.07</f>
        <v>-19783.960000000003</v>
      </c>
      <c r="H54" s="568"/>
      <c r="I54" s="568">
        <f>-($C$52+I53)*0.07</f>
        <v>-19783.960000000003</v>
      </c>
      <c r="J54" s="568"/>
      <c r="K54" s="568">
        <f>-($C$52+K53)*L54</f>
        <v>-28262.800000000003</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268496.59999999998</v>
      </c>
      <c r="D56" s="568"/>
      <c r="E56" s="574">
        <f>SUM(E52:E55)</f>
        <v>254365.2</v>
      </c>
      <c r="F56" s="568"/>
      <c r="G56" s="574">
        <f>SUM(G52:G55)</f>
        <v>262844.03999999998</v>
      </c>
      <c r="H56" s="568"/>
      <c r="I56" s="574">
        <f>SUM(I52:I55)</f>
        <v>262844.03999999998</v>
      </c>
      <c r="J56" s="568"/>
      <c r="K56" s="574">
        <f>SUM(K52:K55)</f>
        <v>254365.2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5750</v>
      </c>
      <c r="D58" s="568"/>
      <c r="E58" s="568">
        <f>$C$58</f>
        <v>5750</v>
      </c>
      <c r="F58" s="568"/>
      <c r="G58" s="568">
        <f>$C$58</f>
        <v>5750</v>
      </c>
      <c r="H58" s="568"/>
      <c r="I58" s="568">
        <f>$C$58</f>
        <v>5750</v>
      </c>
      <c r="J58" s="568"/>
      <c r="K58" s="568">
        <f>$C$58</f>
        <v>5750</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1000</v>
      </c>
      <c r="D60" s="568"/>
      <c r="E60" s="568">
        <f>$C$60</f>
        <v>1000</v>
      </c>
      <c r="F60" s="568"/>
      <c r="G60" s="568">
        <f>$C$60</f>
        <v>1000</v>
      </c>
      <c r="H60" s="568"/>
      <c r="I60" s="568">
        <f>$C$60*(1+$J$50)</f>
        <v>1030</v>
      </c>
      <c r="J60" s="570"/>
      <c r="K60" s="568">
        <f>$C$60*(1+$J$50)</f>
        <v>1030</v>
      </c>
      <c r="L60" s="571">
        <v>0.03</v>
      </c>
      <c r="M60"/>
      <c r="N60"/>
    </row>
    <row r="61" spans="1:14" s="507" customFormat="1" ht="18.75" customHeight="1">
      <c r="B61" s="567" t="s">
        <v>1298</v>
      </c>
      <c r="C61" s="568">
        <f>+'Part V-Revenues &amp; Expenses'!L244</f>
        <v>18250</v>
      </c>
      <c r="D61" s="568"/>
      <c r="E61" s="568">
        <f>$C$61</f>
        <v>18250</v>
      </c>
      <c r="F61" s="568"/>
      <c r="G61" s="568">
        <f>$C$61*(1+H50)</f>
        <v>19162.5</v>
      </c>
      <c r="H61" s="570"/>
      <c r="I61" s="568">
        <f>$C$61</f>
        <v>18250</v>
      </c>
      <c r="J61" s="568"/>
      <c r="K61" s="568">
        <f>$C$61*(1+$L$61)</f>
        <v>19162.5</v>
      </c>
      <c r="L61" s="571">
        <v>0.05</v>
      </c>
      <c r="M61"/>
      <c r="N61"/>
    </row>
    <row r="62" spans="1:14" s="507" customFormat="1" ht="18.75" customHeight="1">
      <c r="B62" s="573" t="s">
        <v>2693</v>
      </c>
      <c r="C62" s="574">
        <f>SUM(C58:C61)</f>
        <v>25000</v>
      </c>
      <c r="D62" s="568"/>
      <c r="E62" s="574">
        <f>SUM(E58:E61)</f>
        <v>25000</v>
      </c>
      <c r="F62" s="568"/>
      <c r="G62" s="574">
        <f>SUM(G58:G61)</f>
        <v>25912.5</v>
      </c>
      <c r="H62" s="568"/>
      <c r="I62" s="574">
        <f>SUM(I58:I61)</f>
        <v>25030</v>
      </c>
      <c r="J62" s="568"/>
      <c r="K62" s="574">
        <f>SUM(K58:K61)</f>
        <v>25942.5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2694</v>
      </c>
      <c r="C64" s="577">
        <f>C56-C62</f>
        <v>243496.59999999998</v>
      </c>
      <c r="D64" s="577"/>
      <c r="E64" s="577">
        <f>E56-E62</f>
        <v>229365.2</v>
      </c>
      <c r="F64" s="577"/>
      <c r="G64" s="577">
        <f>G56-G62</f>
        <v>236931.53999999998</v>
      </c>
      <c r="H64" s="577"/>
      <c r="I64" s="577">
        <f>I56-I62</f>
        <v>237814.03999999998</v>
      </c>
      <c r="J64" s="577"/>
      <c r="K64" s="577">
        <f>K56-K62</f>
        <v>228422.7</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2697</v>
      </c>
      <c r="C70" s="580">
        <f>C64-C66-C68</f>
        <v>243496.59999999998</v>
      </c>
      <c r="D70" s="577"/>
      <c r="E70" s="580">
        <f>E64-E66-E68</f>
        <v>229365.2</v>
      </c>
      <c r="F70" s="577"/>
      <c r="G70" s="580">
        <f>G64-G66-G68</f>
        <v>236931.53999999998</v>
      </c>
      <c r="H70" s="577"/>
      <c r="I70" s="580">
        <f>I64-I66-I68</f>
        <v>237814.03999999998</v>
      </c>
      <c r="J70" s="577"/>
      <c r="K70" s="580">
        <f>K64-K66-K68</f>
        <v>228422.7</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4.3733181946770046</v>
      </c>
      <c r="D72" s="581"/>
      <c r="E72" s="1004">
        <f>-E70/E75</f>
        <v>4.119511329463041</v>
      </c>
      <c r="F72" s="581"/>
      <c r="G72" s="1004">
        <f>-G70/G75</f>
        <v>4.2554065016712457</v>
      </c>
      <c r="H72" s="581"/>
      <c r="I72" s="1004">
        <f>-I70/I75</f>
        <v>4.2712566338981528</v>
      </c>
      <c r="J72" s="581"/>
      <c r="K72" s="1004">
        <f>-K70/K75</f>
        <v>4.1025835678496012</v>
      </c>
      <c r="L72" s="4"/>
      <c r="M72" s="10"/>
      <c r="N72" s="10"/>
    </row>
    <row r="73" spans="1:14" s="507" customFormat="1" ht="18.75" customHeight="1">
      <c r="A73"/>
      <c r="B73" s="567" t="s">
        <v>2699</v>
      </c>
      <c r="C73" s="1005">
        <f>C76/C62</f>
        <v>7.5127532418907679</v>
      </c>
      <c r="D73" s="582"/>
      <c r="E73" s="1005">
        <f>E76/E62</f>
        <v>6.947497241890769</v>
      </c>
      <c r="F73" s="582"/>
      <c r="G73" s="1005">
        <f>G76/G62</f>
        <v>6.99483921070021</v>
      </c>
      <c r="H73" s="582"/>
      <c r="I73" s="1005">
        <f>I76/I62</f>
        <v>7.2767187793555417</v>
      </c>
      <c r="J73" s="582"/>
      <c r="K73" s="1005">
        <f>K76/K62</f>
        <v>6.6587619175973494</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-55677.768952730781</v>
      </c>
      <c r="D75" s="568"/>
      <c r="E75" s="568">
        <f>$C$75</f>
        <v>-55677.768952730781</v>
      </c>
      <c r="F75" s="568"/>
      <c r="G75" s="568">
        <f>$C$75</f>
        <v>-55677.768952730781</v>
      </c>
      <c r="H75" s="568"/>
      <c r="I75" s="568">
        <f>$C$75</f>
        <v>-55677.768952730781</v>
      </c>
      <c r="J75" s="568"/>
      <c r="K75" s="568">
        <f>$C$75</f>
        <v>-55677.768952730781</v>
      </c>
      <c r="L75" s="26"/>
      <c r="M75"/>
      <c r="N75"/>
    </row>
    <row r="76" spans="1:14" s="507" customFormat="1" ht="18.75" customHeight="1">
      <c r="A76"/>
      <c r="B76" s="567" t="s">
        <v>1096</v>
      </c>
      <c r="C76" s="568">
        <f>C70+C75</f>
        <v>187818.8310472692</v>
      </c>
      <c r="D76" s="568"/>
      <c r="E76" s="568">
        <f>E70+E75</f>
        <v>173687.43104726923</v>
      </c>
      <c r="F76" s="568"/>
      <c r="G76" s="568">
        <f>G70+G75</f>
        <v>181253.7710472692</v>
      </c>
      <c r="H76" s="568"/>
      <c r="I76" s="568">
        <f>I70+I75</f>
        <v>182136.2710472692</v>
      </c>
      <c r="J76" s="568"/>
      <c r="K76" s="568">
        <f>K70+K75</f>
        <v>172744.93104726923</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cols>
    <col min="1" max="1" width="9.33203125" style="516"/>
    <col min="2" max="2" width="7.6640625" style="516" customWidth="1"/>
    <col min="3" max="3" width="14.6640625" style="516" customWidth="1"/>
    <col min="4" max="4" width="20.33203125" style="516" customWidth="1"/>
    <col min="5" max="5" width="8" style="516" customWidth="1"/>
    <col min="6" max="6" width="5.33203125" style="516" customWidth="1"/>
    <col min="7" max="7" width="5.44140625" style="516" customWidth="1"/>
    <col min="8" max="8" width="8.5546875" style="516" customWidth="1"/>
    <col min="9" max="9" width="28.5546875" style="516" customWidth="1"/>
    <col min="10" max="10" width="4.33203125" style="516" hidden="1" customWidth="1"/>
    <col min="11" max="11" width="9.33203125" style="516"/>
    <col min="12" max="12" width="16.33203125" style="516" customWidth="1"/>
    <col min="13" max="13" width="11.33203125" style="516" customWidth="1"/>
    <col min="14" max="14" width="10.6640625" style="516" bestFit="1" customWidth="1"/>
    <col min="15" max="15" width="28.5546875" style="516" customWidth="1"/>
    <col min="16" max="16384" width="9.33203125" style="516"/>
  </cols>
  <sheetData>
    <row r="2" spans="1:10">
      <c r="A2" s="513" t="s">
        <v>2594</v>
      </c>
      <c r="B2" s="514"/>
      <c r="C2" s="514"/>
      <c r="D2" s="514"/>
      <c r="E2" s="515"/>
      <c r="F2" s="514"/>
      <c r="G2" s="514"/>
      <c r="H2" s="514"/>
      <c r="I2" s="514"/>
      <c r="J2" s="514"/>
    </row>
    <row r="3" spans="1:10">
      <c r="A3" s="517"/>
    </row>
    <row r="4" spans="1:10">
      <c r="A4" s="517" t="s">
        <v>2595</v>
      </c>
      <c r="D4" s="516" t="s">
        <v>2596</v>
      </c>
    </row>
    <row r="5" spans="1:10">
      <c r="A5" s="517"/>
    </row>
    <row r="6" spans="1:10">
      <c r="A6" s="517" t="s">
        <v>2597</v>
      </c>
      <c r="D6" s="516" t="s">
        <v>2598</v>
      </c>
    </row>
    <row r="7" spans="1:10">
      <c r="A7" s="517"/>
    </row>
    <row r="8" spans="1:10">
      <c r="A8" s="517" t="s">
        <v>2599</v>
      </c>
      <c r="D8" s="518" t="s">
        <v>2600</v>
      </c>
    </row>
    <row r="9" spans="1:10">
      <c r="A9" s="517"/>
    </row>
    <row r="10" spans="1:10">
      <c r="A10" s="517" t="s">
        <v>2601</v>
      </c>
      <c r="D10" s="518" t="s">
        <v>2602</v>
      </c>
    </row>
    <row r="11" spans="1:10">
      <c r="A11" s="517"/>
      <c r="D11" s="1024"/>
    </row>
    <row r="12" spans="1:10">
      <c r="A12" s="517" t="s">
        <v>2603</v>
      </c>
      <c r="D12" s="516" t="s">
        <v>574</v>
      </c>
      <c r="F12" s="1024" t="str">
        <f>'Sensitivity Analysis'!$C$8</f>
        <v>Brightwood Lane Apartments</v>
      </c>
    </row>
    <row r="13" spans="1:10">
      <c r="A13" s="517"/>
      <c r="D13" s="516" t="s">
        <v>2604</v>
      </c>
      <c r="F13" s="1024" t="str">
        <f>'Sensitivity Analysis'!E8</f>
        <v>2023-5</v>
      </c>
    </row>
    <row r="14" spans="1:10">
      <c r="A14" s="517"/>
      <c r="D14" s="516" t="s">
        <v>2605</v>
      </c>
      <c r="F14" s="1024" t="str">
        <f>'Sensitivity Analysis'!H8</f>
        <v>Washington, Wilkes</v>
      </c>
    </row>
    <row r="15" spans="1:10">
      <c r="A15" s="517"/>
      <c r="D15" s="516" t="s">
        <v>2946</v>
      </c>
      <c r="F15" s="4784">
        <f>'Sensitivity Analysis'!$C$25</f>
        <v>769000</v>
      </c>
      <c r="G15" s="4784"/>
      <c r="H15" s="4784"/>
    </row>
    <row r="16" spans="1:10">
      <c r="A16" s="517"/>
      <c r="D16" s="519" t="s">
        <v>2606</v>
      </c>
      <c r="F16" s="520">
        <f>'Sensitivity Analysis'!C13</f>
        <v>40</v>
      </c>
      <c r="G16" s="521" t="s">
        <v>2947</v>
      </c>
      <c r="H16" s="972">
        <f>'Sensitivity Analysis'!E13</f>
        <v>40</v>
      </c>
    </row>
    <row r="17" spans="1:18">
      <c r="A17" s="517"/>
      <c r="D17" s="519" t="s">
        <v>2575</v>
      </c>
      <c r="F17" s="520" t="str">
        <f>'Sensitivity Analysis'!C14</f>
        <v>&lt;&lt; Select PROPOSED Tenancy &gt;&gt;</v>
      </c>
    </row>
    <row r="18" spans="1:18">
      <c r="A18" s="517"/>
      <c r="D18" s="519" t="s">
        <v>2951</v>
      </c>
      <c r="F18" s="1024" t="str">
        <f>'Sensitivity Analysis'!H15</f>
        <v>Rural</v>
      </c>
    </row>
    <row r="19" spans="1:18">
      <c r="A19" s="517"/>
      <c r="D19" s="519" t="s">
        <v>2948</v>
      </c>
      <c r="F19" s="1024">
        <f>'Sensitivity Analysis'!E16</f>
        <v>0</v>
      </c>
    </row>
    <row r="20" spans="1:18">
      <c r="A20" s="517"/>
      <c r="D20" s="519"/>
    </row>
    <row r="21" spans="1:18">
      <c r="A21" s="522" t="s">
        <v>6155</v>
      </c>
    </row>
    <row r="22" spans="1:18" ht="111.75" customHeight="1">
      <c r="A22" s="4790" t="s">
        <v>3098</v>
      </c>
      <c r="B22" s="4790"/>
      <c r="C22" s="4790"/>
      <c r="D22" s="4790"/>
      <c r="E22" s="4790"/>
      <c r="F22" s="4790"/>
      <c r="G22" s="4790"/>
      <c r="H22" s="4790"/>
      <c r="I22" s="4790"/>
      <c r="J22" s="4790"/>
      <c r="K22" s="4792" t="s">
        <v>3898</v>
      </c>
      <c r="L22" s="4792"/>
      <c r="M22" s="4792"/>
      <c r="N22" s="4792"/>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97"/>
      <c r="B24" s="4797"/>
      <c r="C24" s="4797"/>
      <c r="D24" s="4797"/>
      <c r="E24" s="4797"/>
      <c r="F24" s="4797"/>
      <c r="G24" s="4797"/>
      <c r="H24" s="4797"/>
      <c r="I24" s="4797"/>
      <c r="J24" s="4797"/>
    </row>
    <row r="25" spans="1:18" ht="10.5" hidden="1" customHeight="1">
      <c r="A25" s="4767"/>
      <c r="B25" s="4767"/>
      <c r="C25" s="4767"/>
      <c r="D25" s="4767"/>
      <c r="E25" s="4767"/>
      <c r="F25" s="4767"/>
      <c r="G25" s="4767"/>
      <c r="H25" s="4767"/>
      <c r="I25" s="4767"/>
      <c r="J25" s="4767"/>
    </row>
    <row r="26" spans="1:18">
      <c r="A26" s="522" t="s">
        <v>6154</v>
      </c>
    </row>
    <row r="27" spans="1:18" ht="14.25" customHeight="1">
      <c r="A27" s="4798" t="s">
        <v>6156</v>
      </c>
      <c r="B27" s="4798"/>
      <c r="C27" s="4798"/>
      <c r="D27" s="4798"/>
      <c r="E27" s="4798"/>
      <c r="F27" s="4798"/>
      <c r="G27" s="4798"/>
      <c r="H27" s="4798"/>
      <c r="I27" s="4798"/>
      <c r="J27" s="4798"/>
    </row>
    <row r="28" spans="1:18" ht="14.25" customHeight="1">
      <c r="A28" s="4798"/>
      <c r="B28" s="4798"/>
      <c r="C28" s="4798"/>
      <c r="D28" s="4798"/>
      <c r="E28" s="4798"/>
      <c r="F28" s="4798"/>
      <c r="G28" s="4798"/>
      <c r="H28" s="4798"/>
      <c r="I28" s="4798"/>
      <c r="J28" s="4798"/>
    </row>
    <row r="29" spans="1:18" ht="6.75" customHeight="1">
      <c r="A29" s="4798"/>
      <c r="B29" s="4798"/>
      <c r="C29" s="4798"/>
      <c r="D29" s="4798"/>
      <c r="E29" s="4798"/>
      <c r="F29" s="4798"/>
      <c r="G29" s="4798"/>
      <c r="H29" s="4798"/>
      <c r="I29" s="4798"/>
      <c r="J29" s="4798"/>
    </row>
    <row r="30" spans="1:18" ht="21.75" customHeight="1">
      <c r="A30" s="4798"/>
      <c r="B30" s="4798"/>
      <c r="C30" s="4798"/>
      <c r="D30" s="4798"/>
      <c r="E30" s="4798"/>
      <c r="F30" s="4798"/>
      <c r="G30" s="4798"/>
      <c r="H30" s="4798"/>
      <c r="I30" s="4798"/>
      <c r="J30" s="4798"/>
    </row>
    <row r="31" spans="1:18" ht="20.25" customHeight="1">
      <c r="A31" s="4798"/>
      <c r="B31" s="4798"/>
      <c r="C31" s="4798"/>
      <c r="D31" s="4798"/>
      <c r="E31" s="4798"/>
      <c r="F31" s="4798"/>
      <c r="G31" s="4798"/>
      <c r="H31" s="4798"/>
      <c r="I31" s="4798"/>
      <c r="J31" s="4798"/>
    </row>
    <row r="32" spans="1:18" ht="54.75" customHeight="1">
      <c r="A32" s="4798"/>
      <c r="B32" s="4798"/>
      <c r="C32" s="4798"/>
      <c r="D32" s="4798"/>
      <c r="E32" s="4798"/>
      <c r="F32" s="4798"/>
      <c r="G32" s="4798"/>
      <c r="H32" s="4798"/>
      <c r="I32" s="4798"/>
      <c r="J32" s="4798"/>
    </row>
    <row r="33" spans="1:10" ht="0.75" hidden="1" customHeight="1">
      <c r="A33" s="4798"/>
      <c r="B33" s="4798"/>
      <c r="C33" s="4798"/>
      <c r="D33" s="4798"/>
      <c r="E33" s="4798"/>
      <c r="F33" s="4798"/>
      <c r="G33" s="4798"/>
      <c r="H33" s="4798"/>
      <c r="I33" s="4798"/>
      <c r="J33" s="4798"/>
    </row>
    <row r="34" spans="1:10" ht="3.75" hidden="1" customHeight="1">
      <c r="A34" s="4798"/>
      <c r="B34" s="4798"/>
      <c r="C34" s="4798"/>
      <c r="D34" s="4798"/>
      <c r="E34" s="4798"/>
      <c r="F34" s="4798"/>
      <c r="G34" s="4798"/>
      <c r="H34" s="4798"/>
      <c r="I34" s="4798"/>
      <c r="J34" s="4798"/>
    </row>
    <row r="35" spans="1:10" ht="5.25" customHeight="1">
      <c r="A35" s="1251"/>
      <c r="B35" s="1251"/>
      <c r="C35" s="1251"/>
      <c r="D35" s="1251"/>
      <c r="E35" s="1251"/>
      <c r="F35" s="1251"/>
      <c r="G35" s="1251"/>
      <c r="H35" s="1251"/>
      <c r="I35" s="1251"/>
      <c r="J35" s="1251"/>
    </row>
    <row r="36" spans="1:10" ht="19.5" customHeight="1">
      <c r="A36" s="4797" t="s">
        <v>6157</v>
      </c>
      <c r="B36" s="4797"/>
      <c r="C36" s="4797"/>
      <c r="D36" s="1249"/>
      <c r="E36" s="1249"/>
      <c r="F36" s="1249"/>
      <c r="G36" s="1249"/>
      <c r="H36" s="1249"/>
      <c r="I36" s="1249"/>
      <c r="J36" s="1249"/>
    </row>
    <row r="37" spans="1:10" ht="22.5" customHeight="1">
      <c r="A37" s="4767" t="s">
        <v>1614</v>
      </c>
      <c r="B37" s="4767"/>
      <c r="C37" s="4767"/>
      <c r="D37" s="4767"/>
      <c r="E37" s="4767"/>
      <c r="F37" s="4767"/>
      <c r="G37" s="4767"/>
      <c r="H37" s="4767"/>
      <c r="I37" s="4767"/>
      <c r="J37" s="4767"/>
    </row>
    <row r="38" spans="1:10" ht="22.5" customHeight="1">
      <c r="A38" s="4767" t="s">
        <v>1615</v>
      </c>
      <c r="B38" s="4767"/>
      <c r="C38" s="4767"/>
      <c r="D38" s="4767"/>
      <c r="E38" s="4767"/>
      <c r="F38" s="4767"/>
      <c r="G38" s="4767"/>
      <c r="H38" s="4767"/>
      <c r="I38" s="4767"/>
      <c r="J38" s="4767"/>
    </row>
    <row r="39" spans="1:10" ht="22.5" customHeight="1">
      <c r="A39" s="4767" t="s">
        <v>1616</v>
      </c>
      <c r="B39" s="4767"/>
      <c r="C39" s="4767"/>
      <c r="D39" s="4767"/>
      <c r="E39" s="4767"/>
      <c r="F39" s="4767"/>
      <c r="G39" s="4767"/>
      <c r="H39" s="4767"/>
      <c r="I39" s="4767"/>
      <c r="J39" s="4767"/>
    </row>
    <row r="40" spans="1:10" ht="22.5" customHeight="1">
      <c r="A40" s="4767" t="s">
        <v>2182</v>
      </c>
      <c r="B40" s="4767"/>
      <c r="C40" s="4767"/>
      <c r="D40" s="4767"/>
      <c r="E40" s="4767"/>
      <c r="F40" s="4767"/>
      <c r="G40" s="4767"/>
      <c r="H40" s="4767"/>
      <c r="I40" s="4767"/>
      <c r="J40" s="4767"/>
    </row>
    <row r="41" spans="1:10" ht="22.5" customHeight="1">
      <c r="A41" s="4767" t="s">
        <v>1448</v>
      </c>
      <c r="B41" s="4767"/>
      <c r="C41" s="4767"/>
      <c r="D41" s="4767"/>
      <c r="E41" s="4767"/>
      <c r="F41" s="4767"/>
      <c r="G41" s="4767"/>
      <c r="H41" s="4767"/>
      <c r="I41" s="4767"/>
      <c r="J41" s="4767"/>
    </row>
    <row r="42" spans="1:10" ht="22.5" customHeight="1">
      <c r="A42" s="4767" t="s">
        <v>1449</v>
      </c>
      <c r="B42" s="4767"/>
      <c r="C42" s="4767"/>
      <c r="D42" s="4767"/>
      <c r="E42" s="4767"/>
      <c r="F42" s="4767"/>
      <c r="G42" s="4767"/>
      <c r="H42" s="4767"/>
      <c r="I42" s="4767"/>
      <c r="J42" s="4767"/>
    </row>
    <row r="43" spans="1:10" ht="22.5" customHeight="1">
      <c r="A43" s="4767" t="s">
        <v>93</v>
      </c>
      <c r="B43" s="4767"/>
      <c r="C43" s="4767"/>
      <c r="D43" s="4767"/>
      <c r="E43" s="4767"/>
      <c r="F43" s="4767"/>
      <c r="G43" s="4767"/>
      <c r="H43" s="4767"/>
      <c r="I43" s="4767"/>
      <c r="J43" s="4767"/>
    </row>
    <row r="44" spans="1:10" ht="22.5" customHeight="1">
      <c r="A44" s="4767" t="s">
        <v>481</v>
      </c>
      <c r="B44" s="4767"/>
      <c r="C44" s="4767"/>
      <c r="D44" s="4767"/>
      <c r="E44" s="4767"/>
      <c r="F44" s="4767"/>
      <c r="G44" s="4767"/>
      <c r="H44" s="4767"/>
      <c r="I44" s="4767"/>
      <c r="J44" s="4767"/>
    </row>
    <row r="45" spans="1:10" ht="2.25" customHeight="1">
      <c r="A45" s="1249"/>
      <c r="B45" s="1249"/>
      <c r="C45" s="1249"/>
      <c r="D45" s="1249"/>
      <c r="E45" s="1249"/>
      <c r="F45" s="1249"/>
      <c r="G45" s="1249"/>
      <c r="H45" s="1249"/>
      <c r="I45" s="1249"/>
      <c r="J45" s="1249"/>
    </row>
    <row r="46" spans="1:10">
      <c r="A46" s="522" t="s">
        <v>2607</v>
      </c>
    </row>
    <row r="47" spans="1:10" ht="135" customHeight="1">
      <c r="A47" s="4767" t="s">
        <v>6158</v>
      </c>
      <c r="B47" s="4767"/>
      <c r="C47" s="4767"/>
      <c r="D47" s="4767"/>
      <c r="E47" s="4767"/>
      <c r="F47" s="4767"/>
      <c r="G47" s="4767"/>
      <c r="H47" s="4767"/>
      <c r="I47" s="4767"/>
      <c r="J47" s="4767"/>
    </row>
    <row r="48" spans="1:10" ht="6" customHeight="1">
      <c r="A48" s="1250"/>
      <c r="B48" s="1250"/>
      <c r="C48" s="1250"/>
      <c r="D48" s="1250"/>
      <c r="E48" s="1250"/>
      <c r="F48" s="1250"/>
      <c r="G48" s="1250"/>
      <c r="H48" s="1250"/>
      <c r="I48" s="1250"/>
      <c r="J48" s="1250"/>
    </row>
    <row r="49" spans="1:12">
      <c r="A49" s="522" t="s">
        <v>2608</v>
      </c>
    </row>
    <row r="50" spans="1:12" ht="33" customHeight="1">
      <c r="A50" s="4763" t="s">
        <v>3453</v>
      </c>
      <c r="B50" s="4765"/>
      <c r="C50" s="4765"/>
      <c r="D50" s="4765"/>
      <c r="E50" s="4765"/>
      <c r="F50" s="4765"/>
      <c r="G50" s="4765"/>
      <c r="H50" s="4765"/>
      <c r="I50" s="4765"/>
      <c r="J50" s="4763"/>
    </row>
    <row r="51" spans="1:12" ht="3" customHeight="1"/>
    <row r="52" spans="1:12" ht="72.75" customHeight="1">
      <c r="A52" s="4763" t="s">
        <v>3454</v>
      </c>
      <c r="B52" s="4763"/>
      <c r="C52" s="4763"/>
      <c r="D52" s="4763"/>
      <c r="E52" s="4763"/>
      <c r="F52" s="4763"/>
      <c r="G52" s="4763"/>
      <c r="H52" s="4763"/>
      <c r="I52" s="4763"/>
      <c r="J52" s="4763"/>
    </row>
    <row r="53" spans="1:12" ht="3" customHeight="1">
      <c r="A53" s="1249"/>
      <c r="B53" s="1249"/>
      <c r="C53" s="1249"/>
      <c r="D53" s="1249"/>
      <c r="E53" s="1249"/>
      <c r="F53" s="1249"/>
      <c r="G53" s="1249"/>
      <c r="H53" s="1249"/>
      <c r="I53" s="1249"/>
      <c r="J53" s="1249"/>
    </row>
    <row r="54" spans="1:12" ht="56.25" customHeight="1">
      <c r="A54" s="4763" t="s">
        <v>3455</v>
      </c>
      <c r="B54" s="4763"/>
      <c r="C54" s="4763"/>
      <c r="D54" s="4763"/>
      <c r="E54" s="4763"/>
      <c r="F54" s="4763"/>
      <c r="G54" s="4763"/>
      <c r="H54" s="4763"/>
      <c r="I54" s="4763"/>
      <c r="J54" s="4763"/>
    </row>
    <row r="55" spans="1:12" ht="3" customHeight="1">
      <c r="A55" s="1249"/>
      <c r="B55" s="1249"/>
      <c r="C55" s="1249"/>
      <c r="D55" s="1249"/>
      <c r="E55" s="1249"/>
      <c r="F55" s="1249"/>
      <c r="G55" s="1249"/>
      <c r="H55" s="1249"/>
      <c r="I55" s="1249"/>
      <c r="J55" s="1249"/>
    </row>
    <row r="56" spans="1:12" ht="49.5" customHeight="1">
      <c r="A56" s="4763" t="s">
        <v>3456</v>
      </c>
      <c r="B56" s="4763"/>
      <c r="C56" s="4763"/>
      <c r="D56" s="4763"/>
      <c r="E56" s="4763"/>
      <c r="F56" s="4763"/>
      <c r="G56" s="4763"/>
      <c r="H56" s="4763"/>
      <c r="I56" s="4763"/>
      <c r="J56" s="1249"/>
    </row>
    <row r="57" spans="1:12" ht="3" customHeight="1">
      <c r="A57" s="1249"/>
      <c r="B57" s="1249"/>
      <c r="C57" s="1249"/>
      <c r="D57" s="1249"/>
      <c r="E57" s="1249"/>
      <c r="F57" s="1249"/>
      <c r="G57" s="1249"/>
      <c r="H57" s="1249"/>
      <c r="I57" s="1249"/>
      <c r="J57" s="1249"/>
    </row>
    <row r="58" spans="1:12" ht="54.75" customHeight="1">
      <c r="A58" s="4789" t="s">
        <v>2956</v>
      </c>
      <c r="B58" s="4763"/>
      <c r="C58" s="4763"/>
      <c r="D58" s="4763"/>
      <c r="E58" s="4763"/>
      <c r="F58" s="4763"/>
      <c r="G58" s="4763"/>
      <c r="H58" s="4763"/>
      <c r="I58" s="4763"/>
      <c r="J58" s="1249"/>
    </row>
    <row r="59" spans="1:12" ht="3" customHeight="1">
      <c r="A59" s="1249"/>
      <c r="B59" s="1249"/>
      <c r="C59" s="1249"/>
      <c r="D59" s="1249"/>
      <c r="E59" s="1249"/>
      <c r="F59" s="1249"/>
      <c r="G59" s="1249"/>
      <c r="H59" s="1249"/>
      <c r="I59" s="1249"/>
      <c r="J59" s="1249"/>
    </row>
    <row r="60" spans="1:12" ht="62.25" customHeight="1">
      <c r="A60" s="4763" t="s">
        <v>3457</v>
      </c>
      <c r="B60" s="4763"/>
      <c r="C60" s="4763"/>
      <c r="D60" s="4763"/>
      <c r="E60" s="4763"/>
      <c r="F60" s="4763"/>
      <c r="G60" s="4763"/>
      <c r="H60" s="4763"/>
      <c r="I60" s="4763"/>
      <c r="J60" s="4763"/>
    </row>
    <row r="61" spans="1:12" ht="3" customHeight="1"/>
    <row r="62" spans="1:12" ht="73.5" customHeight="1">
      <c r="A62" s="4763" t="s">
        <v>3458</v>
      </c>
      <c r="B62" s="4763"/>
      <c r="C62" s="4763"/>
      <c r="D62" s="4763"/>
      <c r="E62" s="4763"/>
      <c r="F62" s="4763"/>
      <c r="G62" s="4763"/>
      <c r="H62" s="4763"/>
      <c r="I62" s="4763"/>
      <c r="J62" s="4763"/>
    </row>
    <row r="63" spans="1:12" ht="6" customHeight="1">
      <c r="A63" s="1249" t="s">
        <v>233</v>
      </c>
      <c r="B63" s="1249"/>
      <c r="C63" s="1249"/>
      <c r="D63" s="1249"/>
      <c r="E63" s="1249"/>
      <c r="F63" s="1249"/>
      <c r="G63" s="1249"/>
      <c r="H63" s="1249"/>
      <c r="I63" s="1249"/>
      <c r="J63" s="1249"/>
    </row>
    <row r="64" spans="1:12">
      <c r="A64" s="522" t="s">
        <v>2609</v>
      </c>
      <c r="L64" s="523" t="s">
        <v>3090</v>
      </c>
    </row>
    <row r="65" spans="1:17" ht="46.5" customHeight="1">
      <c r="A65" s="4790" t="s">
        <v>2610</v>
      </c>
      <c r="B65" s="4790"/>
      <c r="C65" s="4790"/>
      <c r="D65" s="4790"/>
      <c r="E65" s="4790"/>
      <c r="F65" s="4790"/>
      <c r="G65" s="4790"/>
      <c r="H65" s="4790"/>
      <c r="I65" s="4790"/>
      <c r="J65" s="4790"/>
      <c r="L65" s="524">
        <f>'Closing term sheet'!C135</f>
        <v>219577.5</v>
      </c>
      <c r="M65" s="525"/>
      <c r="N65" s="525"/>
      <c r="O65" s="525"/>
    </row>
    <row r="66" spans="1:17" ht="7.5" customHeight="1">
      <c r="A66" s="1249"/>
      <c r="B66" s="1249"/>
      <c r="C66" s="1249"/>
      <c r="D66" s="1249"/>
      <c r="E66" s="1249"/>
      <c r="F66" s="1249"/>
      <c r="G66" s="1249"/>
      <c r="H66" s="1249"/>
      <c r="I66" s="1249"/>
      <c r="J66" s="1249"/>
      <c r="L66" s="526" t="s">
        <v>3091</v>
      </c>
      <c r="M66" s="527" t="s">
        <v>3096</v>
      </c>
      <c r="N66" s="528" t="s">
        <v>3093</v>
      </c>
      <c r="O66" s="526" t="s">
        <v>3092</v>
      </c>
      <c r="P66" s="527" t="s">
        <v>3095</v>
      </c>
      <c r="Q66" s="528" t="s">
        <v>3094</v>
      </c>
    </row>
    <row r="67" spans="1:17" ht="78.75" customHeight="1">
      <c r="A67" s="476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1586243 via the syndication of the 2021 Federal LIHTC allocation of 206805 per annum. will make a capital contribution totaling 1265647 via the syndication of the 2021 State LIHTC allocation of 206805 per annum.</v>
      </c>
      <c r="B67" s="4763"/>
      <c r="C67" s="4763"/>
      <c r="D67" s="4763"/>
      <c r="E67" s="4763"/>
      <c r="F67" s="4763"/>
      <c r="G67" s="4763"/>
      <c r="H67" s="4763"/>
      <c r="I67" s="4763"/>
      <c r="J67" s="529"/>
      <c r="L67" s="530">
        <f>'Part II-Sources of Funds'!I51</f>
        <v>1586243</v>
      </c>
      <c r="M67" s="531">
        <f>'Part III-A-Uses of Funds'!$J$191</f>
        <v>206805</v>
      </c>
      <c r="N67" s="532">
        <f>'Part III-A-Uses of Funds'!N182</f>
        <v>0.76702329000000002</v>
      </c>
      <c r="O67" s="530">
        <f>'Part II-Sources of Funds'!I52</f>
        <v>1265647</v>
      </c>
      <c r="P67" s="531">
        <f>M67</f>
        <v>206805</v>
      </c>
      <c r="Q67" s="532">
        <f>'Part III-A-Uses of Funds'!Q182</f>
        <v>0.61199999999999999</v>
      </c>
    </row>
    <row r="68" spans="1:17" ht="39.75" customHeight="1">
      <c r="A68" s="4767"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1.37902329 (0.76702329 Federal tax credit and 0.612 State tax credit) for a (X%) ownership interest of the Federal Credits and a (X%) ownership interest of the State Credits. </v>
      </c>
      <c r="B68" s="4767"/>
      <c r="C68" s="4767"/>
      <c r="D68" s="4767"/>
      <c r="E68" s="4767"/>
      <c r="F68" s="4767"/>
      <c r="G68" s="4767"/>
      <c r="H68" s="4767"/>
      <c r="I68" s="4767"/>
      <c r="J68" s="529"/>
      <c r="L68" s="1552"/>
      <c r="M68" s="1552"/>
      <c r="N68" s="635"/>
      <c r="O68" s="1552"/>
      <c r="P68" s="1552"/>
      <c r="Q68" s="635"/>
    </row>
    <row r="69" spans="1:17" ht="18.75" customHeight="1">
      <c r="A69" s="533" t="s">
        <v>2611</v>
      </c>
    </row>
    <row r="70" spans="1:17" ht="177" customHeight="1">
      <c r="A70" s="4763" t="s">
        <v>6159</v>
      </c>
      <c r="B70" s="4763"/>
      <c r="C70" s="4763"/>
      <c r="D70" s="4763"/>
      <c r="E70" s="4763"/>
      <c r="F70" s="4763"/>
      <c r="G70" s="4763"/>
      <c r="H70" s="4763"/>
      <c r="I70" s="4763"/>
      <c r="J70" s="4763"/>
      <c r="L70" s="534">
        <f>'Part VI-Pro Forma'!K72</f>
        <v>610209.58643743244</v>
      </c>
      <c r="M70" s="4791" t="s">
        <v>3097</v>
      </c>
      <c r="N70" s="4792"/>
    </row>
    <row r="71" spans="1:17" ht="6" customHeight="1">
      <c r="A71" s="522"/>
    </row>
    <row r="72" spans="1:17">
      <c r="A72" s="522" t="s">
        <v>2612</v>
      </c>
    </row>
    <row r="73" spans="1:17" ht="72.599999999999994" customHeight="1">
      <c r="A73" s="4763" t="s">
        <v>2613</v>
      </c>
      <c r="B73" s="4763"/>
      <c r="C73" s="4763"/>
      <c r="D73" s="4763"/>
      <c r="E73" s="4763"/>
      <c r="F73" s="4763"/>
      <c r="G73" s="4763"/>
      <c r="H73" s="4763"/>
      <c r="I73" s="4763"/>
      <c r="J73" s="4763"/>
    </row>
    <row r="74" spans="1:17" ht="36" customHeight="1">
      <c r="A74" s="4763" t="s">
        <v>2614</v>
      </c>
      <c r="B74" s="4763"/>
      <c r="C74" s="4763"/>
      <c r="D74" s="4763"/>
      <c r="E74" s="4763"/>
      <c r="F74" s="4763"/>
      <c r="G74" s="4763"/>
      <c r="H74" s="4763"/>
      <c r="I74" s="4763"/>
      <c r="J74" s="4763"/>
    </row>
    <row r="75" spans="1:17" ht="6" customHeight="1">
      <c r="A75" s="522"/>
    </row>
    <row r="76" spans="1:17">
      <c r="A76" s="522" t="s">
        <v>2615</v>
      </c>
    </row>
    <row r="77" spans="1:17" ht="105.75" customHeight="1">
      <c r="A77" s="4763" t="s">
        <v>2616</v>
      </c>
      <c r="B77" s="4763"/>
      <c r="C77" s="4763"/>
      <c r="D77" s="4763"/>
      <c r="E77" s="4763"/>
      <c r="F77" s="4763"/>
      <c r="G77" s="4763"/>
      <c r="H77" s="4763"/>
      <c r="I77" s="4763"/>
      <c r="J77" s="4763"/>
    </row>
    <row r="78" spans="1:17" ht="6" customHeight="1">
      <c r="A78" s="522"/>
    </row>
    <row r="79" spans="1:17">
      <c r="A79" s="522" t="s">
        <v>2617</v>
      </c>
    </row>
    <row r="80" spans="1:17" ht="66" customHeight="1">
      <c r="A80" s="4763" t="s">
        <v>2618</v>
      </c>
      <c r="B80" s="4763"/>
      <c r="C80" s="4763"/>
      <c r="D80" s="4763"/>
      <c r="E80" s="4763"/>
      <c r="F80" s="4763"/>
      <c r="G80" s="4763"/>
      <c r="H80" s="4763"/>
      <c r="I80" s="4763"/>
      <c r="J80" s="4763"/>
    </row>
    <row r="81" spans="1:15" s="1251" customFormat="1" ht="6" customHeight="1">
      <c r="A81" s="4763"/>
      <c r="B81" s="4763"/>
      <c r="C81" s="4763"/>
      <c r="D81" s="4763"/>
      <c r="E81" s="4763"/>
      <c r="F81" s="4763"/>
      <c r="G81" s="4763"/>
      <c r="H81" s="4763"/>
      <c r="I81" s="4763"/>
      <c r="J81" s="4763"/>
    </row>
    <row r="82" spans="1:15" ht="16.5" customHeight="1">
      <c r="A82" s="1252" t="s">
        <v>2619</v>
      </c>
      <c r="B82" s="521"/>
      <c r="C82" s="521"/>
      <c r="D82" s="1024"/>
      <c r="E82" s="521"/>
      <c r="F82" s="521"/>
      <c r="G82" s="521"/>
      <c r="H82" s="521"/>
      <c r="I82" s="521"/>
      <c r="J82" s="535"/>
    </row>
    <row r="83" spans="1:15" s="1251" customFormat="1" ht="63" customHeight="1">
      <c r="A83" s="4763" t="s">
        <v>3660</v>
      </c>
      <c r="B83" s="4763"/>
      <c r="C83" s="4763"/>
      <c r="D83" s="4763"/>
      <c r="E83" s="4763"/>
      <c r="F83" s="4763"/>
      <c r="G83" s="4763"/>
      <c r="H83" s="4763"/>
      <c r="I83" s="4763"/>
      <c r="J83" s="4763"/>
    </row>
    <row r="84" spans="1:15" s="1251" customFormat="1" ht="6" customHeight="1">
      <c r="A84" s="1249"/>
      <c r="B84" s="1249"/>
      <c r="C84" s="1249"/>
      <c r="D84" s="1249"/>
      <c r="E84" s="1249"/>
      <c r="F84" s="1249"/>
      <c r="G84" s="1249"/>
      <c r="H84" s="1249"/>
      <c r="I84" s="1249"/>
      <c r="J84" s="1249"/>
    </row>
    <row r="85" spans="1:15" ht="16.5" customHeight="1">
      <c r="A85" s="4794" t="s">
        <v>2620</v>
      </c>
      <c r="B85" s="4795"/>
      <c r="C85" s="4795"/>
      <c r="D85" s="521"/>
      <c r="E85" s="521"/>
      <c r="F85" s="521"/>
      <c r="G85" s="521"/>
      <c r="H85" s="521"/>
      <c r="I85" s="521"/>
      <c r="J85" s="535"/>
    </row>
    <row r="86" spans="1:15" ht="41.25" customHeight="1">
      <c r="A86" s="4763" t="s">
        <v>6160</v>
      </c>
      <c r="B86" s="4796"/>
      <c r="C86" s="4796"/>
      <c r="D86" s="4796"/>
      <c r="E86" s="4796"/>
      <c r="F86" s="4796"/>
      <c r="G86" s="4796"/>
      <c r="H86" s="4796"/>
      <c r="I86" s="4796"/>
      <c r="J86" s="4796"/>
    </row>
    <row r="87" spans="1:15" ht="6" customHeight="1">
      <c r="A87" s="536"/>
      <c r="B87" s="521"/>
      <c r="C87" s="521"/>
      <c r="D87" s="521"/>
      <c r="E87" s="521"/>
      <c r="F87" s="521"/>
      <c r="G87" s="521"/>
      <c r="H87" s="521"/>
      <c r="I87" s="521"/>
      <c r="J87" s="535"/>
    </row>
    <row r="88" spans="1:15">
      <c r="A88" s="522" t="s">
        <v>2621</v>
      </c>
    </row>
    <row r="89" spans="1:15" ht="124.2" customHeight="1">
      <c r="A89" s="4763" t="s">
        <v>2622</v>
      </c>
      <c r="B89" s="4763"/>
      <c r="C89" s="4763"/>
      <c r="D89" s="4763"/>
      <c r="E89" s="4763"/>
      <c r="F89" s="4763"/>
      <c r="G89" s="4763"/>
      <c r="H89" s="4763"/>
      <c r="I89" s="4763"/>
      <c r="J89" s="4763"/>
      <c r="L89" s="4792" t="s">
        <v>2623</v>
      </c>
      <c r="M89" s="4792"/>
      <c r="N89" s="4792"/>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63" t="s">
        <v>2625</v>
      </c>
      <c r="B92" s="4763"/>
      <c r="C92" s="4763"/>
      <c r="D92" s="4763"/>
      <c r="E92" s="4763"/>
      <c r="F92" s="4763"/>
      <c r="G92" s="4763"/>
      <c r="H92" s="4763"/>
      <c r="I92" s="4763"/>
      <c r="J92" s="4763"/>
      <c r="L92" s="4792" t="s">
        <v>2626</v>
      </c>
      <c r="M92" s="4792"/>
      <c r="N92" s="537" t="e">
        <f>'After-Tax Analysis'!G66</f>
        <v>#VALUE!</v>
      </c>
      <c r="O92" s="538" t="s">
        <v>2627</v>
      </c>
    </row>
    <row r="93" spans="1:15" ht="6" customHeight="1">
      <c r="A93" s="522"/>
    </row>
    <row r="94" spans="1:15">
      <c r="A94" s="522" t="s">
        <v>2628</v>
      </c>
    </row>
    <row r="95" spans="1:15" ht="118.5" customHeight="1">
      <c r="A95" s="4763" t="s">
        <v>2629</v>
      </c>
      <c r="B95" s="4763"/>
      <c r="C95" s="4763"/>
      <c r="D95" s="4763"/>
      <c r="E95" s="4763"/>
      <c r="F95" s="4763"/>
      <c r="G95" s="4763"/>
      <c r="H95" s="4763"/>
      <c r="I95" s="4763"/>
      <c r="J95" s="4763"/>
    </row>
    <row r="96" spans="1:15" ht="20.25" customHeight="1">
      <c r="A96" s="4765" t="s">
        <v>2630</v>
      </c>
      <c r="B96" s="4765"/>
      <c r="C96" s="4765"/>
      <c r="D96" s="4763"/>
      <c r="E96" s="1249"/>
      <c r="F96" s="1249"/>
      <c r="G96" s="1249"/>
      <c r="H96" s="1249"/>
      <c r="I96" s="1249"/>
      <c r="J96" s="1249"/>
    </row>
    <row r="97" spans="1:14" ht="109.5" customHeight="1">
      <c r="A97" s="4787" t="s">
        <v>2631</v>
      </c>
      <c r="B97" s="4788"/>
      <c r="C97" s="4788"/>
      <c r="D97" s="4788"/>
      <c r="E97" s="4788"/>
      <c r="F97" s="4788"/>
      <c r="G97" s="4788"/>
      <c r="H97" s="4788"/>
      <c r="I97" s="4788"/>
      <c r="J97" s="4788"/>
    </row>
    <row r="98" spans="1:14" ht="11.25" customHeight="1">
      <c r="A98" s="522"/>
    </row>
    <row r="99" spans="1:14">
      <c r="A99" s="522" t="s">
        <v>2632</v>
      </c>
    </row>
    <row r="100" spans="1:14" ht="110.7" customHeight="1">
      <c r="A100" s="4790" t="s">
        <v>2633</v>
      </c>
      <c r="B100" s="4790"/>
      <c r="C100" s="4790"/>
      <c r="D100" s="4790"/>
      <c r="E100" s="4790"/>
      <c r="F100" s="4790"/>
      <c r="G100" s="4790"/>
      <c r="H100" s="4790"/>
      <c r="I100" s="4790"/>
      <c r="J100" s="4790"/>
      <c r="L100" s="975">
        <f>'Part VI-Pro Forma'!K72</f>
        <v>610209.58643743244</v>
      </c>
      <c r="M100" s="4793" t="s">
        <v>2634</v>
      </c>
      <c r="N100" s="4793"/>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65" t="s">
        <v>2635</v>
      </c>
      <c r="B104" s="4765"/>
      <c r="C104" s="4765"/>
      <c r="D104" s="1249"/>
      <c r="E104" s="1249"/>
      <c r="F104" s="1249"/>
      <c r="G104" s="1249"/>
      <c r="H104" s="1249"/>
      <c r="I104" s="1249"/>
      <c r="J104" s="535"/>
    </row>
    <row r="105" spans="1:14" ht="37.5" customHeight="1">
      <c r="A105" s="4763" t="s">
        <v>2636</v>
      </c>
      <c r="B105" s="4763"/>
      <c r="C105" s="4763"/>
      <c r="D105" s="4763"/>
      <c r="E105" s="4763"/>
      <c r="F105" s="4763"/>
      <c r="G105" s="4763"/>
      <c r="H105" s="4763"/>
      <c r="I105" s="4763"/>
      <c r="J105" s="4763"/>
    </row>
    <row r="106" spans="1:14" ht="6" customHeight="1">
      <c r="A106" s="522"/>
    </row>
    <row r="107" spans="1:14">
      <c r="A107" s="522" t="s">
        <v>2637</v>
      </c>
    </row>
    <row r="108" spans="1:14" ht="43.5" customHeight="1">
      <c r="A108" s="4763" t="s">
        <v>2638</v>
      </c>
      <c r="B108" s="4763"/>
      <c r="C108" s="4763"/>
      <c r="D108" s="4763"/>
      <c r="E108" s="4763"/>
      <c r="F108" s="4763"/>
      <c r="G108" s="4763"/>
      <c r="H108" s="4763"/>
      <c r="I108" s="4763"/>
      <c r="J108" s="4763"/>
    </row>
    <row r="109" spans="1:14" ht="6" customHeight="1">
      <c r="A109" s="1249"/>
      <c r="B109" s="1249"/>
      <c r="C109" s="1249"/>
      <c r="D109" s="1249"/>
      <c r="E109" s="1249"/>
      <c r="F109" s="1249"/>
      <c r="G109" s="1249"/>
      <c r="H109" s="1249"/>
      <c r="I109" s="1249"/>
      <c r="J109" s="1249"/>
    </row>
    <row r="110" spans="1:14">
      <c r="A110" s="522" t="s">
        <v>2639</v>
      </c>
    </row>
    <row r="112" spans="1:14" ht="18" thickBot="1">
      <c r="A112" s="516" t="s">
        <v>2640</v>
      </c>
      <c r="G112" s="1490"/>
      <c r="H112" s="516" t="s">
        <v>2641</v>
      </c>
    </row>
    <row r="115" spans="1:10" ht="13.95" customHeight="1" thickBot="1">
      <c r="G115" s="1490"/>
      <c r="H115" s="516" t="s">
        <v>2642</v>
      </c>
    </row>
    <row r="116" spans="1:10">
      <c r="A116" s="516" t="s">
        <v>2643</v>
      </c>
    </row>
    <row r="119" spans="1:10" ht="14.4" thickBot="1">
      <c r="A119" s="539"/>
      <c r="B119" s="539"/>
      <c r="C119" s="539"/>
      <c r="D119" s="539"/>
      <c r="F119" s="539"/>
      <c r="G119" s="539"/>
      <c r="H119" s="539"/>
      <c r="I119" s="539"/>
      <c r="J119" s="539"/>
    </row>
    <row r="120" spans="1:10">
      <c r="A120" s="4785" t="s">
        <v>6065</v>
      </c>
      <c r="B120" s="4785"/>
      <c r="C120" s="4785"/>
      <c r="D120" s="4785"/>
      <c r="E120" s="4786"/>
      <c r="F120" s="1488" t="s">
        <v>6066</v>
      </c>
      <c r="G120" s="1488"/>
      <c r="H120" s="1488"/>
      <c r="I120" s="1488"/>
      <c r="J120" s="1488"/>
    </row>
    <row r="122" spans="1:10" ht="14.4"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2645</v>
      </c>
      <c r="B1" s="550"/>
      <c r="C1" s="550"/>
      <c r="D1" s="550"/>
      <c r="E1" s="550"/>
      <c r="F1" s="550"/>
      <c r="G1" s="550"/>
      <c r="H1" s="550"/>
      <c r="I1" s="550"/>
      <c r="J1" s="550"/>
      <c r="K1" s="550"/>
      <c r="L1" s="510"/>
      <c r="M1" s="510"/>
    </row>
    <row r="2" spans="1:14" s="10" customFormat="1" ht="17.399999999999999">
      <c r="A2" s="966" t="str">
        <f>+"Financial Analysis for:  "&amp;E8&amp;"  "&amp;C8</f>
        <v>Financial Analysis for:  2023-5  Brightwood Lane Apartments</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10" t="s">
        <v>2646</v>
      </c>
      <c r="B7" s="507"/>
      <c r="C7" s="544"/>
      <c r="D7" s="507"/>
      <c r="E7" s="507"/>
      <c r="F7" s="510" t="s">
        <v>2958</v>
      </c>
      <c r="G7" s="507"/>
      <c r="H7" s="4800"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800"/>
      <c r="J7" s="4800"/>
      <c r="K7" s="4800"/>
      <c r="L7" s="507"/>
      <c r="M7" s="507"/>
    </row>
    <row r="8" spans="1:14" ht="15.6">
      <c r="A8" s="510" t="s">
        <v>2647</v>
      </c>
      <c r="B8" s="510"/>
      <c r="C8" s="4800" t="str">
        <f>'Part I-Project Identification'!F25</f>
        <v>Brightwood Lane Apartments</v>
      </c>
      <c r="D8" s="4800"/>
      <c r="E8" s="1020" t="str">
        <f>'Part I-Project Identification'!O7</f>
        <v>2023-5</v>
      </c>
      <c r="F8" s="510" t="s">
        <v>2648</v>
      </c>
      <c r="G8" s="507"/>
      <c r="H8" s="4800" t="str">
        <f>CONCATENATE('Part I-Project Identification'!F26,", ",'Part I-Project Identification'!J26)</f>
        <v>Washington, Wilkes</v>
      </c>
      <c r="I8" s="4800"/>
      <c r="J8" s="4800"/>
      <c r="K8" s="4800"/>
      <c r="L8" s="507"/>
      <c r="M8" s="545"/>
    </row>
    <row r="9" spans="1:14" ht="15.6">
      <c r="A9" s="510" t="s">
        <v>2650</v>
      </c>
      <c r="B9" s="510"/>
      <c r="C9" s="4800" t="s">
        <v>1646</v>
      </c>
      <c r="D9" s="4800"/>
      <c r="E9" s="507"/>
      <c r="F9" s="510" t="s">
        <v>2651</v>
      </c>
      <c r="G9" s="507"/>
      <c r="H9" s="4800" t="str">
        <f>'Part II-Development Team'!H6</f>
        <v>(Enter name as it will appear on all legal documents)</v>
      </c>
      <c r="I9" s="4800"/>
      <c r="J9" s="4800"/>
      <c r="K9" s="4800"/>
      <c r="L9" s="4800"/>
      <c r="M9" s="545"/>
    </row>
    <row r="10" spans="1:14" ht="15.6">
      <c r="A10" s="510" t="s">
        <v>2653</v>
      </c>
      <c r="B10" s="507"/>
      <c r="C10" s="1020">
        <f>'Part II-Development Team'!H15</f>
        <v>0</v>
      </c>
      <c r="D10" s="507"/>
      <c r="E10" s="507"/>
      <c r="F10" s="510" t="s">
        <v>3131</v>
      </c>
      <c r="G10" s="507"/>
      <c r="H10" s="4800">
        <f>'Part II-Development Team'!H34</f>
        <v>0</v>
      </c>
      <c r="I10" s="4800"/>
      <c r="J10" s="4800"/>
      <c r="K10" s="4800">
        <f>'Part II-Development Team'!H40</f>
        <v>0</v>
      </c>
      <c r="L10" s="4800"/>
    </row>
    <row r="11" spans="1:14" ht="15.6">
      <c r="A11" s="510" t="s">
        <v>2654</v>
      </c>
      <c r="B11" s="507"/>
      <c r="C11" s="1020" t="str">
        <f>IF('Part II-Development Team'!H21="","",'Part II-Development Team'!H21)</f>
        <v/>
      </c>
      <c r="D11" s="507"/>
      <c r="E11" s="562" t="str">
        <f>IF('Part II-Development Team'!H27="","",'Part II-Development Team'!H27)</f>
        <v/>
      </c>
      <c r="F11" s="510" t="s">
        <v>606</v>
      </c>
      <c r="G11" s="507"/>
      <c r="H11" s="4800">
        <f>'Part II-Development Team'!H55</f>
        <v>0</v>
      </c>
      <c r="I11" s="4800"/>
      <c r="J11" s="4800"/>
      <c r="K11" s="4800">
        <f>'Part II-Development Team'!H61</f>
        <v>0</v>
      </c>
      <c r="L11" s="4800"/>
      <c r="M11" s="4800">
        <f>'Part II-Development Team'!H67</f>
        <v>0</v>
      </c>
      <c r="N11" s="4800"/>
    </row>
    <row r="12" spans="1:14" ht="15.6">
      <c r="A12" s="510" t="s">
        <v>2655</v>
      </c>
      <c r="B12" s="507"/>
      <c r="C12" s="1020">
        <f>'Part II-Development Team'!H87</f>
        <v>0</v>
      </c>
      <c r="D12" s="507"/>
      <c r="E12" s="507"/>
      <c r="F12" s="510" t="s">
        <v>2656</v>
      </c>
      <c r="G12" s="507"/>
      <c r="H12" s="4800">
        <f>'Part II-Development Team'!H93</f>
        <v>0</v>
      </c>
      <c r="I12" s="4800"/>
      <c r="J12" s="4800"/>
      <c r="K12" s="4800"/>
      <c r="L12" s="507"/>
      <c r="M12" s="507"/>
    </row>
    <row r="13" spans="1:14" ht="15.6">
      <c r="A13" s="510" t="s">
        <v>2657</v>
      </c>
      <c r="B13" s="510"/>
      <c r="C13" s="506">
        <f>'Part V-Revenues &amp; Expenses'!$P$67</f>
        <v>40</v>
      </c>
      <c r="E13" s="970">
        <f>'Part V-Revenues &amp; Expenses'!$P$63</f>
        <v>40</v>
      </c>
      <c r="F13" s="510" t="s">
        <v>3452</v>
      </c>
      <c r="G13" s="507"/>
      <c r="H13" s="1021" t="e">
        <f>'Part I-Project Identification'!#REF!</f>
        <v>#REF!</v>
      </c>
      <c r="I13" s="971"/>
      <c r="J13" s="971"/>
      <c r="K13" s="1021">
        <f>'Part V-Revenues &amp; Expenses'!K175</f>
        <v>29849</v>
      </c>
      <c r="L13" s="507"/>
      <c r="M13" s="507"/>
    </row>
    <row r="14" spans="1:14" ht="15.6">
      <c r="A14" s="510" t="s">
        <v>2949</v>
      </c>
      <c r="B14" s="507"/>
      <c r="C14" s="1021" t="e">
        <f>'Part I-Project Identification'!#REF!</f>
        <v>#REF!</v>
      </c>
      <c r="D14" s="4800" t="e">
        <f>IF('Part V-Revenues &amp; Expenses'!#REF!=0,"",'Part V-Revenues &amp; Expenses'!#REF!)</f>
        <v>#REF!</v>
      </c>
      <c r="E14" s="4800"/>
      <c r="F14" s="510" t="s">
        <v>2658</v>
      </c>
      <c r="G14" s="507"/>
      <c r="H14" s="4781" t="s">
        <v>3099</v>
      </c>
      <c r="I14" s="4781"/>
      <c r="J14" s="4781"/>
      <c r="K14" s="4781" t="s">
        <v>3099</v>
      </c>
      <c r="L14" s="4781"/>
      <c r="M14" s="507"/>
    </row>
    <row r="15" spans="1:14" ht="15.6">
      <c r="A15" s="510" t="s">
        <v>2659</v>
      </c>
      <c r="B15" s="507"/>
      <c r="C15" s="546" t="s">
        <v>1646</v>
      </c>
      <c r="D15" s="507"/>
      <c r="E15" s="507"/>
      <c r="F15" s="510" t="s">
        <v>2950</v>
      </c>
      <c r="G15" s="507"/>
      <c r="H15" s="1020" t="str">
        <f>'Part I-Project Identification'!K28</f>
        <v>Rural</v>
      </c>
      <c r="I15" s="507"/>
      <c r="J15" s="507"/>
      <c r="K15" s="507"/>
      <c r="L15" s="507"/>
      <c r="M15" s="507"/>
    </row>
    <row r="16" spans="1:14" ht="15.6">
      <c r="A16" s="510" t="s">
        <v>3126</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6">
      <c r="A18" s="510" t="s">
        <v>2952</v>
      </c>
      <c r="B18" s="507"/>
      <c r="C18" s="1023">
        <f>'Part III-A-Uses of Funds'!G146</f>
        <v>4829637</v>
      </c>
      <c r="D18" s="1003">
        <f>IF(C18=0,"",$C$29/C18)</f>
        <v>0.15922521713329593</v>
      </c>
      <c r="E18" s="507" t="s">
        <v>2953</v>
      </c>
      <c r="F18" s="510" t="s">
        <v>2954</v>
      </c>
      <c r="G18" s="507"/>
      <c r="H18" s="4799">
        <f>'Part III-A-Uses of Funds'!C49</f>
        <v>2052000</v>
      </c>
      <c r="I18" s="4799"/>
      <c r="J18" s="1002">
        <f>IF(H18=0,"",$C$29/H18)</f>
        <v>0.37475633528265107</v>
      </c>
      <c r="K18" s="4800" t="s">
        <v>2955</v>
      </c>
      <c r="L18" s="4800"/>
      <c r="M18" s="507"/>
    </row>
    <row r="19" spans="1:13" ht="15.6">
      <c r="A19" s="510" t="s">
        <v>2660</v>
      </c>
      <c r="B19" s="507"/>
      <c r="C19" s="1022">
        <f>C18/C13</f>
        <v>120740.925</v>
      </c>
      <c r="D19" s="507"/>
      <c r="E19" s="507"/>
      <c r="F19" s="510" t="s">
        <v>2660</v>
      </c>
      <c r="G19" s="507"/>
      <c r="H19" s="4801">
        <f>H18/C13</f>
        <v>51300</v>
      </c>
      <c r="I19" s="4801"/>
      <c r="J19" s="507"/>
      <c r="K19" s="507"/>
      <c r="L19" s="507"/>
      <c r="M19" s="507"/>
    </row>
    <row r="20" spans="1:13" ht="15.6">
      <c r="A20" s="510" t="s">
        <v>2661</v>
      </c>
      <c r="B20" s="507"/>
      <c r="C20" s="1020">
        <f>C18/K13</f>
        <v>161.8023049348387</v>
      </c>
      <c r="D20" s="548"/>
      <c r="E20" s="548"/>
      <c r="F20" s="510" t="s">
        <v>2661</v>
      </c>
      <c r="G20" s="507"/>
      <c r="H20" s="4800">
        <f>H18/K13</f>
        <v>68.746021642266072</v>
      </c>
      <c r="I20" s="4801"/>
      <c r="J20" s="507"/>
      <c r="K20" s="507"/>
      <c r="L20" s="50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6">
      <c r="A25" s="510" t="s">
        <v>2664</v>
      </c>
      <c r="B25" s="552" t="str">
        <f>'Part II-Sources of Funds'!E40</f>
        <v>Churchill Stateside Group</v>
      </c>
      <c r="C25" s="553">
        <f>'Part II-Sources of Funds'!I40</f>
        <v>769000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2" thickBot="1">
      <c r="A29" s="507"/>
      <c r="B29" s="556" t="s">
        <v>2669</v>
      </c>
      <c r="C29" s="557">
        <f>SUM(C25:C27)</f>
        <v>769000</v>
      </c>
      <c r="D29" s="507"/>
      <c r="E29" s="507"/>
      <c r="F29" s="507"/>
      <c r="G29" s="507" t="s">
        <v>2670</v>
      </c>
      <c r="H29" s="507"/>
      <c r="I29" s="507"/>
      <c r="K29" s="555" t="e">
        <f>C29/K28</f>
        <v>#DIV/0!</v>
      </c>
      <c r="L29" s="507"/>
      <c r="M29" s="507"/>
    </row>
    <row r="30" spans="1:13" ht="16.2" thickTop="1">
      <c r="A30" s="510" t="s">
        <v>2671</v>
      </c>
      <c r="B30" s="556"/>
      <c r="C30" s="558">
        <f>'Part II-Sources of Funds'!$I$51+'Part II-Sources of Funds'!$I$52</f>
        <v>2851890</v>
      </c>
      <c r="D30" s="507"/>
      <c r="E30" s="507"/>
      <c r="F30" s="507"/>
      <c r="G30" s="507"/>
      <c r="H30" s="507"/>
      <c r="I30" s="507"/>
      <c r="K30" s="559"/>
      <c r="L30" s="507"/>
      <c r="M30" s="507"/>
    </row>
    <row r="31" spans="1:13" ht="15">
      <c r="A31" s="560" t="s">
        <v>2672</v>
      </c>
      <c r="B31" s="552" t="str">
        <f>'Part II-Sources of Funds'!E41</f>
        <v>USDA Rural Development</v>
      </c>
      <c r="C31" s="553">
        <f>'Part II-Sources of Funds'!I41</f>
        <v>1028757</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6">
      <c r="A34" s="507"/>
      <c r="B34" s="556" t="s">
        <v>2675</v>
      </c>
      <c r="C34" s="558">
        <f>SUM(C31:C33)</f>
        <v>1028757</v>
      </c>
      <c r="D34" s="507"/>
      <c r="E34" s="507"/>
      <c r="F34" s="507"/>
      <c r="G34" s="507"/>
      <c r="H34" s="507"/>
      <c r="I34" s="507"/>
      <c r="K34" s="507"/>
      <c r="L34" s="507"/>
      <c r="M34" s="561"/>
    </row>
    <row r="35" spans="1:13" ht="15.6">
      <c r="A35" s="507"/>
      <c r="B35" s="556"/>
      <c r="C35" s="507"/>
      <c r="D35" s="507"/>
      <c r="E35" s="507"/>
      <c r="F35" s="507"/>
      <c r="G35" s="973" t="s">
        <v>2676</v>
      </c>
      <c r="H35" s="973"/>
      <c r="I35" s="973"/>
      <c r="K35" s="562" t="e">
        <f>(C36)/K25</f>
        <v>#DIV/0!</v>
      </c>
      <c r="L35" s="507"/>
      <c r="M35" s="507"/>
    </row>
    <row r="36" spans="1:13" ht="15.6">
      <c r="A36" s="507"/>
      <c r="B36" s="556" t="s">
        <v>2677</v>
      </c>
      <c r="C36" s="558">
        <f>C29+C34</f>
        <v>1797757</v>
      </c>
      <c r="D36" s="507"/>
      <c r="E36" s="507"/>
      <c r="F36" s="507"/>
      <c r="G36" s="507"/>
      <c r="H36" s="507"/>
      <c r="I36" s="507"/>
      <c r="K36" s="507"/>
      <c r="L36" s="507"/>
      <c r="M36" s="507"/>
    </row>
    <row r="37" spans="1:13" ht="15.6">
      <c r="A37" s="507"/>
      <c r="B37" s="556"/>
      <c r="C37" s="559"/>
      <c r="D37" s="507"/>
      <c r="E37" s="507"/>
      <c r="F37" s="507"/>
      <c r="G37" s="973" t="s">
        <v>2678</v>
      </c>
      <c r="H37" s="973"/>
      <c r="I37" s="973"/>
      <c r="K37" s="974" t="e">
        <f>+(C36)/K32</f>
        <v>#DIV/0!</v>
      </c>
      <c r="L37" s="507"/>
      <c r="M37" s="561"/>
    </row>
    <row r="38" spans="1:13" ht="15.6">
      <c r="A38" s="507"/>
      <c r="B38" s="556" t="s">
        <v>2679</v>
      </c>
      <c r="C38" s="563">
        <f>C36/C18</f>
        <v>0.37223439359935334</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2680</v>
      </c>
      <c r="C40" s="563">
        <f>C36/H18</f>
        <v>0.87609990253411307</v>
      </c>
      <c r="D40" s="507"/>
      <c r="E40" s="507"/>
      <c r="F40" s="510"/>
      <c r="G40" s="510" t="s">
        <v>2681</v>
      </c>
      <c r="H40" s="507"/>
      <c r="I40" s="507"/>
      <c r="K40" s="555">
        <f>C30/C18</f>
        <v>0.59049779517591072</v>
      </c>
      <c r="L40" s="507"/>
      <c r="M40" s="507"/>
    </row>
    <row r="46" spans="1:13" ht="15.6">
      <c r="A46" s="550" t="s">
        <v>2682</v>
      </c>
      <c r="B46" s="540"/>
      <c r="C46" s="540"/>
      <c r="D46" s="540"/>
      <c r="E46" s="540"/>
      <c r="F46" s="540"/>
      <c r="G46" s="540"/>
      <c r="H46" s="540"/>
      <c r="I46" s="540"/>
      <c r="J46" s="540"/>
      <c r="K46" s="540"/>
      <c r="L46" s="540"/>
      <c r="M46" s="507"/>
    </row>
    <row r="47" spans="1:13" ht="15.6">
      <c r="A47" s="550" t="str">
        <f>C8</f>
        <v>Brightwood Lane Apartments</v>
      </c>
      <c r="B47" s="540"/>
      <c r="C47" s="540"/>
      <c r="D47" s="540"/>
      <c r="E47" s="540"/>
      <c r="F47" s="540"/>
      <c r="G47" s="540"/>
      <c r="H47" s="540"/>
      <c r="I47" s="540"/>
      <c r="J47" s="540"/>
      <c r="K47" s="540"/>
      <c r="L47" s="540"/>
      <c r="M47" s="507"/>
    </row>
    <row r="50" spans="1:14" s="507" customFormat="1" ht="15.6">
      <c r="A50" s="510" t="s">
        <v>2683</v>
      </c>
      <c r="C50" s="561" t="s">
        <v>2684</v>
      </c>
      <c r="E50" s="564" t="s">
        <v>3100</v>
      </c>
      <c r="F50" s="565">
        <v>0.1</v>
      </c>
      <c r="G50" s="564" t="s">
        <v>3101</v>
      </c>
      <c r="H50" s="565">
        <v>0.05</v>
      </c>
      <c r="I50" s="564" t="s">
        <v>3102</v>
      </c>
      <c r="J50" s="565">
        <v>0.03</v>
      </c>
      <c r="K50" s="4775" t="s">
        <v>2685</v>
      </c>
      <c r="L50" s="4776"/>
      <c r="M50"/>
      <c r="N50"/>
    </row>
    <row r="51" spans="1:14" s="507" customFormat="1" ht="15.6">
      <c r="A51" s="510"/>
      <c r="C51" s="561"/>
      <c r="E51" s="561"/>
      <c r="F51" s="566"/>
      <c r="G51" s="561"/>
      <c r="H51" s="566"/>
      <c r="I51" s="561"/>
      <c r="J51" s="566"/>
      <c r="K51" s="561"/>
      <c r="M51"/>
      <c r="N51"/>
    </row>
    <row r="52" spans="1:14" s="507" customFormat="1" ht="18.75" customHeight="1">
      <c r="B52" s="567" t="s">
        <v>2686</v>
      </c>
      <c r="C52" s="568">
        <f>'Part VI-Pro Forma'!B15</f>
        <v>281736</v>
      </c>
      <c r="D52" s="568"/>
      <c r="E52" s="568">
        <f>$C$52</f>
        <v>281736</v>
      </c>
      <c r="F52" s="568"/>
      <c r="G52" s="568">
        <f>$C$52</f>
        <v>281736</v>
      </c>
      <c r="H52" s="568"/>
      <c r="I52" s="568">
        <f>$C$52</f>
        <v>281736</v>
      </c>
      <c r="J52" s="568"/>
      <c r="K52" s="568">
        <f>$C$52</f>
        <v>281736</v>
      </c>
      <c r="L52" s="569"/>
      <c r="M52"/>
      <c r="N52"/>
    </row>
    <row r="53" spans="1:14" s="507" customFormat="1" ht="18.75" customHeight="1">
      <c r="B53" s="567" t="s">
        <v>2689</v>
      </c>
      <c r="C53" s="568">
        <f>'Part VI-Pro Forma'!B16</f>
        <v>892</v>
      </c>
      <c r="D53" s="568"/>
      <c r="E53" s="568">
        <f>$C$53</f>
        <v>892</v>
      </c>
      <c r="F53" s="568"/>
      <c r="G53" s="568">
        <f>$C$53</f>
        <v>892</v>
      </c>
      <c r="H53" s="568"/>
      <c r="I53" s="568">
        <f>$C$53</f>
        <v>892</v>
      </c>
      <c r="J53" s="568"/>
      <c r="K53" s="568">
        <f>$C$53</f>
        <v>892</v>
      </c>
      <c r="L53" s="569"/>
      <c r="M53"/>
      <c r="N53"/>
    </row>
    <row r="54" spans="1:14" s="507" customFormat="1" ht="18.75" customHeight="1">
      <c r="B54" s="567" t="s">
        <v>2687</v>
      </c>
      <c r="C54" s="568">
        <f>'Part VI-Pro Forma'!B17</f>
        <v>-14131.400000000001</v>
      </c>
      <c r="D54" s="568"/>
      <c r="E54" s="568">
        <f>-($C$52+E53)*F50</f>
        <v>-28262.800000000003</v>
      </c>
      <c r="F54" s="570"/>
      <c r="G54" s="568">
        <f>-($C$52+G53)*0.07</f>
        <v>-19783.960000000003</v>
      </c>
      <c r="H54" s="568"/>
      <c r="I54" s="568">
        <f>-($C$52+I53)*0.07</f>
        <v>-19783.960000000003</v>
      </c>
      <c r="J54" s="568"/>
      <c r="K54" s="568">
        <f>-($C$52+K53)*L54</f>
        <v>-28262.800000000003</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268496.59999999998</v>
      </c>
      <c r="D56" s="568"/>
      <c r="E56" s="574">
        <f>SUM(E52:E55)</f>
        <v>254365.2</v>
      </c>
      <c r="F56" s="568"/>
      <c r="G56" s="574">
        <f>SUM(G52:G55)</f>
        <v>262844.03999999998</v>
      </c>
      <c r="H56" s="568"/>
      <c r="I56" s="574">
        <f>SUM(I52:I55)</f>
        <v>262844.03999999998</v>
      </c>
      <c r="J56" s="568"/>
      <c r="K56" s="574">
        <f>SUM(K52:K55)</f>
        <v>254365.2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71791</v>
      </c>
      <c r="D58" s="568"/>
      <c r="E58" s="568">
        <f>$C$58</f>
        <v>71791</v>
      </c>
      <c r="F58" s="568"/>
      <c r="G58" s="568">
        <f>$C$58</f>
        <v>71791</v>
      </c>
      <c r="H58" s="568"/>
      <c r="I58" s="568">
        <f>$C$58</f>
        <v>71791</v>
      </c>
      <c r="J58" s="568"/>
      <c r="K58" s="568">
        <f>$C$58</f>
        <v>71791</v>
      </c>
      <c r="L58" s="569"/>
      <c r="M58"/>
      <c r="N58"/>
    </row>
    <row r="59" spans="1:14" s="507" customFormat="1" ht="18.75" customHeight="1">
      <c r="B59" s="567" t="s">
        <v>2692</v>
      </c>
      <c r="C59" s="568">
        <f>+'Part V-Revenues &amp; Expenses'!F247</f>
        <v>19827</v>
      </c>
      <c r="D59" s="568"/>
      <c r="E59" s="568">
        <f>$C$59</f>
        <v>19827</v>
      </c>
      <c r="F59" s="568"/>
      <c r="G59" s="568">
        <f>$C$59</f>
        <v>19827</v>
      </c>
      <c r="H59" s="568"/>
      <c r="I59" s="568">
        <f>$C$59</f>
        <v>19827</v>
      </c>
      <c r="J59" s="568"/>
      <c r="K59" s="568">
        <f>$C$59*(1+$L$59)</f>
        <v>20620.080000000002</v>
      </c>
      <c r="L59" s="575">
        <v>0.04</v>
      </c>
      <c r="M59"/>
      <c r="N59"/>
    </row>
    <row r="60" spans="1:14" s="507" customFormat="1" ht="18.75" customHeight="1">
      <c r="B60" s="567" t="s">
        <v>1297</v>
      </c>
      <c r="C60" s="568">
        <f>+'Part V-Revenues &amp; Expenses'!L241</f>
        <v>5011</v>
      </c>
      <c r="D60" s="568"/>
      <c r="E60" s="568">
        <f>$C$60</f>
        <v>5011</v>
      </c>
      <c r="F60" s="568"/>
      <c r="G60" s="568">
        <f>$C$60</f>
        <v>5011</v>
      </c>
      <c r="H60" s="568"/>
      <c r="I60" s="568">
        <f>$C$60*(1+$J$50)</f>
        <v>5161.33</v>
      </c>
      <c r="J60" s="570"/>
      <c r="K60" s="568">
        <f>$C$60*(1+$J$50)</f>
        <v>5161.33</v>
      </c>
      <c r="L60" s="571">
        <v>0.03</v>
      </c>
      <c r="M60"/>
      <c r="N60"/>
    </row>
    <row r="61" spans="1:14" s="507" customFormat="1" ht="18.75" customHeight="1">
      <c r="B61" s="567" t="s">
        <v>1298</v>
      </c>
      <c r="C61" s="568">
        <f>+'Part V-Revenues &amp; Expenses'!L247</f>
        <v>32638</v>
      </c>
      <c r="D61" s="568"/>
      <c r="E61" s="568">
        <f>$C$61</f>
        <v>32638</v>
      </c>
      <c r="F61" s="568"/>
      <c r="G61" s="568">
        <f>$C$61*(1+H50)</f>
        <v>34269.9</v>
      </c>
      <c r="H61" s="570"/>
      <c r="I61" s="568">
        <f>$C$61</f>
        <v>32638</v>
      </c>
      <c r="J61" s="568"/>
      <c r="K61" s="568">
        <f>$C$61*(1+$L$61)</f>
        <v>34269.9</v>
      </c>
      <c r="L61" s="571">
        <v>0.05</v>
      </c>
      <c r="M61"/>
      <c r="N61"/>
    </row>
    <row r="62" spans="1:14" s="507" customFormat="1" ht="18.75" customHeight="1">
      <c r="B62" s="573" t="s">
        <v>2693</v>
      </c>
      <c r="C62" s="574">
        <f>SUM(C58:C61)</f>
        <v>129267</v>
      </c>
      <c r="D62" s="568"/>
      <c r="E62" s="574">
        <f>SUM(E58:E61)</f>
        <v>129267</v>
      </c>
      <c r="F62" s="568"/>
      <c r="G62" s="574">
        <f>SUM(G58:G61)</f>
        <v>130898.9</v>
      </c>
      <c r="H62" s="568"/>
      <c r="I62" s="574">
        <f>SUM(I58:I61)</f>
        <v>129417.33</v>
      </c>
      <c r="J62" s="568"/>
      <c r="K62" s="574">
        <f>SUM(K58:K61)</f>
        <v>131842.31</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2694</v>
      </c>
      <c r="C64" s="577">
        <f>C56-C62</f>
        <v>139229.59999999998</v>
      </c>
      <c r="D64" s="577"/>
      <c r="E64" s="577">
        <f>E56-E62</f>
        <v>125098.20000000001</v>
      </c>
      <c r="F64" s="577"/>
      <c r="G64" s="577">
        <f>G56-G62</f>
        <v>131945.13999999998</v>
      </c>
      <c r="H64" s="577"/>
      <c r="I64" s="577">
        <f>I56-I62</f>
        <v>133426.70999999996</v>
      </c>
      <c r="J64" s="577"/>
      <c r="K64" s="577">
        <f>K56-K62</f>
        <v>122522.89000000001</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24000</v>
      </c>
      <c r="D66" s="568"/>
      <c r="E66" s="568">
        <f>$C$66</f>
        <v>24000</v>
      </c>
      <c r="F66" s="568"/>
      <c r="G66" s="568">
        <f>$C$66</f>
        <v>24000</v>
      </c>
      <c r="H66" s="568"/>
      <c r="I66" s="568">
        <f>$C$66</f>
        <v>24000</v>
      </c>
      <c r="J66" s="568"/>
      <c r="K66" s="568">
        <f>$C$66</f>
        <v>24000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38400</v>
      </c>
      <c r="D68" s="568"/>
      <c r="E68" s="568">
        <f>$C$68</f>
        <v>38400</v>
      </c>
      <c r="F68" s="568"/>
      <c r="G68" s="568">
        <f>$C$68</f>
        <v>38400</v>
      </c>
      <c r="H68" s="568"/>
      <c r="I68" s="568">
        <f>$C$68</f>
        <v>38400</v>
      </c>
      <c r="J68" s="568"/>
      <c r="K68" s="568">
        <f>$C$68</f>
        <v>38400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2697</v>
      </c>
      <c r="C70" s="580">
        <f>C64-C66-C68</f>
        <v>76829.599999999977</v>
      </c>
      <c r="D70" s="577"/>
      <c r="E70" s="580">
        <f>E64-E66-E68</f>
        <v>62698.200000000012</v>
      </c>
      <c r="F70" s="577"/>
      <c r="G70" s="580">
        <f>G64-G66-G68</f>
        <v>69545.139999999985</v>
      </c>
      <c r="H70" s="577"/>
      <c r="I70" s="580">
        <f>I64-I66-I68</f>
        <v>71026.709999999963</v>
      </c>
      <c r="J70" s="577"/>
      <c r="K70" s="580">
        <f>K64-K66-K68</f>
        <v>60122.890000000014</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1.3798972452582761</v>
      </c>
      <c r="D72" s="581"/>
      <c r="E72" s="1004">
        <f>-E70/E75</f>
        <v>1.1260903800443123</v>
      </c>
      <c r="F72" s="581"/>
      <c r="G72" s="1004">
        <f>-G70/G75</f>
        <v>1.2490647759079985</v>
      </c>
      <c r="H72" s="581"/>
      <c r="I72" s="1004">
        <f>-I70/I75</f>
        <v>1.2756744987447342</v>
      </c>
      <c r="J72" s="581"/>
      <c r="K72" s="1004">
        <f>-K70/K75</f>
        <v>1.0798365511204848</v>
      </c>
      <c r="L72" s="4"/>
      <c r="M72" s="10"/>
      <c r="N72" s="10"/>
    </row>
    <row r="73" spans="1:14" s="507" customFormat="1" ht="18.75" customHeight="1">
      <c r="A73"/>
      <c r="B73" s="567" t="s">
        <v>2699</v>
      </c>
      <c r="C73" s="1005">
        <f>C76/C62</f>
        <v>0.16362900854254525</v>
      </c>
      <c r="D73" s="582"/>
      <c r="E73" s="1005">
        <f>E76/E62</f>
        <v>5.4309537989349413E-2</v>
      </c>
      <c r="F73" s="582"/>
      <c r="G73" s="1005">
        <f>G76/G62</f>
        <v>0.10593955371106407</v>
      </c>
      <c r="H73" s="582"/>
      <c r="I73" s="1005">
        <f>I76/I62</f>
        <v>0.11860035319280024</v>
      </c>
      <c r="J73" s="582"/>
      <c r="K73" s="1005">
        <f>K76/K62</f>
        <v>3.3715436624777224E-2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-55677.768952730781</v>
      </c>
      <c r="D75" s="568"/>
      <c r="E75" s="568">
        <f>$C$75</f>
        <v>-55677.768952730781</v>
      </c>
      <c r="F75" s="568"/>
      <c r="G75" s="568">
        <f>$C$75</f>
        <v>-55677.768952730781</v>
      </c>
      <c r="H75" s="568"/>
      <c r="I75" s="568">
        <f>$C$75</f>
        <v>-55677.768952730781</v>
      </c>
      <c r="J75" s="568"/>
      <c r="K75" s="568">
        <f>$C$75</f>
        <v>-55677.768952730781</v>
      </c>
      <c r="L75" s="26"/>
      <c r="M75"/>
      <c r="N75"/>
    </row>
    <row r="76" spans="1:14" s="507" customFormat="1" ht="18.75" customHeight="1">
      <c r="A76"/>
      <c r="B76" s="567" t="s">
        <v>1096</v>
      </c>
      <c r="C76" s="568">
        <f>C70+C75</f>
        <v>21151.831047269196</v>
      </c>
      <c r="D76" s="568"/>
      <c r="E76" s="568">
        <f>E70+E75</f>
        <v>7020.4310472692305</v>
      </c>
      <c r="F76" s="568"/>
      <c r="G76" s="568">
        <f>G70+G75</f>
        <v>13867.371047269204</v>
      </c>
      <c r="H76" s="568"/>
      <c r="I76" s="568">
        <f>I70+I75</f>
        <v>15348.941047269182</v>
      </c>
      <c r="J76" s="568"/>
      <c r="K76" s="568">
        <f>K70+K75</f>
        <v>4445.1210472692328</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cols>
    <col min="1" max="1" width="24.6640625" style="953" customWidth="1"/>
    <col min="2" max="2" width="13.6640625" style="953" customWidth="1"/>
    <col min="3" max="11" width="10.5546875" style="953" customWidth="1"/>
    <col min="12" max="12" width="9.6640625" style="953" customWidth="1"/>
    <col min="13" max="21" width="10.5546875" style="953" customWidth="1"/>
    <col min="22" max="16384" width="9.33203125" style="953"/>
  </cols>
  <sheetData>
    <row r="1" spans="1:7" ht="3" customHeight="1"/>
    <row r="2" spans="1:7">
      <c r="A2" s="952" t="s">
        <v>3416</v>
      </c>
    </row>
    <row r="3" spans="1:7" ht="3" customHeight="1"/>
    <row r="4" spans="1:7">
      <c r="A4" s="953" t="s">
        <v>3417</v>
      </c>
      <c r="B4" s="954">
        <f>+'Part III-A-Uses of Funds'!$G$146</f>
        <v>4829637</v>
      </c>
    </row>
    <row r="5" spans="1:7">
      <c r="A5" s="953" t="s">
        <v>3448</v>
      </c>
      <c r="B5" s="954">
        <f>+B18+B26+B38</f>
        <v>954508.11353153433</v>
      </c>
    </row>
    <row r="6" spans="1:7">
      <c r="A6" s="953" t="s">
        <v>3418</v>
      </c>
      <c r="B6" s="955">
        <f>+B5-B4</f>
        <v>-3875128.8864684654</v>
      </c>
    </row>
    <row r="7" spans="1:7">
      <c r="A7" s="953" t="s">
        <v>3419</v>
      </c>
      <c r="B7" s="956">
        <f>+B6/B4</f>
        <v>-0.80236441920344437</v>
      </c>
    </row>
    <row r="8" spans="1:7" ht="9" customHeight="1"/>
    <row r="9" spans="1:7">
      <c r="A9" s="953" t="s">
        <v>3420</v>
      </c>
      <c r="B9" s="954">
        <f>+B18+B26+B33</f>
        <v>809939.11353153433</v>
      </c>
    </row>
    <row r="10" spans="1:7">
      <c r="A10" s="953" t="s">
        <v>3418</v>
      </c>
      <c r="B10" s="955">
        <f>+B9-B4</f>
        <v>-4019697.8864684654</v>
      </c>
    </row>
    <row r="11" spans="1:7">
      <c r="A11" s="953" t="s">
        <v>3419</v>
      </c>
      <c r="B11" s="956">
        <f>+B10/B4</f>
        <v>-0.83229813885980775</v>
      </c>
    </row>
    <row r="12" spans="1:7" ht="24" customHeight="1"/>
    <row r="13" spans="1:7">
      <c r="A13" s="952" t="s">
        <v>3421</v>
      </c>
      <c r="D13" s="1010" t="s">
        <v>3665</v>
      </c>
      <c r="E13" s="1011"/>
    </row>
    <row r="14" spans="1:7">
      <c r="A14" s="953" t="s">
        <v>3422</v>
      </c>
      <c r="B14" s="957">
        <f>+SUM('Part II-Sources of Funds'!L51:M52)</f>
        <v>2851889.1148844999</v>
      </c>
      <c r="D14" s="1011"/>
      <c r="E14" s="1011"/>
    </row>
    <row r="15" spans="1:7">
      <c r="A15" s="953" t="s">
        <v>3423</v>
      </c>
      <c r="B15" s="958">
        <f>+'Part III-A-Uses of Funds'!J180</f>
        <v>288731.09999999998</v>
      </c>
      <c r="D15" s="1011" t="s">
        <v>1895</v>
      </c>
      <c r="G15" s="1012">
        <f>'Part III-A-Uses of Funds'!J168</f>
        <v>0</v>
      </c>
    </row>
    <row r="16" spans="1:7" ht="12.75" customHeight="1">
      <c r="D16" s="1011" t="s">
        <v>3666</v>
      </c>
      <c r="G16" s="1016">
        <v>3.2800000000000003E-2</v>
      </c>
    </row>
    <row r="17" spans="1:7" ht="12.75" customHeight="1">
      <c r="A17" s="953" t="s">
        <v>3424</v>
      </c>
      <c r="B17" s="1015">
        <v>1.45</v>
      </c>
      <c r="D17" s="1011" t="s">
        <v>3667</v>
      </c>
      <c r="G17" s="1017">
        <v>1.45</v>
      </c>
    </row>
    <row r="18" spans="1:7" ht="12.75" customHeight="1">
      <c r="A18" s="953" t="s">
        <v>3425</v>
      </c>
      <c r="B18" s="959">
        <f>+'Part III-A-Uses of Funds'!J190*B17*10</f>
        <v>0</v>
      </c>
      <c r="D18" s="1011" t="s">
        <v>3668</v>
      </c>
      <c r="G18" s="1017">
        <v>3.28</v>
      </c>
    </row>
    <row r="19" spans="1:7" ht="12.75" customHeight="1">
      <c r="D19" s="1011" t="s">
        <v>3669</v>
      </c>
      <c r="G19" s="1013">
        <f>+G15*G16*G17*10</f>
        <v>0</v>
      </c>
    </row>
    <row r="20" spans="1:7">
      <c r="A20" s="953" t="s">
        <v>3426</v>
      </c>
      <c r="B20" s="957">
        <f>+B18-B14</f>
        <v>-2851889.1148844999</v>
      </c>
      <c r="D20" s="1011" t="s">
        <v>3670</v>
      </c>
      <c r="G20" s="1014">
        <f>+B14-G19</f>
        <v>2851889.1148844999</v>
      </c>
    </row>
    <row r="21" spans="1:7">
      <c r="A21" s="953" t="s">
        <v>3427</v>
      </c>
      <c r="B21" s="956">
        <f>+B20/B14</f>
        <v>-1</v>
      </c>
      <c r="D21" s="1011" t="s">
        <v>3671</v>
      </c>
      <c r="G21" s="1011" t="str">
        <f>+IF(G20&gt;(B28+B35),"No","Yes")</f>
        <v>No</v>
      </c>
    </row>
    <row r="22" spans="1:7" ht="24" customHeight="1"/>
    <row r="23" spans="1:7">
      <c r="A23" s="952" t="s">
        <v>3428</v>
      </c>
    </row>
    <row r="24" spans="1:7">
      <c r="A24" s="953" t="s">
        <v>3429</v>
      </c>
      <c r="B24" s="960">
        <f>+SUM('Part II-Sources of Funds'!I40:J43)</f>
        <v>1797757</v>
      </c>
    </row>
    <row r="25" spans="1:7">
      <c r="A25" s="953" t="s">
        <v>3430</v>
      </c>
      <c r="B25" s="961">
        <f>IF('Part II-Sources of Funds'!E6="Yes","N/A",MAX(B46:P46))</f>
        <v>-3319.4142092695402</v>
      </c>
    </row>
    <row r="26" spans="1:7">
      <c r="A26" s="953" t="s">
        <v>3431</v>
      </c>
      <c r="B26" s="951">
        <f>IFERROR(PV('Part II-Sources of Funds'!K40,'Part II-Sources of Funds'!L40,B25+B45),B24)</f>
        <v>809939.11353153433</v>
      </c>
    </row>
    <row r="27" spans="1:7" ht="9" customHeight="1">
      <c r="B27" s="951"/>
    </row>
    <row r="28" spans="1:7">
      <c r="A28" s="953" t="s">
        <v>3432</v>
      </c>
      <c r="B28" s="962">
        <f>+B26-B24</f>
        <v>-987817.88646846567</v>
      </c>
      <c r="C28" s="963"/>
    </row>
    <row r="29" spans="1:7">
      <c r="A29" s="953" t="s">
        <v>3427</v>
      </c>
      <c r="B29" s="964">
        <f>+B28/B24</f>
        <v>-0.54947241839050864</v>
      </c>
    </row>
    <row r="30" spans="1:7" ht="24" customHeight="1"/>
    <row r="31" spans="1:7">
      <c r="A31" s="952" t="s">
        <v>3362</v>
      </c>
    </row>
    <row r="32" spans="1:7">
      <c r="A32" s="953" t="s">
        <v>3433</v>
      </c>
      <c r="B32" s="965">
        <f>+'Part II-Sources of Funds'!I45</f>
        <v>35421</v>
      </c>
    </row>
    <row r="33" spans="1:11">
      <c r="A33" s="953" t="s">
        <v>3434</v>
      </c>
      <c r="B33" s="951"/>
    </row>
    <row r="34" spans="1:11" ht="9" customHeight="1">
      <c r="B34" s="951"/>
    </row>
    <row r="35" spans="1:11">
      <c r="A35" s="953" t="s">
        <v>3435</v>
      </c>
      <c r="B35" s="965">
        <f>+B33-B32</f>
        <v>-35421</v>
      </c>
    </row>
    <row r="36" spans="1:11">
      <c r="A36" s="953" t="s">
        <v>3436</v>
      </c>
      <c r="B36" s="950">
        <f>+B35/B32</f>
        <v>-1</v>
      </c>
    </row>
    <row r="37" spans="1:11" ht="24" customHeight="1">
      <c r="B37" s="951"/>
    </row>
    <row r="38" spans="1:11">
      <c r="A38" s="952" t="s">
        <v>3437</v>
      </c>
      <c r="B38" s="951">
        <f>+SUM('Part II-Sources of Funds'!I44,'Part II-Sources of Funds'!I49,'Part II-Sources of Funds'!I50,'Part II-Sources of Funds'!I53:I59)</f>
        <v>144569</v>
      </c>
    </row>
    <row r="39" spans="1:11">
      <c r="B39" s="951"/>
    </row>
    <row r="40" spans="1:11">
      <c r="B40" s="951"/>
    </row>
    <row r="41" spans="1:11">
      <c r="B41" s="951"/>
    </row>
    <row r="42" spans="1:11">
      <c r="A42" s="952" t="s">
        <v>3438</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76829.599999999977</v>
      </c>
      <c r="C44" s="954">
        <f>+'Part VI-Pro Forma'!C25</f>
        <v>76449.522000000055</v>
      </c>
      <c r="D44" s="954">
        <f>+'Part VI-Pro Forma'!D25</f>
        <v>76003.902340000001</v>
      </c>
      <c r="E44" s="954">
        <f>+'Part VI-Pro Forma'!E25</f>
        <v>75490.750783799973</v>
      </c>
      <c r="F44" s="954">
        <f>+'Part VI-Pro Forma'!F25</f>
        <v>74905.995908385972</v>
      </c>
      <c r="G44" s="954">
        <f>+'Part VI-Pro Forma'!G25</f>
        <v>74247.482238731056</v>
      </c>
      <c r="H44" s="954">
        <f>+'Part VI-Pro Forma'!H25</f>
        <v>73509.967288048298</v>
      </c>
      <c r="I44" s="954">
        <f>+'Part VI-Pro Forma'!I25</f>
        <v>72692.118500488054</v>
      </c>
      <c r="J44" s="954">
        <f>+'Part VI-Pro Forma'!J25</f>
        <v>71788.510093177174</v>
      </c>
      <c r="K44" s="954">
        <f>+'Part VI-Pro Forma'!K25</f>
        <v>70796.61979440038</v>
      </c>
    </row>
    <row r="45" spans="1:11">
      <c r="A45" s="953" t="s">
        <v>3439</v>
      </c>
      <c r="B45" s="954">
        <f>SUM('Part VI-Pro Forma'!B26:B29)</f>
        <v>-55677.768952730781</v>
      </c>
      <c r="C45" s="954">
        <f>SUM('Part VI-Pro Forma'!C26:C29)</f>
        <v>-55677.768952730781</v>
      </c>
      <c r="D45" s="954">
        <f>SUM('Part VI-Pro Forma'!D26:D29)</f>
        <v>-55677.768952730781</v>
      </c>
      <c r="E45" s="954">
        <f>SUM('Part VI-Pro Forma'!E26:E29)</f>
        <v>-55677.768952730781</v>
      </c>
      <c r="F45" s="954">
        <f>SUM('Part VI-Pro Forma'!F26:F29)</f>
        <v>-55677.768952730781</v>
      </c>
      <c r="G45" s="954">
        <f>SUM('Part VI-Pro Forma'!G26:G29)</f>
        <v>-55677.768952730781</v>
      </c>
      <c r="H45" s="954">
        <f>SUM('Part VI-Pro Forma'!H26:H29)</f>
        <v>-55677.768952730781</v>
      </c>
      <c r="I45" s="954">
        <f>SUM('Part VI-Pro Forma'!I26:I29)</f>
        <v>-55677.768952730781</v>
      </c>
      <c r="J45" s="954">
        <f>SUM('Part VI-Pro Forma'!J26:J29)</f>
        <v>-55677.768952730781</v>
      </c>
      <c r="K45" s="954">
        <f>SUM('Part VI-Pro Forma'!K26:K29)</f>
        <v>-55677.768952730781</v>
      </c>
    </row>
    <row r="46" spans="1:11">
      <c r="A46" s="953" t="s">
        <v>3440</v>
      </c>
      <c r="B46" s="955">
        <f t="shared" ref="B46:K46" si="0">-B44/B48-B45</f>
        <v>-8346.8977139358685</v>
      </c>
      <c r="C46" s="955">
        <f t="shared" si="0"/>
        <v>-8030.1660472692674</v>
      </c>
      <c r="D46" s="955">
        <f t="shared" si="0"/>
        <v>-7658.8163306025526</v>
      </c>
      <c r="E46" s="955">
        <f t="shared" si="0"/>
        <v>-7231.1900337691986</v>
      </c>
      <c r="F46" s="955">
        <f t="shared" si="0"/>
        <v>-6743.8943042575338</v>
      </c>
      <c r="G46" s="955">
        <f t="shared" si="0"/>
        <v>-6195.1329128784346</v>
      </c>
      <c r="H46" s="955">
        <f t="shared" si="0"/>
        <v>-5580.5371206428026</v>
      </c>
      <c r="I46" s="955">
        <f t="shared" si="0"/>
        <v>-4898.9964643425992</v>
      </c>
      <c r="J46" s="955">
        <f t="shared" si="0"/>
        <v>-4145.989458250202</v>
      </c>
      <c r="K46" s="955">
        <f t="shared" si="0"/>
        <v>-3319.4142092695402</v>
      </c>
    </row>
    <row r="48" spans="1:11">
      <c r="A48" s="953" t="s">
        <v>3441</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76829.599999999977</v>
      </c>
      <c r="C51" s="955">
        <f t="shared" ref="C51:K51" si="2">+C44</f>
        <v>76449.522000000055</v>
      </c>
      <c r="D51" s="955">
        <f t="shared" si="2"/>
        <v>76003.902340000001</v>
      </c>
      <c r="E51" s="955">
        <f t="shared" si="2"/>
        <v>75490.750783799973</v>
      </c>
      <c r="F51" s="955">
        <f t="shared" si="2"/>
        <v>74905.995908385972</v>
      </c>
      <c r="G51" s="955">
        <f t="shared" si="2"/>
        <v>74247.482238731056</v>
      </c>
      <c r="H51" s="955">
        <f t="shared" si="2"/>
        <v>73509.967288048298</v>
      </c>
      <c r="I51" s="955">
        <f t="shared" si="2"/>
        <v>72692.118500488054</v>
      </c>
      <c r="J51" s="955">
        <f t="shared" si="2"/>
        <v>71788.510093177174</v>
      </c>
      <c r="K51" s="955">
        <f t="shared" si="2"/>
        <v>70796.61979440038</v>
      </c>
    </row>
    <row r="52" spans="1:17">
      <c r="A52" s="953" t="s">
        <v>3442</v>
      </c>
      <c r="B52" s="955">
        <f>IF($B$25="N/A",B45,B45+$B$25)</f>
        <v>-58997.183162000321</v>
      </c>
      <c r="C52" s="955">
        <f t="shared" ref="C52:K52" si="3">IF($B$25="N/A",C45,C45+$B$25)</f>
        <v>-58997.183162000321</v>
      </c>
      <c r="D52" s="955">
        <f t="shared" si="3"/>
        <v>-58997.183162000321</v>
      </c>
      <c r="E52" s="955">
        <f t="shared" si="3"/>
        <v>-58997.183162000321</v>
      </c>
      <c r="F52" s="955">
        <f t="shared" si="3"/>
        <v>-58997.183162000321</v>
      </c>
      <c r="G52" s="955">
        <f t="shared" si="3"/>
        <v>-58997.183162000321</v>
      </c>
      <c r="H52" s="955">
        <f t="shared" si="3"/>
        <v>-58997.183162000321</v>
      </c>
      <c r="I52" s="955">
        <f t="shared" si="3"/>
        <v>-58997.183162000321</v>
      </c>
      <c r="J52" s="955">
        <f t="shared" si="3"/>
        <v>-58997.183162000321</v>
      </c>
      <c r="K52" s="955">
        <f t="shared" si="3"/>
        <v>-58997.183162000321</v>
      </c>
    </row>
    <row r="53" spans="1:17">
      <c r="A53" s="953" t="s">
        <v>3443</v>
      </c>
      <c r="B53" s="954">
        <f>+'Part VI-Pro Forma'!B31</f>
        <v>-3750</v>
      </c>
      <c r="C53" s="954">
        <f>+'Part VI-Pro Forma'!C31</f>
        <v>-3750</v>
      </c>
      <c r="D53" s="954">
        <f>+'Part VI-Pro Forma'!D31</f>
        <v>-3750</v>
      </c>
      <c r="E53" s="954">
        <f>+'Part VI-Pro Forma'!E31</f>
        <v>-3750</v>
      </c>
      <c r="F53" s="954">
        <f>+'Part VI-Pro Forma'!F31</f>
        <v>-3750</v>
      </c>
      <c r="G53" s="954">
        <f>+'Part VI-Pro Forma'!G31</f>
        <v>-3750</v>
      </c>
      <c r="H53" s="954">
        <f>+'Part VI-Pro Forma'!H31</f>
        <v>-3750</v>
      </c>
      <c r="I53" s="954">
        <f>+'Part VI-Pro Forma'!I31</f>
        <v>-3750</v>
      </c>
      <c r="J53" s="954">
        <f>+'Part VI-Pro Forma'!J31</f>
        <v>-3750</v>
      </c>
      <c r="K53" s="954">
        <f>+'Part VI-Pro Forma'!K31</f>
        <v>-3750</v>
      </c>
    </row>
    <row r="54" spans="1:17">
      <c r="A54" s="953" t="s">
        <v>3444</v>
      </c>
      <c r="B54" s="955">
        <f>+SUM(B51:B53)</f>
        <v>14082.416837999655</v>
      </c>
      <c r="C54" s="955">
        <f t="shared" ref="C54:K54" si="4">+SUM(C51:C53)</f>
        <v>13702.338837999734</v>
      </c>
      <c r="D54" s="955">
        <f t="shared" si="4"/>
        <v>13256.719177999679</v>
      </c>
      <c r="E54" s="955">
        <f t="shared" si="4"/>
        <v>12743.567621799652</v>
      </c>
      <c r="F54" s="955">
        <f t="shared" si="4"/>
        <v>12158.812746385651</v>
      </c>
      <c r="G54" s="955">
        <f t="shared" si="4"/>
        <v>11500.299076730735</v>
      </c>
      <c r="H54" s="955">
        <f t="shared" si="4"/>
        <v>10762.784126047976</v>
      </c>
      <c r="I54" s="955">
        <f t="shared" si="4"/>
        <v>9944.9353384877322</v>
      </c>
      <c r="J54" s="955">
        <f t="shared" si="4"/>
        <v>9041.3269311768527</v>
      </c>
      <c r="K54" s="955">
        <f t="shared" si="4"/>
        <v>8049.4366324000584</v>
      </c>
    </row>
    <row r="55" spans="1:17">
      <c r="A55" s="953" t="s">
        <v>3362</v>
      </c>
      <c r="B55" s="955">
        <f>-B54</f>
        <v>-14082.416837999655</v>
      </c>
      <c r="C55" s="955">
        <f t="shared" ref="C55:K55" si="5">-C54</f>
        <v>-13702.338837999734</v>
      </c>
      <c r="D55" s="955">
        <f t="shared" si="5"/>
        <v>-13256.719177999679</v>
      </c>
      <c r="E55" s="955">
        <f t="shared" si="5"/>
        <v>-12743.567621799652</v>
      </c>
      <c r="F55" s="955">
        <f t="shared" si="5"/>
        <v>-12158.812746385651</v>
      </c>
      <c r="G55" s="955">
        <f t="shared" si="5"/>
        <v>-11500.299076730735</v>
      </c>
      <c r="H55" s="955">
        <f t="shared" si="5"/>
        <v>-10762.784126047976</v>
      </c>
      <c r="I55" s="955">
        <f t="shared" si="5"/>
        <v>-9944.9353384877322</v>
      </c>
      <c r="J55" s="955">
        <f t="shared" si="5"/>
        <v>-9041.3269311768527</v>
      </c>
      <c r="K55" s="955">
        <f t="shared" si="5"/>
        <v>-8049.4366324000584</v>
      </c>
    </row>
    <row r="56" spans="1:17">
      <c r="A56" s="953" t="s">
        <v>3445</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3446</v>
      </c>
      <c r="B58" s="954">
        <f>IF($B$26="","",-FV('Part II-Sources of Funds'!$K$40/12,12,B52/12,B26))</f>
        <v>805476.43420562183</v>
      </c>
      <c r="C58" s="954">
        <f>IF($B$26="","",-FV('Part II-Sources of Funds'!$K$40/12,12,C52/12,B58))</f>
        <v>800703.02772666444</v>
      </c>
      <c r="D58" s="954">
        <f>IF($B$26="","",-FV('Part II-Sources of Funds'!$K$40/12,12,D52/12,C58))</f>
        <v>795597.25880415866</v>
      </c>
      <c r="E58" s="954">
        <f>IF($B$26="","",-FV('Part II-Sources of Funds'!$K$40/12,12,E52/12,D58))</f>
        <v>790135.98572696641</v>
      </c>
      <c r="F58" s="954">
        <f>IF($B$26="","",-FV('Part II-Sources of Funds'!$K$40/12,12,F52/12,E58))</f>
        <v>784294.45547435409</v>
      </c>
      <c r="G58" s="954">
        <f>IF($B$26="","",-FV('Part II-Sources of Funds'!$K$40/12,12,G52/12,F58))</f>
        <v>778046.19152383052</v>
      </c>
      <c r="H58" s="954">
        <f>IF($B$26="","",-FV('Part II-Sources of Funds'!$K$40/12,12,H52/12,G58))</f>
        <v>771362.87384727597</v>
      </c>
      <c r="I58" s="954">
        <f>IF($B$26="","",-FV('Part II-Sources of Funds'!$K$40/12,12,I52/12,H58))</f>
        <v>764214.2105514491</v>
      </c>
      <c r="J58" s="954">
        <f>IF($B$26="","",-FV('Part II-Sources of Funds'!$K$40/12,12,J52/12,I58))</f>
        <v>756567.80058108713</v>
      </c>
      <c r="K58" s="954">
        <f>IF($B$26="","",-FV('Part II-Sources of Funds'!$K$40/12,12,K52/12,J58))</f>
        <v>748388.98686230683</v>
      </c>
    </row>
    <row r="59" spans="1:17">
      <c r="A59" s="953" t="s">
        <v>3363</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3438</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69711.8254746288</v>
      </c>
      <c r="C64" s="954">
        <f>+'Part VI-Pro Forma'!C57</f>
        <v>68529.401666991966</v>
      </c>
      <c r="D64" s="954">
        <f>+'Part VI-Pro Forma'!D57</f>
        <v>67247.515973688583</v>
      </c>
      <c r="E64" s="954">
        <f>+'Part VI-Pro Forma'!E57</f>
        <v>65859.22535471982</v>
      </c>
      <c r="F64" s="954">
        <f>+'Part VI-Pro Forma'!F57</f>
        <v>64362.47229521846</v>
      </c>
      <c r="G64" s="954">
        <f>+'Part VI-Pro Forma'!G57</f>
        <v>62750.080847529025</v>
      </c>
      <c r="H64" s="954">
        <f>+'Part VI-Pro Forma'!H57</f>
        <v>61018.752544078277</v>
      </c>
      <c r="I64" s="954">
        <f>+'Part VI-Pro Forma'!I57</f>
        <v>59164.06217694623</v>
      </c>
      <c r="J64" s="954">
        <f>+'Part VI-Pro Forma'!J57</f>
        <v>57179.453439931196</v>
      </c>
      <c r="K64" s="954">
        <f>+'Part VI-Pro Forma'!K57</f>
        <v>55059.234428759264</v>
      </c>
    </row>
    <row r="65" spans="1:11">
      <c r="A65" s="953" t="s">
        <v>3439</v>
      </c>
      <c r="B65" s="954">
        <f>SUM('Part VI-Pro Forma'!B58:B61)</f>
        <v>-55677.768952730781</v>
      </c>
      <c r="C65" s="954">
        <f>SUM('Part VI-Pro Forma'!C58:C61)</f>
        <v>-55677.768952730781</v>
      </c>
      <c r="D65" s="954">
        <f>SUM('Part VI-Pro Forma'!D58:D61)</f>
        <v>-55677.768952730781</v>
      </c>
      <c r="E65" s="954">
        <f>SUM('Part VI-Pro Forma'!E58:E61)</f>
        <v>-55677.768952730781</v>
      </c>
      <c r="F65" s="954">
        <f>SUM('Part VI-Pro Forma'!F58:F61)</f>
        <v>-55677.768952730781</v>
      </c>
      <c r="G65" s="954">
        <f>SUM('Part VI-Pro Forma'!G58:G61)</f>
        <v>-55677.768952730781</v>
      </c>
      <c r="H65" s="954">
        <f>SUM('Part VI-Pro Forma'!H58:H61)</f>
        <v>-55677.768952730781</v>
      </c>
      <c r="I65" s="954">
        <f>SUM('Part VI-Pro Forma'!I58:I61)</f>
        <v>-55677.768952730781</v>
      </c>
      <c r="J65" s="954">
        <f>SUM('Part VI-Pro Forma'!J58:J61)</f>
        <v>-55677.768952730781</v>
      </c>
      <c r="K65" s="954">
        <f>SUM('Part VI-Pro Forma'!K58:K61)</f>
        <v>-55677.768952730781</v>
      </c>
    </row>
    <row r="66" spans="1:11">
      <c r="A66" s="953" t="s">
        <v>3440</v>
      </c>
      <c r="B66" s="955">
        <f t="shared" ref="B66:K66" si="7">-B64/B68-B65</f>
        <v>-2415.4189427932215</v>
      </c>
      <c r="C66" s="955">
        <f t="shared" si="7"/>
        <v>-1430.0657697625284</v>
      </c>
      <c r="D66" s="955">
        <f t="shared" si="7"/>
        <v>-361.82769200970506</v>
      </c>
      <c r="E66" s="955">
        <f t="shared" si="7"/>
        <v>795.08115713093139</v>
      </c>
      <c r="F66" s="955">
        <f t="shared" si="7"/>
        <v>2042.3753733820631</v>
      </c>
      <c r="G66" s="955">
        <f t="shared" si="7"/>
        <v>3386.0349131232579</v>
      </c>
      <c r="H66" s="955">
        <f t="shared" si="7"/>
        <v>4828.8084993322118</v>
      </c>
      <c r="I66" s="955">
        <f t="shared" si="7"/>
        <v>6374.3838052755891</v>
      </c>
      <c r="J66" s="955">
        <f t="shared" si="7"/>
        <v>8028.224419454782</v>
      </c>
      <c r="K66" s="955">
        <f t="shared" si="7"/>
        <v>9795.0735954313932</v>
      </c>
    </row>
    <row r="68" spans="1:11">
      <c r="A68" s="953" t="s">
        <v>3441</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69711.8254746288</v>
      </c>
      <c r="C71" s="955">
        <f t="shared" si="9"/>
        <v>68529.401666991966</v>
      </c>
      <c r="D71" s="955">
        <f t="shared" si="9"/>
        <v>67247.515973688583</v>
      </c>
      <c r="E71" s="955">
        <f t="shared" si="9"/>
        <v>65859.22535471982</v>
      </c>
      <c r="F71" s="955">
        <f t="shared" si="9"/>
        <v>64362.47229521846</v>
      </c>
      <c r="G71" s="955">
        <f t="shared" si="9"/>
        <v>62750.080847529025</v>
      </c>
      <c r="H71" s="955">
        <f>+H64</f>
        <v>61018.752544078277</v>
      </c>
      <c r="I71" s="955">
        <f>+I64</f>
        <v>59164.06217694623</v>
      </c>
      <c r="J71" s="955">
        <f>+J64</f>
        <v>57179.453439931196</v>
      </c>
      <c r="K71" s="955">
        <f>+K64</f>
        <v>55059.234428759264</v>
      </c>
    </row>
    <row r="72" spans="1:11">
      <c r="A72" s="953" t="s">
        <v>3442</v>
      </c>
      <c r="B72" s="955">
        <f t="shared" ref="B72:G72" si="10">IF($B$25="N/A",B65,B65+$B$25)</f>
        <v>-58997.183162000321</v>
      </c>
      <c r="C72" s="955">
        <f t="shared" si="10"/>
        <v>-58997.183162000321</v>
      </c>
      <c r="D72" s="955">
        <f t="shared" si="10"/>
        <v>-58997.183162000321</v>
      </c>
      <c r="E72" s="955">
        <f t="shared" si="10"/>
        <v>-58997.183162000321</v>
      </c>
      <c r="F72" s="955">
        <f t="shared" si="10"/>
        <v>-58997.183162000321</v>
      </c>
      <c r="G72" s="955">
        <f t="shared" si="10"/>
        <v>-58997.183162000321</v>
      </c>
      <c r="H72" s="955">
        <f>IF($B$25="N/A",H65,H65+$B$25)</f>
        <v>-58997.183162000321</v>
      </c>
      <c r="I72" s="955">
        <f>IF($B$25="N/A",I65,I65+$B$25)</f>
        <v>-58997.183162000321</v>
      </c>
      <c r="J72" s="955">
        <f>IF($B$25="N/A",J65,J65+$B$25)</f>
        <v>-58997.183162000321</v>
      </c>
      <c r="K72" s="955">
        <f>IF($B$25="N/A",K65,K65+$B$25)</f>
        <v>-58997.183162000321</v>
      </c>
    </row>
    <row r="73" spans="1:11">
      <c r="A73" s="953" t="s">
        <v>3443</v>
      </c>
      <c r="B73" s="954">
        <f>+'Part VI-Pro Forma'!B63</f>
        <v>-3750</v>
      </c>
      <c r="C73" s="954">
        <f>+'Part VI-Pro Forma'!C63</f>
        <v>-3750</v>
      </c>
      <c r="D73" s="954">
        <f>+'Part VI-Pro Forma'!D63</f>
        <v>-3750</v>
      </c>
      <c r="E73" s="954">
        <f>+'Part VI-Pro Forma'!E63</f>
        <v>-3750</v>
      </c>
      <c r="F73" s="954">
        <f>+'Part VI-Pro Forma'!F63</f>
        <v>-3750</v>
      </c>
      <c r="G73" s="954">
        <f>+'Part VI-Pro Forma'!G63</f>
        <v>-3750</v>
      </c>
      <c r="H73" s="954">
        <f>+'Part VI-Pro Forma'!H63</f>
        <v>-3750</v>
      </c>
      <c r="I73" s="954">
        <f>+'Part VI-Pro Forma'!I63</f>
        <v>-3750</v>
      </c>
      <c r="J73" s="954">
        <f>+'Part VI-Pro Forma'!J63</f>
        <v>-3750</v>
      </c>
      <c r="K73" s="954">
        <f>+'Part VI-Pro Forma'!K63</f>
        <v>-3750</v>
      </c>
    </row>
    <row r="74" spans="1:11">
      <c r="A74" s="953" t="s">
        <v>3444</v>
      </c>
      <c r="B74" s="955">
        <f t="shared" ref="B74:G74" si="11">+SUM(B71:B73)</f>
        <v>6964.642312628479</v>
      </c>
      <c r="C74" s="955">
        <f t="shared" si="11"/>
        <v>5782.2185049916443</v>
      </c>
      <c r="D74" s="955">
        <f t="shared" si="11"/>
        <v>4500.3328116882622</v>
      </c>
      <c r="E74" s="955">
        <f t="shared" si="11"/>
        <v>3112.0421927194984</v>
      </c>
      <c r="F74" s="955">
        <f t="shared" si="11"/>
        <v>1615.2891332181389</v>
      </c>
      <c r="G74" s="955">
        <f t="shared" si="11"/>
        <v>2.8976855287037324</v>
      </c>
      <c r="H74" s="955">
        <f>+SUM(H71:H73)</f>
        <v>-1728.4306179220439</v>
      </c>
      <c r="I74" s="955">
        <f>+SUM(I71:I73)</f>
        <v>-3583.1209850540909</v>
      </c>
      <c r="J74" s="955">
        <f>+SUM(J71:J73)</f>
        <v>-5567.7297220691253</v>
      </c>
      <c r="K74" s="955">
        <f>+SUM(K71:K73)</f>
        <v>-7687.9487332410572</v>
      </c>
    </row>
    <row r="75" spans="1:11">
      <c r="A75" s="953" t="s">
        <v>3362</v>
      </c>
      <c r="B75" s="955">
        <f t="shared" ref="B75:G75" si="12">-B74</f>
        <v>-6964.642312628479</v>
      </c>
      <c r="C75" s="955">
        <f t="shared" si="12"/>
        <v>-5782.2185049916443</v>
      </c>
      <c r="D75" s="955">
        <f t="shared" si="12"/>
        <v>-4500.3328116882622</v>
      </c>
      <c r="E75" s="955">
        <f t="shared" si="12"/>
        <v>-3112.0421927194984</v>
      </c>
      <c r="F75" s="955">
        <f t="shared" si="12"/>
        <v>-1615.2891332181389</v>
      </c>
      <c r="G75" s="955">
        <f t="shared" si="12"/>
        <v>-2.8976855287037324</v>
      </c>
      <c r="H75" s="955">
        <f>-H74</f>
        <v>1728.4306179220439</v>
      </c>
      <c r="I75" s="955">
        <f>-I74</f>
        <v>3583.1209850540909</v>
      </c>
      <c r="J75" s="955">
        <f>-J74</f>
        <v>5567.7297220691253</v>
      </c>
      <c r="K75" s="955">
        <f>-K74</f>
        <v>7687.9487332410572</v>
      </c>
    </row>
    <row r="76" spans="1:11">
      <c r="A76" s="953" t="s">
        <v>3445</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3446</v>
      </c>
      <c r="B78" s="954">
        <f>IF($B$26="","",-FV('Part II-Sources of Funds'!$K$40/12,12,B72/12,K58))</f>
        <v>739640.69922068261</v>
      </c>
      <c r="C78" s="954">
        <f>IF($B$26="","",-FV('Part II-Sources of Funds'!$K$40/12,12,C72/12,B78))</f>
        <v>730283.28636203543</v>
      </c>
      <c r="D78" s="954">
        <f>IF($B$26="","",-FV('Part II-Sources of Funds'!$K$40/12,12,D72/12,C78))</f>
        <v>720274.33615439013</v>
      </c>
      <c r="E78" s="954">
        <f>IF($B$26="","",-FV('Part II-Sources of Funds'!$K$40/12,12,E72/12,D78))</f>
        <v>709568.48339653655</v>
      </c>
      <c r="F78" s="954">
        <f>IF($B$26="","",-FV('Part II-Sources of Funds'!$K$40/12,12,F72/12,E78))</f>
        <v>698117.20420191204</v>
      </c>
      <c r="G78" s="954">
        <f>IF($B$26="","",-FV('Part II-Sources of Funds'!$K$40/12,12,G72/12,F78))</f>
        <v>685868.59606585815</v>
      </c>
      <c r="H78" s="954">
        <f>IF($B$26="","",-FV('Part II-Sources of Funds'!$K$40/12,12,H72/12,G78))</f>
        <v>672767.14261941414</v>
      </c>
      <c r="I78" s="954">
        <f>IF($B$26="","",-FV('Part II-Sources of Funds'!$K$40/12,12,I72/12,H78))</f>
        <v>658753.46200340264</v>
      </c>
      <c r="J78" s="954">
        <f>IF($B$26="","",-FV('Part II-Sources of Funds'!$K$40/12,12,J72/12,I78))</f>
        <v>643764.03772232193</v>
      </c>
      <c r="K78" s="954">
        <f>IF($B$26="","",-FV('Part II-Sources of Funds'!$K$40/12,12,K72/12,J78))</f>
        <v>627730.93075815018</v>
      </c>
    </row>
    <row r="79" spans="1:11">
      <c r="A79" s="953" t="s">
        <v>3363</v>
      </c>
    </row>
    <row r="82" spans="1:2">
      <c r="A82" s="953" t="s">
        <v>3447</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33203125" defaultRowHeight="13.8"/>
  <cols>
    <col min="1" max="1" width="22.6640625" style="516" customWidth="1"/>
    <col min="2" max="2" width="1.6640625" style="516" customWidth="1"/>
    <col min="3" max="3" width="13" style="516" customWidth="1"/>
    <col min="4" max="4" width="11.33203125" style="516" customWidth="1"/>
    <col min="5" max="5" width="14.6640625" style="516" customWidth="1"/>
    <col min="6" max="6" width="15.33203125" style="516" customWidth="1"/>
    <col min="7" max="7" width="11.6640625" style="516" customWidth="1"/>
    <col min="8" max="8" width="11.44140625" style="516" customWidth="1"/>
    <col min="9" max="9" width="10.5546875" style="516" customWidth="1"/>
    <col min="10" max="10" width="6" style="516" customWidth="1"/>
    <col min="11" max="11" width="12.6640625" style="516" customWidth="1"/>
    <col min="12" max="12" width="10.6640625" style="516" customWidth="1"/>
    <col min="13" max="13" width="26.33203125" style="516" customWidth="1"/>
    <col min="14" max="14" width="9.33203125" style="516"/>
    <col min="15" max="15" width="12.44140625" style="516" customWidth="1"/>
    <col min="16" max="16" width="9.33203125" style="516"/>
    <col min="17" max="17" width="11.6640625" style="516" bestFit="1" customWidth="1"/>
    <col min="18" max="16384" width="9.33203125" style="516"/>
  </cols>
  <sheetData>
    <row r="1" spans="1:15" ht="13.5" customHeight="1">
      <c r="A1" s="517" t="s">
        <v>2705</v>
      </c>
      <c r="B1" s="517"/>
      <c r="C1" s="516" t="str">
        <f>'Sensitivity Analysis'!C8</f>
        <v>Brightwood Lane Apartments</v>
      </c>
    </row>
    <row r="2" spans="1:15" ht="13.5" customHeight="1"/>
    <row r="3" spans="1:15" ht="13.5" customHeight="1">
      <c r="A3" s="517" t="s">
        <v>2706</v>
      </c>
      <c r="C3" s="516" t="s">
        <v>2707</v>
      </c>
      <c r="E3" s="586">
        <f>SUM('Part III-A-Uses of Funds'!J162,'Part III-A-Uses of Funds'!M162,'Part III-A-Uses of Funds'!P162)</f>
        <v>4305221</v>
      </c>
      <c r="F3" s="1024" t="s">
        <v>2708</v>
      </c>
      <c r="H3" s="1006">
        <v>27.5</v>
      </c>
      <c r="I3" s="516" t="s">
        <v>2273</v>
      </c>
      <c r="K3" s="521" t="s">
        <v>2729</v>
      </c>
      <c r="M3" s="1024"/>
      <c r="O3" s="587"/>
    </row>
    <row r="4" spans="1:15" ht="13.5" customHeight="1">
      <c r="C4" s="516" t="s">
        <v>3127</v>
      </c>
      <c r="E4" s="586">
        <f>SUM('Part III-A-Uses of Funds'!G97:H101)</f>
        <v>100415</v>
      </c>
      <c r="F4" s="1024" t="s">
        <v>3662</v>
      </c>
      <c r="H4" s="517">
        <f>'Part II-Sources of Funds'!M40</f>
        <v>40</v>
      </c>
      <c r="I4" s="516" t="s">
        <v>2273</v>
      </c>
      <c r="K4" s="588" t="s">
        <v>2957</v>
      </c>
      <c r="M4" s="1024"/>
    </row>
    <row r="5" spans="1:15" ht="13.5" customHeight="1">
      <c r="C5" s="516" t="s">
        <v>3128</v>
      </c>
      <c r="E5" s="586">
        <f>SUM('Part III-A-Uses of Funds'!G105:H111)</f>
        <v>66045</v>
      </c>
      <c r="F5" s="1024" t="s">
        <v>3661</v>
      </c>
      <c r="H5" s="1006">
        <v>15</v>
      </c>
      <c r="I5" s="516" t="s">
        <v>2273</v>
      </c>
      <c r="K5" s="587">
        <f>-E6</f>
        <v>-2851890</v>
      </c>
    </row>
    <row r="6" spans="1:15" ht="13.5" customHeight="1">
      <c r="C6" s="516" t="s">
        <v>2709</v>
      </c>
      <c r="E6" s="589">
        <f>'Part II-Sources of Funds'!$I$51+'Part II-Sources of Funds'!$I$52</f>
        <v>2851890</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14431.831047269196</v>
      </c>
      <c r="D9" s="594">
        <f>'Part VI-Pro Forma'!C33</f>
        <v>14051.753047269274</v>
      </c>
      <c r="E9" s="594">
        <f>'Part VI-Pro Forma'!D33</f>
        <v>13606.133387269219</v>
      </c>
      <c r="F9" s="594">
        <f>'Part VI-Pro Forma'!E33</f>
        <v>13092.981831069192</v>
      </c>
      <c r="G9" s="594">
        <f>'Part VI-Pro Forma'!F33</f>
        <v>12508.226955655191</v>
      </c>
      <c r="H9" s="594">
        <f>'Part VI-Pro Forma'!G33</f>
        <v>11849.713286000275</v>
      </c>
      <c r="I9" s="594">
        <f>'Part VI-Pro Forma'!H33</f>
        <v>11112.198335317516</v>
      </c>
      <c r="K9" s="587" t="e">
        <f>F24</f>
        <v>#VALUE!</v>
      </c>
      <c r="N9" s="595" t="s">
        <v>2715</v>
      </c>
    </row>
    <row r="10" spans="1:15" ht="13.5" customHeight="1">
      <c r="A10" s="516" t="s">
        <v>2714</v>
      </c>
      <c r="C10" s="978">
        <f>'Part II-Sources of Funds'!I40-'Part VI-Pro Forma'!B40</f>
        <v>3889.1266296206741</v>
      </c>
      <c r="D10" s="596">
        <f>'Part VI-Pro Forma'!B40-'Part VI-Pro Forma'!C40</f>
        <v>4159.9184919076506</v>
      </c>
      <c r="E10" s="596">
        <f>'Part VI-Pro Forma'!C40-'Part VI-Pro Forma'!D40</f>
        <v>4449.5650328061311</v>
      </c>
      <c r="F10" s="596">
        <f>'Part VI-Pro Forma'!D40-'Part VI-Pro Forma'!E40</f>
        <v>4759.3790646824054</v>
      </c>
      <c r="G10" s="596">
        <f>'Part VI-Pro Forma'!E40-'Part VI-Pro Forma'!F40</f>
        <v>5090.7648083193926</v>
      </c>
      <c r="H10" s="596">
        <f>'Part VI-Pro Forma'!F40-'Part VI-Pro Forma'!G40</f>
        <v>5445.2242574950214</v>
      </c>
      <c r="I10" s="596">
        <f>'Part VI-Pro Forma'!G40-'Part VI-Pro Forma'!H40</f>
        <v>5824.3639867150923</v>
      </c>
      <c r="K10" s="587" t="e">
        <f>G24</f>
        <v>#VALUE!</v>
      </c>
      <c r="N10" s="595" t="s">
        <v>2716</v>
      </c>
      <c r="O10" s="592"/>
    </row>
    <row r="11" spans="1:15" ht="13.5" customHeight="1">
      <c r="A11" s="516" t="s">
        <v>2714</v>
      </c>
      <c r="C11" s="978">
        <f>'Part II-Sources of Funds'!I41-'Part VI-Pro Forma'!B41</f>
        <v>-10334.852584413253</v>
      </c>
      <c r="D11" s="596">
        <f>'Part VI-Pro Forma'!B41-'Part VI-Pro Forma'!C41</f>
        <v>-10438.676109251101</v>
      </c>
      <c r="E11" s="596">
        <f>'Part VI-Pro Forma'!C41-'Part VI-Pro Forma'!D41</f>
        <v>-10543.542641158449</v>
      </c>
      <c r="F11" s="596">
        <f>'Part VI-Pro Forma'!D41-'Part VI-Pro Forma'!E41</f>
        <v>-10649.462658143835</v>
      </c>
      <c r="G11" s="596">
        <f>'Part VI-Pro Forma'!E41-'Part VI-Pro Forma'!F41</f>
        <v>-10756.446743477136</v>
      </c>
      <c r="H11" s="596">
        <f>'Part VI-Pro Forma'!F41-'Part VI-Pro Forma'!G41</f>
        <v>-10864.50558674708</v>
      </c>
      <c r="I11" s="596">
        <f>'Part VI-Pro Forma'!G41-'Part VI-Pro Forma'!H41</f>
        <v>-10973.649984930176</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3129</v>
      </c>
      <c r="B13" s="598"/>
      <c r="C13" s="979">
        <f>'Part VI-Pro Forma'!B23</f>
        <v>-24000</v>
      </c>
      <c r="D13" s="979">
        <f>'Part VI-Pro Forma'!C23</f>
        <v>-24720</v>
      </c>
      <c r="E13" s="979">
        <f>'Part VI-Pro Forma'!D23</f>
        <v>-25461.599999999999</v>
      </c>
      <c r="F13" s="979">
        <f>'Part VI-Pro Forma'!E23</f>
        <v>-26225.448</v>
      </c>
      <c r="G13" s="979">
        <f>'Part VI-Pro Forma'!F23</f>
        <v>-27012.211439999999</v>
      </c>
      <c r="H13" s="979">
        <f>'Part VI-Pro Forma'!G23</f>
        <v>-27822.577783199995</v>
      </c>
      <c r="I13" s="979">
        <f>'Part VI-Pro Forma'!H23</f>
        <v>-28657.255116695997</v>
      </c>
      <c r="K13" s="587" t="e">
        <f>C44</f>
        <v>#VALUE!</v>
      </c>
      <c r="O13" s="592"/>
    </row>
    <row r="14" spans="1:15" ht="13.5" customHeight="1">
      <c r="A14" s="598" t="s">
        <v>3130</v>
      </c>
      <c r="B14" s="598"/>
      <c r="C14" s="979">
        <f>'Part VI-Pro Forma'!B32</f>
        <v>-2970</v>
      </c>
      <c r="D14" s="979">
        <f>'Part VI-Pro Forma'!C32</f>
        <v>-2970</v>
      </c>
      <c r="E14" s="979">
        <f>'Part VI-Pro Forma'!D32</f>
        <v>-2970</v>
      </c>
      <c r="F14" s="979">
        <f>'Part VI-Pro Forma'!E32</f>
        <v>-2970</v>
      </c>
      <c r="G14" s="979">
        <f>'Part VI-Pro Forma'!F32</f>
        <v>-2970</v>
      </c>
      <c r="H14" s="979">
        <f>'Part VI-Pro Forma'!G32</f>
        <v>-2970</v>
      </c>
      <c r="I14" s="979">
        <f>'Part VI-Pro Forma'!H32</f>
        <v>-2970</v>
      </c>
      <c r="K14" s="587" t="e">
        <f>D44</f>
        <v>#VALUE!</v>
      </c>
      <c r="M14" s="516" t="s">
        <v>2721</v>
      </c>
      <c r="O14" s="592" t="e">
        <f>O6-O8-O12</f>
        <v>#VALUE!</v>
      </c>
    </row>
    <row r="15" spans="1:15" ht="13.5" customHeight="1">
      <c r="A15" s="516" t="s">
        <v>2717</v>
      </c>
      <c r="C15" s="599">
        <f t="shared" ref="C15:I15" si="0">$E$3/$H$3</f>
        <v>156553.49090909091</v>
      </c>
      <c r="D15" s="599">
        <f t="shared" si="0"/>
        <v>156553.49090909091</v>
      </c>
      <c r="E15" s="599">
        <f t="shared" si="0"/>
        <v>156553.49090909091</v>
      </c>
      <c r="F15" s="599">
        <f t="shared" si="0"/>
        <v>156553.49090909091</v>
      </c>
      <c r="G15" s="599">
        <f t="shared" si="0"/>
        <v>156553.49090909091</v>
      </c>
      <c r="H15" s="599">
        <f t="shared" si="0"/>
        <v>156553.49090909091</v>
      </c>
      <c r="I15" s="599">
        <f t="shared" si="0"/>
        <v>156553.49090909091</v>
      </c>
      <c r="K15" s="587" t="e">
        <f>E44</f>
        <v>#VALUE!</v>
      </c>
      <c r="O15" s="592"/>
    </row>
    <row r="16" spans="1:15" ht="13.5" customHeight="1">
      <c r="A16" s="516" t="s">
        <v>2719</v>
      </c>
      <c r="C16" s="599">
        <f>IF(C$8&lt;=$H$4,($E$4/$H$4),0)+IF(C$8&lt;=$H$5,($E$5/$H$5),0)</f>
        <v>6913.375</v>
      </c>
      <c r="D16" s="599">
        <f t="shared" ref="D16:I16" si="1">IF(D$8&lt;=$H$4,($E$4/$H$4),0)+IF(D$8&lt;=$H$5,($E$5/$H$5),0)</f>
        <v>6913.375</v>
      </c>
      <c r="E16" s="599">
        <f t="shared" si="1"/>
        <v>6913.375</v>
      </c>
      <c r="F16" s="599">
        <f t="shared" si="1"/>
        <v>6913.375</v>
      </c>
      <c r="G16" s="599">
        <f t="shared" si="1"/>
        <v>6913.375</v>
      </c>
      <c r="H16" s="599">
        <f t="shared" si="1"/>
        <v>6913.375</v>
      </c>
      <c r="I16" s="599">
        <f t="shared" si="1"/>
        <v>6913.375</v>
      </c>
      <c r="K16" s="587" t="e">
        <f>F44</f>
        <v>#VALUE!</v>
      </c>
      <c r="M16" s="516" t="s">
        <v>2723</v>
      </c>
      <c r="O16" s="592">
        <f>E3</f>
        <v>4305221</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3131069.8181818184</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1174151.1818181816</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206805</v>
      </c>
      <c r="D21" s="600">
        <f t="shared" ref="D21:I21" si="5">C21</f>
        <v>206805</v>
      </c>
      <c r="E21" s="600">
        <f t="shared" si="5"/>
        <v>206805</v>
      </c>
      <c r="F21" s="600">
        <f t="shared" si="5"/>
        <v>206805</v>
      </c>
      <c r="G21" s="600">
        <f t="shared" si="5"/>
        <v>206805</v>
      </c>
      <c r="H21" s="600">
        <f t="shared" si="5"/>
        <v>206805</v>
      </c>
      <c r="I21" s="600">
        <f t="shared" si="5"/>
        <v>206805</v>
      </c>
      <c r="J21" s="516" t="s">
        <v>233</v>
      </c>
      <c r="K21" s="587" t="e">
        <f>D64</f>
        <v>#VALUE!</v>
      </c>
      <c r="O21" s="592"/>
    </row>
    <row r="22" spans="1:17" ht="13.5" customHeight="1">
      <c r="A22" s="516" t="s">
        <v>2726</v>
      </c>
      <c r="C22" s="600">
        <f>C21</f>
        <v>206805</v>
      </c>
      <c r="D22" s="600">
        <f t="shared" ref="D22:I22" si="6">D21</f>
        <v>206805</v>
      </c>
      <c r="E22" s="600">
        <f t="shared" si="6"/>
        <v>206805</v>
      </c>
      <c r="F22" s="600">
        <f t="shared" si="6"/>
        <v>206805</v>
      </c>
      <c r="G22" s="600">
        <f t="shared" si="6"/>
        <v>206805</v>
      </c>
      <c r="H22" s="600">
        <f t="shared" si="6"/>
        <v>206805</v>
      </c>
      <c r="I22" s="600">
        <f t="shared" si="6"/>
        <v>206805</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1174151.1818181816</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-1174151.1818181816</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10294.349547757272</v>
      </c>
      <c r="D29" s="594">
        <f>'Part VI-Pro Forma'!J33</f>
        <v>9390.7411404463928</v>
      </c>
      <c r="E29" s="594">
        <f>'Part VI-Pro Forma'!K33</f>
        <v>8398.8508416695986</v>
      </c>
      <c r="F29" s="594">
        <f>'Part VI-Pro Forma'!B65</f>
        <v>7314.0565218980191</v>
      </c>
      <c r="G29" s="594">
        <f>'Part VI-Pro Forma'!C65</f>
        <v>6350.6327142611844</v>
      </c>
      <c r="H29" s="594">
        <f>'Part VI-Pro Forma'!D65</f>
        <v>7819.7470209578023</v>
      </c>
      <c r="I29" s="594">
        <f>'Part VI-Pro Forma'!E65</f>
        <v>6431.4564019890386</v>
      </c>
      <c r="N29" s="603"/>
      <c r="O29" s="603"/>
    </row>
    <row r="30" spans="1:17" ht="13.5" customHeight="1">
      <c r="A30" s="516" t="s">
        <v>2714</v>
      </c>
      <c r="C30" s="596">
        <f>'Part VI-Pro Forma'!H40-'Part VI-Pro Forma'!I40</f>
        <v>6229.9024329532403</v>
      </c>
      <c r="D30" s="596">
        <f>'Part VI-Pro Forma'!I40-'Part VI-Pro Forma'!J40</f>
        <v>6663.6776844034903</v>
      </c>
      <c r="E30" s="596">
        <f>'Part VI-Pro Forma'!J40-'Part VI-Pro Forma'!K40</f>
        <v>7127.6558115481166</v>
      </c>
      <c r="F30" s="976">
        <f>'Part VI-Pro Forma'!K40-'Part VI-Pro Forma'!B72</f>
        <v>7623.939778300235</v>
      </c>
      <c r="G30" s="976">
        <f>'Part VI-Pro Forma'!B72-'Part VI-Pro Forma'!C72</f>
        <v>8154.7789736110717</v>
      </c>
      <c r="H30" s="976">
        <f>'Part VI-Pro Forma'!C72-'Part VI-Pro Forma'!D72</f>
        <v>8722.579406742705</v>
      </c>
      <c r="I30" s="976">
        <f>'Part VI-Pro Forma'!D72-'Part VI-Pro Forma'!E72</f>
        <v>9329.9146124180406</v>
      </c>
    </row>
    <row r="31" spans="1:17" ht="13.5" customHeight="1">
      <c r="A31" s="516" t="s">
        <v>2714</v>
      </c>
      <c r="C31" s="596">
        <f>'Part VI-Pro Forma'!H41-'Part VI-Pro Forma'!I41</f>
        <v>-11083.890843468253</v>
      </c>
      <c r="D31" s="596">
        <f>'Part VI-Pro Forma'!I41-'Part VI-Pro Forma'!J41</f>
        <v>-11195.239177359501</v>
      </c>
      <c r="E31" s="596">
        <f>'Part VI-Pro Forma'!J41-'Part VI-Pro Forma'!K41</f>
        <v>-11307.706112257903</v>
      </c>
      <c r="F31" s="976">
        <f>'Part VI-Pro Forma'!K41-'Part VI-Pro Forma'!B73</f>
        <v>-11421.302885585465</v>
      </c>
      <c r="G31" s="976">
        <f>'Part VI-Pro Forma'!B73-'Part VI-Pro Forma'!C73</f>
        <v>-11536.040847654687</v>
      </c>
      <c r="H31" s="976">
        <f>'Part VI-Pro Forma'!C73-'Part VI-Pro Forma'!D73</f>
        <v>-11651.931462803157</v>
      </c>
      <c r="I31" s="976">
        <f>'Part VI-Pro Forma'!D73-'Part VI-Pro Forma'!E73</f>
        <v>-11768.986310538603</v>
      </c>
      <c r="K31" s="516" t="s">
        <v>233</v>
      </c>
      <c r="M31" s="516" t="s">
        <v>2733</v>
      </c>
      <c r="O31" s="594">
        <f>O25*O27</f>
        <v>-234830.23636363633</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3129</v>
      </c>
      <c r="B33" s="598"/>
      <c r="C33" s="979">
        <f>'Part VI-Pro Forma'!I23</f>
        <v>-29516.97277019688</v>
      </c>
      <c r="D33" s="979">
        <f>'Part VI-Pro Forma'!J23</f>
        <v>-30402.481953302784</v>
      </c>
      <c r="E33" s="979">
        <f>'Part VI-Pro Forma'!K23</f>
        <v>-31314.556411901867</v>
      </c>
      <c r="F33" s="979">
        <f>'Part VI-Pro Forma'!B55</f>
        <v>-32253.993104258923</v>
      </c>
      <c r="G33" s="979">
        <f>'Part VI-Pro Forma'!C55</f>
        <v>-33221.612897386694</v>
      </c>
      <c r="H33" s="979">
        <f>'Part VI-Pro Forma'!D55</f>
        <v>-34218.26128430829</v>
      </c>
      <c r="I33" s="979">
        <f>'Part VI-Pro Forma'!E55</f>
        <v>-35244.809122837534</v>
      </c>
      <c r="K33" s="516" t="s">
        <v>233</v>
      </c>
      <c r="M33" s="516" t="s">
        <v>2734</v>
      </c>
      <c r="O33" s="594" t="e">
        <f>O14-O31</f>
        <v>#VALUE!</v>
      </c>
    </row>
    <row r="34" spans="1:15" ht="13.5" customHeight="1">
      <c r="A34" s="598" t="s">
        <v>3130</v>
      </c>
      <c r="B34" s="598"/>
      <c r="C34" s="979">
        <f>'Part VI-Pro Forma'!I32</f>
        <v>-2970</v>
      </c>
      <c r="D34" s="979">
        <f>'Part VI-Pro Forma'!J32</f>
        <v>-2970</v>
      </c>
      <c r="E34" s="979">
        <f>'Part VI-Pro Forma'!K32</f>
        <v>-2970</v>
      </c>
      <c r="F34" s="979">
        <f>'Part VI-Pro Forma'!B64</f>
        <v>-2970</v>
      </c>
      <c r="G34" s="979">
        <f>'Part VI-Pro Forma'!C64</f>
        <v>-2751</v>
      </c>
      <c r="H34" s="979">
        <f>'Part VI-Pro Forma'!D64</f>
        <v>0</v>
      </c>
      <c r="I34" s="979">
        <f>'Part VI-Pro Forma'!E64</f>
        <v>0</v>
      </c>
    </row>
    <row r="35" spans="1:15" ht="13.5" customHeight="1">
      <c r="A35" s="516" t="s">
        <v>2717</v>
      </c>
      <c r="C35" s="599">
        <f t="shared" ref="C35:I35" si="8">$E$3/$H$3</f>
        <v>156553.49090909091</v>
      </c>
      <c r="D35" s="599">
        <f t="shared" si="8"/>
        <v>156553.49090909091</v>
      </c>
      <c r="E35" s="599">
        <f t="shared" si="8"/>
        <v>156553.49090909091</v>
      </c>
      <c r="F35" s="599">
        <f t="shared" si="8"/>
        <v>156553.49090909091</v>
      </c>
      <c r="G35" s="599">
        <f t="shared" si="8"/>
        <v>156553.49090909091</v>
      </c>
      <c r="H35" s="599">
        <f t="shared" si="8"/>
        <v>156553.49090909091</v>
      </c>
      <c r="I35" s="599">
        <f t="shared" si="8"/>
        <v>156553.49090909091</v>
      </c>
    </row>
    <row r="36" spans="1:15" ht="13.5" customHeight="1">
      <c r="A36" s="516" t="s">
        <v>2719</v>
      </c>
      <c r="C36" s="594">
        <f>IF(C$28&lt;=$H$4,($E$4/$H$4),0)+IF(C$28&lt;=$H$5,($E$5/$H$5),0)</f>
        <v>6913.375</v>
      </c>
      <c r="D36" s="594">
        <f t="shared" ref="D36:I36" si="9">IF(D$28&lt;=$H$4,($E$4/$H$4),0)+IF(D$28&lt;=$H$5,($E$5/$H$5),0)</f>
        <v>6913.375</v>
      </c>
      <c r="E36" s="594">
        <f t="shared" si="9"/>
        <v>6913.375</v>
      </c>
      <c r="F36" s="594">
        <f t="shared" si="9"/>
        <v>6913.375</v>
      </c>
      <c r="G36" s="594">
        <f t="shared" si="9"/>
        <v>6913.375</v>
      </c>
      <c r="H36" s="594">
        <f t="shared" si="9"/>
        <v>6913.375</v>
      </c>
      <c r="I36" s="594">
        <f t="shared" si="9"/>
        <v>6913.375</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206805</v>
      </c>
      <c r="D41" s="600">
        <f>C41</f>
        <v>206805</v>
      </c>
      <c r="E41" s="600">
        <f>D41</f>
        <v>206805</v>
      </c>
      <c r="F41" s="600">
        <v>0</v>
      </c>
      <c r="G41" s="600">
        <v>0</v>
      </c>
      <c r="H41" s="600">
        <v>0</v>
      </c>
      <c r="I41" s="600">
        <v>0</v>
      </c>
    </row>
    <row r="42" spans="1:15" ht="13.5" customHeight="1">
      <c r="A42" s="516" t="s">
        <v>2726</v>
      </c>
      <c r="C42" s="600">
        <f>C22</f>
        <v>206805</v>
      </c>
      <c r="D42" s="600">
        <f>C42</f>
        <v>206805</v>
      </c>
      <c r="E42" s="600">
        <f>D42</f>
        <v>206805</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4934.703342487679</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9979.5373152717948</v>
      </c>
      <c r="D50" s="977">
        <f>'Part VI-Pro Forma'!F72-'Part VI-Pro Forma'!G72</f>
        <v>10674.391906475532</v>
      </c>
      <c r="E50" s="977">
        <f>'Part VI-Pro Forma'!G72-'Part VI-Pro Forma'!H72</f>
        <v>11417.627789082238</v>
      </c>
      <c r="F50" s="977">
        <f>'Part VI-Pro Forma'!H72-'Part VI-Pro Forma'!I72</f>
        <v>12212.613652581</v>
      </c>
      <c r="G50" s="977">
        <f>'Part VI-Pro Forma'!I72-'Part VI-Pro Forma'!J72</f>
        <v>13062.952741358895</v>
      </c>
      <c r="H50" s="977">
        <f>'Part VI-Pro Forma'!J72-'Part VI-Pro Forma'!K72</f>
        <v>13972.499186274828</v>
      </c>
    </row>
    <row r="51" spans="1:10" ht="13.5" customHeight="1">
      <c r="A51" s="516" t="s">
        <v>2714</v>
      </c>
      <c r="C51" s="977">
        <f>'Part VI-Pro Forma'!E73-'Part VI-Pro Forma'!F73</f>
        <v>-11887.217086696066</v>
      </c>
      <c r="D51" s="977">
        <f>'Part VI-Pro Forma'!F73-'Part VI-Pro Forma'!G73</f>
        <v>-12006.635604606476</v>
      </c>
      <c r="E51" s="977">
        <f>'Part VI-Pro Forma'!G73-'Part VI-Pro Forma'!H73</f>
        <v>-12127.253796276869</v>
      </c>
      <c r="F51" s="977">
        <f>'Part VI-Pro Forma'!H73-'Part VI-Pro Forma'!I73</f>
        <v>-12249.083713583183</v>
      </c>
      <c r="G51" s="977">
        <f>'Part VI-Pro Forma'!I73-'Part VI-Pro Forma'!J73</f>
        <v>-12372.137529473752</v>
      </c>
      <c r="H51" s="977">
        <f>'Part VI-Pro Forma'!J73-'Part VI-Pro Forma'!K73</f>
        <v>-12496.427539185621</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9">
        <f>'Part VI-Pro Forma'!F55</f>
        <v>-36302.153396522663</v>
      </c>
      <c r="D53" s="979">
        <f>'Part VI-Pro Forma'!G55</f>
        <v>-37391.217998418346</v>
      </c>
      <c r="E53" s="979">
        <f>'Part VI-Pro Forma'!H55</f>
        <v>-38512.95453837089</v>
      </c>
      <c r="F53" s="979">
        <f>'Part VI-Pro Forma'!I55</f>
        <v>-39668.343174522015</v>
      </c>
      <c r="G53" s="979">
        <f>'Part VI-Pro Forma'!J55</f>
        <v>-40858.393469757677</v>
      </c>
      <c r="H53" s="979">
        <f>'Part VI-Pro Forma'!K55</f>
        <v>-42084.145273850409</v>
      </c>
    </row>
    <row r="54" spans="1:10" ht="13.5" customHeight="1">
      <c r="A54" s="598" t="s">
        <v>3130</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156553.49090909091</v>
      </c>
      <c r="D55" s="599">
        <f t="shared" si="14"/>
        <v>156553.49090909091</v>
      </c>
      <c r="E55" s="599">
        <f t="shared" si="14"/>
        <v>156553.49090909091</v>
      </c>
      <c r="F55" s="599">
        <f t="shared" si="14"/>
        <v>156553.49090909091</v>
      </c>
      <c r="G55" s="599">
        <f t="shared" si="14"/>
        <v>156553.49090909091</v>
      </c>
      <c r="H55" s="599">
        <f t="shared" si="14"/>
        <v>156553.49090909091</v>
      </c>
    </row>
    <row r="56" spans="1:10" ht="13.5" customHeight="1">
      <c r="A56" s="516" t="s">
        <v>2719</v>
      </c>
      <c r="C56" s="594">
        <f t="shared" ref="C56:H56" si="15">IF(C$48&lt;=$H$4,($E$4/$H$4),0)+IF(C$48&lt;=$H$5,($E$5/$H$5),0)</f>
        <v>6913.375</v>
      </c>
      <c r="D56" s="594">
        <f t="shared" si="15"/>
        <v>2510.375</v>
      </c>
      <c r="E56" s="594">
        <f t="shared" si="15"/>
        <v>2510.375</v>
      </c>
      <c r="F56" s="594">
        <f t="shared" si="15"/>
        <v>2510.375</v>
      </c>
      <c r="G56" s="594">
        <f t="shared" si="15"/>
        <v>2510.375</v>
      </c>
      <c r="H56" s="594">
        <f t="shared" si="15"/>
        <v>2510.375</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2735</v>
      </c>
      <c r="G66" s="4802" t="e">
        <f>IRR(K5:K25)</f>
        <v>#VALUE!</v>
      </c>
      <c r="H66" s="4803"/>
      <c r="I66" s="605"/>
      <c r="J66" s="605"/>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33203125" defaultRowHeight="13.2"/>
  <cols>
    <col min="1" max="1" width="6.44140625" style="432" customWidth="1"/>
    <col min="2" max="2" width="16.6640625" style="432" customWidth="1"/>
    <col min="3" max="3" width="4.6640625" style="432" customWidth="1"/>
    <col min="4" max="4" width="6.44140625" style="432" customWidth="1"/>
    <col min="5" max="5" width="16.6640625" style="432" customWidth="1"/>
    <col min="6" max="6" width="4.6640625" style="432" customWidth="1"/>
    <col min="7" max="7" width="6.44140625" style="432" customWidth="1"/>
    <col min="8" max="8" width="16.6640625" style="432" customWidth="1"/>
    <col min="9" max="9" width="4.6640625" style="432" customWidth="1"/>
    <col min="10" max="10" width="6.44140625" style="432" customWidth="1"/>
    <col min="11" max="11" width="16.6640625" style="432" customWidth="1"/>
    <col min="12" max="16384" width="9.33203125" style="432"/>
  </cols>
  <sheetData>
    <row r="1" spans="1:11" s="439" customFormat="1" ht="17.7" customHeight="1">
      <c r="A1" s="4805" t="str">
        <f>'Sensitivity Analysis'!C8</f>
        <v>Brightwood Lane Apartments</v>
      </c>
      <c r="B1" s="4805"/>
      <c r="C1" s="4805"/>
      <c r="D1" s="4805"/>
      <c r="E1" s="4805"/>
      <c r="F1" s="4805"/>
      <c r="G1" s="4805"/>
      <c r="H1" s="4805"/>
      <c r="I1" s="4805"/>
      <c r="J1" s="4805"/>
      <c r="K1" s="4805"/>
    </row>
    <row r="2" spans="1:11" s="439" customFormat="1" ht="17.7" customHeight="1">
      <c r="A2" s="4804" t="s">
        <v>2886</v>
      </c>
      <c r="B2" s="4804"/>
      <c r="C2" s="4804"/>
      <c r="D2" s="4804"/>
      <c r="E2" s="4804"/>
      <c r="F2" s="4804"/>
      <c r="G2" s="4804"/>
      <c r="H2" s="4804"/>
      <c r="I2" s="4804"/>
      <c r="J2" s="4804"/>
      <c r="K2" s="4804"/>
    </row>
    <row r="3" spans="1:11" ht="9" customHeight="1">
      <c r="A3" s="1475"/>
      <c r="B3" s="1475"/>
      <c r="C3" s="1475"/>
      <c r="D3" s="1475"/>
      <c r="E3" s="1475"/>
      <c r="G3" s="1475"/>
      <c r="H3" s="1475"/>
      <c r="J3" s="1475"/>
      <c r="K3" s="1475"/>
    </row>
    <row r="4" spans="1:11" ht="12.6" customHeight="1">
      <c r="A4" s="4806" t="s">
        <v>6061</v>
      </c>
      <c r="B4" s="4806"/>
      <c r="C4" s="1476"/>
      <c r="D4" s="4806" t="s">
        <v>6062</v>
      </c>
      <c r="E4" s="4806"/>
      <c r="F4" s="523"/>
      <c r="G4" s="4806" t="s">
        <v>6063</v>
      </c>
      <c r="H4" s="4806"/>
      <c r="I4" s="523"/>
      <c r="J4" s="4806" t="s">
        <v>6178</v>
      </c>
      <c r="K4" s="4806"/>
    </row>
    <row r="5" spans="1:11" ht="25.95" customHeight="1">
      <c r="A5" s="4807" t="str">
        <f>'Part II-Sources of Funds'!E40</f>
        <v>Churchill Stateside Group</v>
      </c>
      <c r="B5" s="4808"/>
      <c r="C5" s="439"/>
      <c r="D5" s="4807" t="str">
        <f>'Part II-Sources of Funds'!E41</f>
        <v>USDA Rural Development</v>
      </c>
      <c r="E5" s="4808"/>
      <c r="F5" s="1477"/>
      <c r="G5" s="4807">
        <f>'Part II-Sources of Funds'!E42</f>
        <v>0</v>
      </c>
      <c r="H5" s="4808"/>
      <c r="I5" s="1477"/>
      <c r="J5" s="4807">
        <f>'Part II-Sources of Funds'!E43</f>
        <v>0</v>
      </c>
      <c r="K5" s="4808"/>
    </row>
    <row r="6" spans="1:11" ht="9" customHeight="1"/>
    <row r="7" spans="1:11" ht="15.6">
      <c r="A7" s="982"/>
      <c r="B7" s="982" t="s">
        <v>2736</v>
      </c>
      <c r="D7" s="982"/>
      <c r="E7" s="982" t="s">
        <v>2736</v>
      </c>
      <c r="G7" s="982"/>
      <c r="H7" s="982" t="s">
        <v>2736</v>
      </c>
      <c r="J7" s="982"/>
      <c r="K7" s="982" t="s">
        <v>2736</v>
      </c>
    </row>
    <row r="8" spans="1:11" ht="15.6">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4639.8140793942321</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4639.8140793942321</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4639.8140793942321</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4639.8140793942321</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4639.8140793942321</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4639.8140793942321</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4639.8140793942321</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4639.8140793942321</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4639.8140793942321</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4639.8140793942321</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4639.8140793942321</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4639.8140793942321</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4639.8140793942321</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4639.8140793942321</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4639.8140793942321</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4639.8140793942321</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4639.8140793942321</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4639.8140793942321</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4639.8140793942321</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4639.8140793942321</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4639.8140793942321</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4639.8140793942321</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4639.8140793942321</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4639.8140793942321</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4639.8140793942321</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4639.8140793942321</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4639.8140793942321</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4639.8140793942321</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4639.8140793942321</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4639.8140793942321</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4639.8140793942321</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4639.8140793942321</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4639.8140793942321</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4639.8140793942321</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4639.8140793942321</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2" customWidth="1"/>
    <col min="2" max="2" width="0.6640625" style="432" customWidth="1"/>
    <col min="3" max="3" width="16.44140625" style="432" customWidth="1"/>
    <col min="4" max="4" width="18.33203125" style="432" customWidth="1"/>
    <col min="5" max="5" width="16.44140625" style="432" customWidth="1"/>
    <col min="6" max="6" width="13.33203125" style="432" customWidth="1"/>
    <col min="7" max="7" width="14.44140625" style="432" customWidth="1"/>
    <col min="8" max="8" width="5.6640625" style="432" customWidth="1"/>
    <col min="9" max="16384" width="9.33203125" style="432"/>
  </cols>
  <sheetData>
    <row r="1" spans="1:11" ht="12" customHeight="1">
      <c r="A1" s="4811" t="str">
        <f>CONCATENATE('Sensitivity Analysis'!E8,"  ",'Sensitivity Analysis'!C8)</f>
        <v>2023-5  Brightwood Lane Apartments</v>
      </c>
      <c r="B1" s="4811"/>
      <c r="C1" s="4811"/>
      <c r="D1" s="4811"/>
      <c r="E1" s="4811"/>
      <c r="F1" s="4811"/>
      <c r="G1" s="4811"/>
      <c r="H1" s="4811"/>
    </row>
    <row r="3" spans="1:11" ht="12" customHeight="1">
      <c r="A3" s="4812" t="s">
        <v>3104</v>
      </c>
      <c r="B3" s="4812"/>
      <c r="C3" s="4812"/>
      <c r="D3" s="4812"/>
      <c r="E3" s="4812"/>
      <c r="F3" s="4812"/>
      <c r="G3" s="4812"/>
      <c r="H3" s="4812"/>
      <c r="I3" s="1027"/>
      <c r="J3" s="4814" t="s">
        <v>3459</v>
      </c>
      <c r="K3" s="4814"/>
    </row>
    <row r="4" spans="1:11">
      <c r="J4" s="4814"/>
      <c r="K4" s="4814"/>
    </row>
    <row r="5" spans="1:11" ht="12" customHeight="1">
      <c r="A5" s="432">
        <v>1</v>
      </c>
      <c r="C5" s="432" t="s">
        <v>2739</v>
      </c>
      <c r="E5" s="620">
        <f>'Sensitivity Analysis'!H9</f>
        <v>0</v>
      </c>
      <c r="J5" s="4814"/>
      <c r="K5" s="4814"/>
    </row>
    <row r="6" spans="1:11" ht="3" customHeight="1">
      <c r="H6" s="610"/>
      <c r="J6" s="4814"/>
      <c r="K6" s="4814"/>
    </row>
    <row r="7" spans="1:11" ht="12" customHeight="1">
      <c r="A7" s="432">
        <v>2</v>
      </c>
      <c r="C7" s="432" t="s">
        <v>2740</v>
      </c>
      <c r="E7" s="4810"/>
      <c r="F7" s="4810"/>
      <c r="G7" s="4810"/>
      <c r="H7" s="4810"/>
      <c r="J7" s="4814"/>
      <c r="K7" s="4814"/>
    </row>
    <row r="8" spans="1:11" ht="12" customHeight="1">
      <c r="E8" s="4810"/>
      <c r="F8" s="4810"/>
      <c r="G8" s="4810"/>
      <c r="H8" s="4810"/>
      <c r="J8" s="4814"/>
      <c r="K8" s="4814"/>
    </row>
    <row r="9" spans="1:11" ht="12" customHeight="1">
      <c r="C9" s="432" t="s">
        <v>2741</v>
      </c>
      <c r="E9" s="4813"/>
      <c r="F9" s="4813"/>
      <c r="J9" s="4814"/>
      <c r="K9" s="4814"/>
    </row>
    <row r="10" spans="1:11" ht="12" customHeight="1">
      <c r="C10" s="432" t="s">
        <v>2742</v>
      </c>
      <c r="E10" s="4810"/>
      <c r="F10" s="4810"/>
      <c r="G10" s="4810"/>
      <c r="H10" s="4810"/>
    </row>
    <row r="11" spans="1:11" ht="12" customHeight="1">
      <c r="C11" s="432" t="s">
        <v>3464</v>
      </c>
      <c r="E11" s="4810"/>
      <c r="F11" s="4810"/>
      <c r="G11" s="4810"/>
      <c r="H11" s="4810"/>
    </row>
    <row r="12" spans="1:11" ht="12" customHeight="1">
      <c r="C12" s="432" t="s">
        <v>3460</v>
      </c>
      <c r="E12" s="1991"/>
    </row>
    <row r="13" spans="1:11" ht="12" customHeight="1">
      <c r="C13" s="432" t="s">
        <v>3463</v>
      </c>
      <c r="E13" s="1991"/>
    </row>
    <row r="14" spans="1:11" ht="3" customHeight="1"/>
    <row r="15" spans="1:11" ht="12" customHeight="1">
      <c r="A15" s="432">
        <v>3</v>
      </c>
      <c r="C15" s="432" t="s">
        <v>2743</v>
      </c>
      <c r="E15" s="620" t="str">
        <f>'Sensitivity Analysis'!C8</f>
        <v>Brightwood Lane Apartments</v>
      </c>
    </row>
    <row r="16" spans="1:11" ht="12" customHeight="1">
      <c r="C16" s="432" t="s">
        <v>2744</v>
      </c>
      <c r="E16" s="4810"/>
      <c r="F16" s="4810"/>
      <c r="G16" s="4810"/>
      <c r="H16" s="4810"/>
    </row>
    <row r="17" spans="1:8" ht="12" customHeight="1">
      <c r="E17" s="438" t="str">
        <f>'Part I-Project Identification'!$F$26</f>
        <v>Washington</v>
      </c>
      <c r="F17" s="609" t="s">
        <v>791</v>
      </c>
      <c r="G17" s="4809" t="s">
        <v>6751</v>
      </c>
      <c r="H17" s="4809"/>
    </row>
    <row r="18" spans="1:8" ht="12" customHeight="1">
      <c r="E18" s="620" t="str">
        <f>(CONCATENATE('Part I-Project Identification'!$J$26," County"))</f>
        <v>Wilkes County</v>
      </c>
    </row>
    <row r="19" spans="1:8" ht="3" customHeight="1"/>
    <row r="20" spans="1:8" ht="12" customHeight="1">
      <c r="A20" s="432">
        <v>4</v>
      </c>
      <c r="C20" s="432" t="s">
        <v>2745</v>
      </c>
      <c r="E20" s="4810"/>
      <c r="F20" s="4810"/>
      <c r="G20" s="4810"/>
      <c r="H20" s="4810"/>
    </row>
    <row r="21" spans="1:8" ht="12" customHeight="1">
      <c r="C21" s="432" t="s">
        <v>2746</v>
      </c>
      <c r="E21" s="4810"/>
      <c r="F21" s="4810"/>
      <c r="G21" s="4810"/>
      <c r="H21" s="4810"/>
    </row>
    <row r="22" spans="1:8" ht="12" customHeight="1">
      <c r="E22" s="4810"/>
      <c r="F22" s="4810"/>
      <c r="G22" s="4810"/>
      <c r="H22" s="4810"/>
    </row>
    <row r="23" spans="1:8" ht="12" customHeight="1">
      <c r="C23" s="432" t="s">
        <v>3460</v>
      </c>
      <c r="E23" s="1991"/>
    </row>
    <row r="24" spans="1:8" ht="12" customHeight="1">
      <c r="C24" s="432" t="s">
        <v>3463</v>
      </c>
      <c r="E24" s="1991"/>
    </row>
    <row r="25" spans="1:8" ht="12" customHeight="1">
      <c r="C25" s="432" t="s">
        <v>3464</v>
      </c>
      <c r="E25" s="4810"/>
      <c r="F25" s="4810"/>
      <c r="G25" s="4810"/>
      <c r="H25" s="4810"/>
    </row>
    <row r="26" spans="1:8" ht="3" customHeight="1">
      <c r="E26" s="620"/>
    </row>
    <row r="27" spans="1:8" ht="12" customHeight="1">
      <c r="A27" s="432">
        <v>5</v>
      </c>
      <c r="C27" s="432" t="s">
        <v>2747</v>
      </c>
      <c r="E27" s="620" t="str">
        <f>'Sensitivity Analysis'!$H$7</f>
        <v>Acquisition/Rehabilitation</v>
      </c>
    </row>
    <row r="28" spans="1:8" ht="12" customHeight="1">
      <c r="E28" s="620" t="str">
        <f>'Part I-Project Identification'!F12</f>
        <v>4% Credit/TE Bond</v>
      </c>
    </row>
    <row r="29" spans="1:8" ht="12" customHeight="1">
      <c r="C29" s="432" t="s">
        <v>3103</v>
      </c>
      <c r="E29" s="432" t="str">
        <f>'Sensitivity Analysis'!$C$9</f>
        <v>&lt;&lt;Select&gt;&gt;</v>
      </c>
    </row>
    <row r="30" spans="1:8" ht="3" customHeight="1"/>
    <row r="31" spans="1:8" ht="12" customHeight="1">
      <c r="A31" s="432">
        <v>6</v>
      </c>
      <c r="C31" s="432" t="s">
        <v>2748</v>
      </c>
      <c r="E31" s="432" t="s">
        <v>2218</v>
      </c>
      <c r="F31" s="1028">
        <f>'Part II-Sources of Funds'!L22</f>
        <v>769000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480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810"/>
      <c r="F48" s="4810"/>
      <c r="G48" s="4810"/>
      <c r="H48" s="4810"/>
    </row>
    <row r="49" spans="1:8" ht="3" customHeight="1">
      <c r="E49" s="620"/>
    </row>
    <row r="50" spans="1:8" ht="12" customHeight="1">
      <c r="A50" s="432">
        <v>15</v>
      </c>
      <c r="C50" s="432" t="s">
        <v>3466</v>
      </c>
      <c r="E50" s="4810"/>
      <c r="F50" s="4810"/>
      <c r="G50" s="4810"/>
      <c r="H50" s="4810"/>
    </row>
    <row r="51" spans="1:8" ht="12" customHeight="1">
      <c r="C51" s="432" t="s">
        <v>2763</v>
      </c>
      <c r="E51" s="4810"/>
      <c r="F51" s="4810"/>
      <c r="G51" s="4810"/>
      <c r="H51" s="4810"/>
    </row>
    <row r="52" spans="1:8" ht="3" customHeight="1">
      <c r="F52" s="614"/>
    </row>
    <row r="53" spans="1:8" ht="12" customHeight="1">
      <c r="A53" s="432">
        <v>16</v>
      </c>
      <c r="C53" s="432" t="s">
        <v>2764</v>
      </c>
      <c r="F53" s="1032">
        <f>'Sensitivity Analysis'!C13</f>
        <v>40</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3465</v>
      </c>
    </row>
    <row r="58" spans="1:8" ht="3" customHeight="1">
      <c r="F58" s="614"/>
    </row>
    <row r="59" spans="1:8" ht="12" customHeight="1">
      <c r="A59" s="432">
        <v>19</v>
      </c>
      <c r="C59" s="432" t="s">
        <v>2767</v>
      </c>
      <c r="F59" s="1555">
        <f>'Part VII-Threshold Criteria OLD'!$P$44</f>
        <v>0</v>
      </c>
      <c r="G59" s="432" t="s">
        <v>3105</v>
      </c>
    </row>
    <row r="60" spans="1:8" ht="3" customHeight="1">
      <c r="F60" s="614"/>
    </row>
    <row r="61" spans="1:8" ht="12" customHeight="1">
      <c r="A61" s="432">
        <v>20</v>
      </c>
      <c r="C61" s="432" t="s">
        <v>2768</v>
      </c>
      <c r="F61" s="1035">
        <f>'Subsidy Layering Memo'!$L$70</f>
        <v>610209.58643743244</v>
      </c>
    </row>
    <row r="62" spans="1:8" ht="3" customHeight="1"/>
    <row r="63" spans="1:8" ht="12" customHeight="1">
      <c r="A63" s="432">
        <v>21</v>
      </c>
      <c r="C63" s="432" t="s">
        <v>3120</v>
      </c>
      <c r="E63" s="1036" t="s">
        <v>3106</v>
      </c>
      <c r="F63" s="1037" t="s">
        <v>3107</v>
      </c>
      <c r="G63" s="1036" t="s">
        <v>2769</v>
      </c>
    </row>
    <row r="64" spans="1:8" ht="12" customHeight="1">
      <c r="E64" s="1036" t="s">
        <v>3106</v>
      </c>
      <c r="F64" s="1037" t="s">
        <v>3107</v>
      </c>
      <c r="G64" s="1036" t="s">
        <v>6162</v>
      </c>
    </row>
    <row r="65" spans="1:7" ht="12" customHeight="1">
      <c r="E65" s="1036" t="s">
        <v>3106</v>
      </c>
      <c r="F65" s="1037" t="s">
        <v>3107</v>
      </c>
      <c r="G65" s="1036" t="s">
        <v>6163</v>
      </c>
    </row>
    <row r="66" spans="1:7" ht="12" customHeight="1">
      <c r="E66" s="1036" t="s">
        <v>3106</v>
      </c>
      <c r="F66" s="1037" t="s">
        <v>3107</v>
      </c>
      <c r="G66" s="1036" t="s">
        <v>6164</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123808</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0</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cols>
    <col min="1" max="1" width="23.5546875" style="432" customWidth="1"/>
    <col min="2" max="2" width="11" style="432" customWidth="1"/>
    <col min="3" max="3" width="31" style="432" customWidth="1"/>
    <col min="4" max="4" width="14" style="432" customWidth="1"/>
    <col min="5" max="10" width="11.33203125" style="432" customWidth="1"/>
    <col min="11" max="16384" width="9.33203125" style="432"/>
  </cols>
  <sheetData>
    <row r="1" spans="1:13" ht="13.8">
      <c r="A1" s="4825" t="s">
        <v>2960</v>
      </c>
      <c r="B1" s="4825"/>
      <c r="C1" s="4825"/>
      <c r="D1" s="4825"/>
      <c r="E1" s="4825"/>
      <c r="F1" s="4825"/>
      <c r="G1" s="4825"/>
      <c r="H1" s="4825"/>
      <c r="I1" s="4825"/>
      <c r="J1" s="4825"/>
    </row>
    <row r="2" spans="1:13" ht="13.8">
      <c r="A2" s="4825" t="str">
        <f>'Sensitivity Analysis'!E8&amp;"  "&amp;'Sensitivity Analysis'!C8</f>
        <v>2023-5  Brightwood Lane Apartments</v>
      </c>
      <c r="B2" s="4825"/>
      <c r="C2" s="4825"/>
      <c r="D2" s="4825"/>
      <c r="E2" s="4825"/>
      <c r="F2" s="4825"/>
      <c r="G2" s="4825"/>
      <c r="H2" s="4825"/>
      <c r="I2" s="4825"/>
      <c r="J2" s="4825"/>
    </row>
    <row r="3" spans="1:13" ht="6" customHeight="1">
      <c r="K3" s="4814" t="s">
        <v>3459</v>
      </c>
      <c r="L3" s="4814"/>
      <c r="M3" s="4814"/>
    </row>
    <row r="4" spans="1:13" ht="12" customHeight="1">
      <c r="A4" s="612" t="s">
        <v>2778</v>
      </c>
      <c r="K4" s="4814"/>
      <c r="L4" s="4814"/>
      <c r="M4" s="4814"/>
    </row>
    <row r="5" spans="1:13" ht="12" customHeight="1">
      <c r="A5" s="432" t="s">
        <v>2779</v>
      </c>
      <c r="C5" s="560" t="str">
        <f>'Subsidy Layering Memo'!D6</f>
        <v>(Underwriter)</v>
      </c>
      <c r="I5" s="560"/>
      <c r="K5" s="4814"/>
      <c r="L5" s="4814"/>
      <c r="M5" s="4814"/>
    </row>
    <row r="6" spans="1:13" ht="6" customHeight="1">
      <c r="C6" s="560"/>
      <c r="D6" s="560"/>
      <c r="I6" s="560"/>
      <c r="K6" s="4814"/>
      <c r="L6" s="4814"/>
      <c r="M6" s="4814"/>
    </row>
    <row r="7" spans="1:13" ht="12" customHeight="1">
      <c r="A7" s="612" t="s">
        <v>2780</v>
      </c>
      <c r="C7" s="560"/>
      <c r="D7" s="560"/>
      <c r="I7" s="560"/>
      <c r="K7" s="4814"/>
      <c r="L7" s="4814"/>
      <c r="M7" s="4814"/>
    </row>
    <row r="8" spans="1:13" ht="12" customHeight="1">
      <c r="A8" s="432" t="s">
        <v>2781</v>
      </c>
      <c r="C8" s="560">
        <f>'Sensitivity Analysis'!$H$9</f>
        <v>0</v>
      </c>
      <c r="I8" s="560"/>
      <c r="K8" s="4814"/>
      <c r="L8" s="4814"/>
      <c r="M8" s="4814"/>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815"/>
      <c r="E13" s="4815"/>
      <c r="F13" s="4815"/>
      <c r="G13" s="4815"/>
      <c r="H13" s="4815"/>
      <c r="I13" s="4815"/>
      <c r="J13" s="4815"/>
    </row>
    <row r="14" spans="1:13" ht="3" customHeight="1">
      <c r="G14" s="560"/>
      <c r="H14" s="560"/>
      <c r="I14" s="560"/>
    </row>
    <row r="15" spans="1:13" ht="12" customHeight="1">
      <c r="A15" s="432" t="s">
        <v>2784</v>
      </c>
      <c r="C15" s="613">
        <f>'Preview term'!E10</f>
        <v>0</v>
      </c>
      <c r="G15" s="560"/>
      <c r="I15" s="560"/>
    </row>
    <row r="16" spans="1:13" ht="12" customHeight="1">
      <c r="A16" s="620" t="s">
        <v>3663</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Brightwood Lane Apartments</v>
      </c>
      <c r="I28" s="560"/>
    </row>
    <row r="29" spans="1:9" ht="3" customHeight="1">
      <c r="C29" s="613"/>
      <c r="I29" s="560"/>
    </row>
    <row r="30" spans="1:9" ht="12" customHeight="1">
      <c r="A30" s="432" t="s">
        <v>2791</v>
      </c>
      <c r="C30" s="613">
        <f>'Preview term'!E16</f>
        <v>0</v>
      </c>
      <c r="I30" s="560"/>
    </row>
    <row r="31" spans="1:9">
      <c r="C31" s="560" t="str">
        <f>'Preview term'!E17</f>
        <v>Washington</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6165</v>
      </c>
      <c r="C39" s="4826" t="str">
        <f>_xlfn.CONCAT('Part VII-Threshold Criteria OLD'!K192," and ",'Part VII-Threshold Criteria OLD'!K193)</f>
        <v>&lt;&lt;Select&gt;&gt; and &lt;&lt;Select&gt;&gt;</v>
      </c>
      <c r="D39" s="4826"/>
      <c r="E39" s="4826"/>
      <c r="F39" s="4826"/>
      <c r="G39" s="4826"/>
      <c r="H39" s="4826"/>
      <c r="I39" s="4826"/>
      <c r="J39" s="4826"/>
    </row>
    <row r="40" spans="1:10" ht="25.5" customHeight="1">
      <c r="A40" s="617" t="s">
        <v>6166</v>
      </c>
      <c r="C40" s="4826"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26"/>
      <c r="E40" s="4826"/>
      <c r="F40" s="4826"/>
      <c r="G40" s="4826"/>
      <c r="H40" s="4826"/>
      <c r="I40" s="4826"/>
      <c r="J40" s="4826"/>
    </row>
    <row r="41" spans="1:10" ht="3" customHeight="1">
      <c r="G41" s="560"/>
      <c r="H41" s="560"/>
      <c r="I41" s="560"/>
    </row>
    <row r="42" spans="1:10" ht="25.5" customHeight="1">
      <c r="A42" s="617" t="s">
        <v>2798</v>
      </c>
      <c r="C42" s="4826" t="s">
        <v>3108</v>
      </c>
      <c r="D42" s="4826"/>
      <c r="E42" s="4826"/>
      <c r="F42" s="4826"/>
      <c r="G42" s="4826"/>
      <c r="H42" s="4826"/>
      <c r="I42" s="4826"/>
      <c r="J42" s="4826"/>
    </row>
    <row r="43" spans="1:10" ht="3" customHeight="1">
      <c r="C43" s="438"/>
      <c r="D43" s="438"/>
      <c r="E43" s="438"/>
      <c r="F43" s="438"/>
      <c r="G43" s="438"/>
      <c r="H43" s="439"/>
      <c r="I43" s="439"/>
      <c r="J43" s="439"/>
    </row>
    <row r="44" spans="1:10" ht="12" customHeight="1">
      <c r="A44" s="432" t="s">
        <v>2799</v>
      </c>
      <c r="C44" s="504" t="str">
        <f>'Part I-Project Identification'!J26</f>
        <v>Wilkes</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826" t="s">
        <v>533</v>
      </c>
      <c r="D50" s="4826"/>
      <c r="E50" s="4826"/>
      <c r="F50" s="4826"/>
      <c r="G50" s="4826"/>
      <c r="H50" s="4826"/>
      <c r="I50" s="4826"/>
      <c r="J50" s="4826"/>
    </row>
    <row r="51" spans="1:10" ht="12" customHeight="1">
      <c r="C51" s="4817" t="s">
        <v>1677</v>
      </c>
      <c r="D51" s="4817"/>
      <c r="E51" s="4817"/>
      <c r="F51" s="4817"/>
      <c r="G51" s="4817"/>
      <c r="H51" s="4817"/>
      <c r="I51" s="4817"/>
      <c r="J51" s="4817"/>
    </row>
    <row r="52" spans="1:10" ht="3" customHeight="1">
      <c r="D52" s="618"/>
      <c r="E52" s="618"/>
      <c r="F52" s="618"/>
      <c r="G52" s="618"/>
      <c r="H52" s="560"/>
      <c r="I52" s="618"/>
      <c r="J52" s="618"/>
    </row>
    <row r="53" spans="1:10" ht="12" customHeight="1">
      <c r="A53" s="617" t="s">
        <v>2803</v>
      </c>
      <c r="B53" s="617"/>
      <c r="C53" s="619" t="s">
        <v>2804</v>
      </c>
      <c r="D53" s="619" t="s">
        <v>3109</v>
      </c>
      <c r="E53" s="4818"/>
      <c r="F53" s="4818"/>
      <c r="G53" s="4818"/>
      <c r="H53" s="4818"/>
      <c r="I53" s="4818"/>
      <c r="J53" s="4818"/>
    </row>
    <row r="54" spans="1:10" ht="12" customHeight="1">
      <c r="A54" s="617"/>
      <c r="B54" s="617"/>
      <c r="C54" s="617"/>
      <c r="D54" s="619" t="s">
        <v>3110</v>
      </c>
      <c r="E54" s="4819"/>
      <c r="F54" s="4819"/>
      <c r="G54" s="4819"/>
      <c r="H54" s="4819"/>
      <c r="I54" s="4819"/>
      <c r="J54" s="4819"/>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769000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815"/>
      <c r="E69" s="4815"/>
      <c r="F69" s="4815"/>
      <c r="G69" s="4815"/>
      <c r="H69" s="4815"/>
      <c r="I69" s="4815"/>
      <c r="J69" s="4815"/>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3132</v>
      </c>
      <c r="D78" s="624">
        <v>24</v>
      </c>
      <c r="I78" s="560"/>
    </row>
    <row r="79" spans="1:10" ht="3" customHeight="1">
      <c r="D79" s="620"/>
      <c r="E79" s="560"/>
      <c r="F79" s="560"/>
      <c r="I79" s="560"/>
    </row>
    <row r="80" spans="1:10" ht="12" customHeight="1">
      <c r="A80" s="432" t="s">
        <v>2822</v>
      </c>
      <c r="C80" s="432" t="s">
        <v>2218</v>
      </c>
      <c r="D80" s="624">
        <f>'Preview term'!F40</f>
        <v>480</v>
      </c>
      <c r="E80" s="560" t="s">
        <v>3113</v>
      </c>
      <c r="I80" s="560"/>
    </row>
    <row r="81" spans="1:9" ht="3" customHeight="1">
      <c r="D81" s="620"/>
      <c r="G81" s="560"/>
      <c r="H81" s="560"/>
      <c r="I81" s="560"/>
    </row>
    <row r="82" spans="1:9" ht="12" customHeight="1">
      <c r="A82" s="432" t="s">
        <v>2823</v>
      </c>
      <c r="D82" s="991">
        <v>0</v>
      </c>
      <c r="E82" s="625">
        <f>D82*12</f>
        <v>0</v>
      </c>
      <c r="F82" s="560" t="s">
        <v>3133</v>
      </c>
    </row>
    <row r="83" spans="1:9" ht="3" customHeight="1">
      <c r="D83" s="613"/>
      <c r="E83" s="560"/>
      <c r="G83" s="560"/>
    </row>
    <row r="84" spans="1:9" ht="12" customHeight="1">
      <c r="A84" s="432" t="s">
        <v>2824</v>
      </c>
      <c r="D84" s="1026" t="s">
        <v>906</v>
      </c>
      <c r="E84" s="560" t="s">
        <v>6167</v>
      </c>
      <c r="G84" s="560"/>
    </row>
    <row r="85" spans="1:9" ht="3" customHeight="1">
      <c r="G85" s="560"/>
      <c r="H85" s="560"/>
      <c r="I85" s="560"/>
    </row>
    <row r="86" spans="1:9" ht="12" customHeight="1">
      <c r="A86" s="432" t="s">
        <v>2825</v>
      </c>
      <c r="C86" s="1557">
        <f>'Subsidy Layering Memo'!L70</f>
        <v>610209.58643743244</v>
      </c>
      <c r="D86" s="627" t="s">
        <v>3111</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Churchill Stateside Group</v>
      </c>
      <c r="I93" s="560"/>
    </row>
    <row r="94" spans="1:9" ht="12" customHeight="1">
      <c r="C94" s="620"/>
      <c r="D94" s="560"/>
      <c r="E94" s="620" t="s">
        <v>1670</v>
      </c>
      <c r="F94" s="4810"/>
      <c r="G94" s="4810"/>
      <c r="H94" s="4810"/>
      <c r="I94" s="560"/>
    </row>
    <row r="95" spans="1:9" ht="12" customHeight="1">
      <c r="C95" s="620"/>
      <c r="D95" s="560"/>
      <c r="E95" s="620" t="s">
        <v>1840</v>
      </c>
      <c r="F95" s="4820"/>
      <c r="G95" s="4820"/>
      <c r="H95" s="4820"/>
      <c r="I95" s="560"/>
    </row>
    <row r="96" spans="1:9" ht="12" customHeight="1">
      <c r="C96" s="620"/>
      <c r="D96" s="560"/>
      <c r="E96" s="620" t="s">
        <v>1672</v>
      </c>
      <c r="F96" s="4813"/>
      <c r="G96" s="4813"/>
      <c r="H96" s="4813"/>
      <c r="I96" s="560"/>
    </row>
    <row r="97" spans="1:10" ht="12" customHeight="1">
      <c r="B97" s="614"/>
      <c r="C97" s="622" t="s">
        <v>2972</v>
      </c>
      <c r="D97" s="560" t="s">
        <v>2831</v>
      </c>
      <c r="E97" s="620" t="str">
        <f>'Part II-Sources of Funds'!E40</f>
        <v>Churchill Stateside Group</v>
      </c>
      <c r="I97" s="560"/>
    </row>
    <row r="98" spans="1:10" ht="12" customHeight="1">
      <c r="C98" s="620"/>
      <c r="D98" s="560"/>
      <c r="E98" s="620" t="s">
        <v>1670</v>
      </c>
      <c r="F98" s="4810"/>
      <c r="G98" s="4810"/>
      <c r="H98" s="4810"/>
      <c r="I98" s="560"/>
    </row>
    <row r="99" spans="1:10" ht="12" customHeight="1">
      <c r="C99" s="620"/>
      <c r="D99" s="560"/>
      <c r="E99" s="620" t="s">
        <v>1840</v>
      </c>
      <c r="F99" s="4820"/>
      <c r="G99" s="4820"/>
      <c r="H99" s="4820"/>
      <c r="I99" s="560"/>
    </row>
    <row r="100" spans="1:10" ht="12" customHeight="1">
      <c r="C100" s="620"/>
      <c r="D100" s="560"/>
      <c r="E100" s="620" t="s">
        <v>1672</v>
      </c>
      <c r="F100" s="4813"/>
      <c r="G100" s="4813"/>
      <c r="H100" s="4813"/>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3112</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821"/>
      <c r="E107" s="4821"/>
      <c r="F107" s="4821"/>
      <c r="G107" s="4821"/>
      <c r="H107" s="4821"/>
      <c r="I107" s="4821"/>
      <c r="J107" s="4822"/>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6168</v>
      </c>
      <c r="I114" s="560"/>
    </row>
    <row r="115" spans="1:10" ht="12" customHeight="1">
      <c r="C115" s="613" t="s">
        <v>6169</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824" t="s">
        <v>6170</v>
      </c>
      <c r="F120" s="4824"/>
      <c r="G120" s="4824"/>
      <c r="H120" s="4824"/>
      <c r="I120" s="4824"/>
      <c r="J120" s="4824"/>
    </row>
    <row r="121" spans="1:10" ht="12" customHeight="1">
      <c r="C121" s="560" t="s">
        <v>2842</v>
      </c>
      <c r="D121" s="996"/>
      <c r="E121" s="4824"/>
      <c r="F121" s="4824"/>
      <c r="G121" s="4824"/>
      <c r="H121" s="4824"/>
      <c r="I121" s="4824"/>
      <c r="J121" s="4824"/>
    </row>
    <row r="122" spans="1:10" ht="12" customHeight="1">
      <c r="C122" s="560" t="s">
        <v>2843</v>
      </c>
      <c r="D122" s="996"/>
      <c r="E122" s="4824"/>
      <c r="F122" s="4824"/>
      <c r="G122" s="4824"/>
      <c r="H122" s="4824"/>
      <c r="I122" s="4824"/>
      <c r="J122" s="4824"/>
    </row>
    <row r="123" spans="1:10" ht="12" customHeight="1">
      <c r="C123" s="560" t="s">
        <v>2843</v>
      </c>
      <c r="D123" s="996"/>
      <c r="E123" s="4824"/>
      <c r="F123" s="4824"/>
      <c r="G123" s="4824"/>
      <c r="H123" s="4824"/>
      <c r="I123" s="4824"/>
      <c r="J123" s="4824"/>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219577.5</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3114</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3134</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3115</v>
      </c>
      <c r="E166" s="4815"/>
      <c r="F166" s="4815"/>
      <c r="G166" s="4815"/>
      <c r="I166" s="560"/>
    </row>
    <row r="167" spans="1:9" ht="3" customHeight="1">
      <c r="E167" s="560"/>
      <c r="G167" s="560"/>
      <c r="I167" s="560"/>
    </row>
    <row r="168" spans="1:9" ht="12" customHeight="1">
      <c r="A168" s="432" t="s">
        <v>2866</v>
      </c>
      <c r="C168" s="432" t="s">
        <v>2867</v>
      </c>
      <c r="E168" s="632">
        <f>'Preview term'!F74</f>
        <v>123808</v>
      </c>
      <c r="G168" s="560"/>
      <c r="I168" s="560"/>
    </row>
    <row r="169" spans="1:9" ht="12" customHeight="1">
      <c r="C169" s="432" t="s">
        <v>3115</v>
      </c>
      <c r="E169" s="4815"/>
      <c r="F169" s="4815"/>
      <c r="G169" s="4815"/>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24000</v>
      </c>
      <c r="F174" s="560" t="s">
        <v>2871</v>
      </c>
    </row>
    <row r="175" spans="1:9">
      <c r="E175" s="632">
        <f>E174/12</f>
        <v>2000</v>
      </c>
      <c r="F175" s="560" t="s">
        <v>2736</v>
      </c>
    </row>
    <row r="176" spans="1:9" ht="12" customHeight="1">
      <c r="C176" s="432" t="s">
        <v>3116</v>
      </c>
      <c r="E176" s="4815"/>
      <c r="F176" s="4815"/>
      <c r="G176" s="4815"/>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815"/>
      <c r="G181" s="4815"/>
      <c r="H181" s="4815"/>
      <c r="I181" s="4815"/>
      <c r="J181" s="4815"/>
    </row>
    <row r="182" spans="1:10" ht="12" customHeight="1">
      <c r="C182" s="432" t="s">
        <v>3117</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0</v>
      </c>
      <c r="G185" s="560"/>
      <c r="I185" s="560"/>
    </row>
    <row r="186" spans="1:10" ht="12" customHeight="1">
      <c r="C186" s="432" t="s">
        <v>3115</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3115</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3119</v>
      </c>
      <c r="B199" s="617"/>
      <c r="C199" s="617"/>
      <c r="D199" s="617"/>
      <c r="E199" s="619" t="s">
        <v>3118</v>
      </c>
      <c r="F199" s="4823">
        <f>'Part VII-Threshold Criteria OLD'!E372</f>
        <v>0</v>
      </c>
      <c r="G199" s="4823"/>
      <c r="H199" s="4823"/>
      <c r="I199" s="4823"/>
      <c r="J199" s="4823"/>
    </row>
    <row r="200" spans="1:10" ht="9" customHeight="1">
      <c r="G200" s="560"/>
      <c r="H200" s="560"/>
      <c r="I200" s="560"/>
    </row>
    <row r="201" spans="1:10" ht="12" customHeight="1">
      <c r="A201" s="634" t="s">
        <v>2961</v>
      </c>
      <c r="G201" s="560"/>
      <c r="H201" s="560"/>
      <c r="I201" s="625"/>
    </row>
    <row r="202" spans="1:10" ht="25.5" hidden="1" customHeight="1">
      <c r="A202" s="4816" t="str">
        <f>'Subsidy Layering Memo'!A105</f>
        <v>Include any reserve requirements; explain any reserves far in excess of 6 month ODR, 3 mo lease up, 1 year RR, 6 mo T&amp;I standards.</v>
      </c>
      <c r="B202" s="4816"/>
      <c r="C202" s="4816"/>
      <c r="D202" s="4816"/>
      <c r="E202" s="4816"/>
      <c r="F202" s="4816"/>
      <c r="G202" s="4816"/>
      <c r="H202" s="4816"/>
      <c r="I202" s="4816"/>
      <c r="J202" s="4816"/>
    </row>
    <row r="203" spans="1:10">
      <c r="A203" s="560"/>
      <c r="G203" s="560"/>
      <c r="H203" s="560"/>
      <c r="I203" s="560"/>
    </row>
    <row r="204" spans="1:10" s="516" customFormat="1" ht="13.8">
      <c r="A204" s="522" t="s">
        <v>6154</v>
      </c>
    </row>
    <row r="205" spans="1:10" s="516" customFormat="1" ht="14.25" customHeight="1">
      <c r="A205" s="479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98"/>
      <c r="C205" s="4798"/>
      <c r="D205" s="4798"/>
      <c r="E205" s="4798"/>
      <c r="F205" s="4798"/>
      <c r="G205" s="4798"/>
      <c r="H205" s="4798"/>
      <c r="I205" s="4798"/>
      <c r="J205" s="4798"/>
    </row>
    <row r="206" spans="1:10" s="516" customFormat="1" ht="14.25" customHeight="1">
      <c r="A206" s="4798"/>
      <c r="B206" s="4798"/>
      <c r="C206" s="4798"/>
      <c r="D206" s="4798"/>
      <c r="E206" s="4798"/>
      <c r="F206" s="4798"/>
      <c r="G206" s="4798"/>
      <c r="H206" s="4798"/>
      <c r="I206" s="4798"/>
      <c r="J206" s="4798"/>
    </row>
    <row r="207" spans="1:10" s="516" customFormat="1" ht="6.75" customHeight="1">
      <c r="A207" s="4798"/>
      <c r="B207" s="4798"/>
      <c r="C207" s="4798"/>
      <c r="D207" s="4798"/>
      <c r="E207" s="4798"/>
      <c r="F207" s="4798"/>
      <c r="G207" s="4798"/>
      <c r="H207" s="4798"/>
      <c r="I207" s="4798"/>
      <c r="J207" s="4798"/>
    </row>
    <row r="208" spans="1:10" s="516" customFormat="1" ht="21.75" customHeight="1">
      <c r="A208" s="4798"/>
      <c r="B208" s="4798"/>
      <c r="C208" s="4798"/>
      <c r="D208" s="4798"/>
      <c r="E208" s="4798"/>
      <c r="F208" s="4798"/>
      <c r="G208" s="4798"/>
      <c r="H208" s="4798"/>
      <c r="I208" s="4798"/>
      <c r="J208" s="4798"/>
    </row>
    <row r="209" spans="1:10" s="516" customFormat="1" ht="20.25" customHeight="1">
      <c r="A209" s="4798"/>
      <c r="B209" s="4798"/>
      <c r="C209" s="4798"/>
      <c r="D209" s="4798"/>
      <c r="E209" s="4798"/>
      <c r="F209" s="4798"/>
      <c r="G209" s="4798"/>
      <c r="H209" s="4798"/>
      <c r="I209" s="4798"/>
      <c r="J209" s="4798"/>
    </row>
    <row r="210" spans="1:10" s="516" customFormat="1" ht="54.75" customHeight="1">
      <c r="A210" s="4798"/>
      <c r="B210" s="4798"/>
      <c r="C210" s="4798"/>
      <c r="D210" s="4798"/>
      <c r="E210" s="4798"/>
      <c r="F210" s="4798"/>
      <c r="G210" s="4798"/>
      <c r="H210" s="4798"/>
      <c r="I210" s="4798"/>
      <c r="J210" s="4798"/>
    </row>
    <row r="211" spans="1:10" s="516" customFormat="1" ht="0.75" hidden="1" customHeight="1">
      <c r="A211" s="4798"/>
      <c r="B211" s="4798"/>
      <c r="C211" s="4798"/>
      <c r="D211" s="4798"/>
      <c r="E211" s="4798"/>
      <c r="F211" s="4798"/>
      <c r="G211" s="4798"/>
      <c r="H211" s="4798"/>
      <c r="I211" s="4798"/>
      <c r="J211" s="4798"/>
    </row>
    <row r="212" spans="1:10" s="516" customFormat="1" ht="3.75" hidden="1" customHeight="1">
      <c r="A212" s="4798"/>
      <c r="B212" s="4798"/>
      <c r="C212" s="4798"/>
      <c r="D212" s="4798"/>
      <c r="E212" s="4798"/>
      <c r="F212" s="4798"/>
      <c r="G212" s="4798"/>
      <c r="H212" s="4798"/>
      <c r="I212" s="4798"/>
      <c r="J212" s="4798"/>
    </row>
    <row r="213" spans="1:10" s="516" customFormat="1" ht="5.25" customHeight="1">
      <c r="A213" s="1251"/>
      <c r="B213" s="1251"/>
      <c r="C213" s="1251"/>
      <c r="D213" s="1251"/>
      <c r="E213" s="1251"/>
      <c r="F213" s="1251"/>
      <c r="G213" s="1251"/>
      <c r="H213" s="1251"/>
      <c r="I213" s="1251"/>
      <c r="J213" s="1251"/>
    </row>
    <row r="214" spans="1:10" s="516" customFormat="1" ht="19.5" customHeight="1">
      <c r="A214" s="4797" t="s">
        <v>6157</v>
      </c>
      <c r="B214" s="4797"/>
      <c r="C214" s="4797"/>
      <c r="D214" s="1249"/>
      <c r="E214" s="1249"/>
      <c r="F214" s="1249"/>
      <c r="G214" s="1249"/>
      <c r="H214" s="1249"/>
      <c r="I214" s="1249"/>
      <c r="J214" s="1249"/>
    </row>
    <row r="215" spans="1:10" s="516" customFormat="1" ht="22.5" customHeight="1">
      <c r="A215" s="4767" t="str">
        <f>'Subsidy Layering Memo'!A37</f>
        <v>1)</v>
      </c>
      <c r="B215" s="4767"/>
      <c r="C215" s="4767"/>
      <c r="D215" s="4767"/>
      <c r="E215" s="4767"/>
      <c r="F215" s="4767"/>
      <c r="G215" s="4767"/>
      <c r="H215" s="4767"/>
      <c r="I215" s="4767"/>
      <c r="J215" s="4767"/>
    </row>
    <row r="216" spans="1:10" s="516" customFormat="1" ht="22.5" customHeight="1">
      <c r="A216" s="4767" t="str">
        <f>'Subsidy Layering Memo'!A38</f>
        <v>2)</v>
      </c>
      <c r="B216" s="4767"/>
      <c r="C216" s="4767"/>
      <c r="D216" s="4767"/>
      <c r="E216" s="4767"/>
      <c r="F216" s="4767"/>
      <c r="G216" s="4767"/>
      <c r="H216" s="4767"/>
      <c r="I216" s="4767"/>
      <c r="J216" s="4767"/>
    </row>
    <row r="217" spans="1:10" s="516" customFormat="1" ht="22.5" customHeight="1">
      <c r="A217" s="4767" t="str">
        <f>'Subsidy Layering Memo'!A39</f>
        <v>3)</v>
      </c>
      <c r="B217" s="4767"/>
      <c r="C217" s="4767"/>
      <c r="D217" s="4767"/>
      <c r="E217" s="4767"/>
      <c r="F217" s="4767"/>
      <c r="G217" s="4767"/>
      <c r="H217" s="4767"/>
      <c r="I217" s="4767"/>
      <c r="J217" s="4767"/>
    </row>
    <row r="218" spans="1:10" s="516" customFormat="1" ht="22.5" customHeight="1">
      <c r="A218" s="4767" t="str">
        <f>'Subsidy Layering Memo'!A40</f>
        <v>4)</v>
      </c>
      <c r="B218" s="4767"/>
      <c r="C218" s="4767"/>
      <c r="D218" s="4767"/>
      <c r="E218" s="4767"/>
      <c r="F218" s="4767"/>
      <c r="G218" s="4767"/>
      <c r="H218" s="4767"/>
      <c r="I218" s="4767"/>
      <c r="J218" s="4767"/>
    </row>
    <row r="219" spans="1:10" s="516" customFormat="1" ht="22.5" customHeight="1">
      <c r="A219" s="4767" t="str">
        <f>'Subsidy Layering Memo'!A41</f>
        <v>5)</v>
      </c>
      <c r="B219" s="4767"/>
      <c r="C219" s="4767"/>
      <c r="D219" s="4767"/>
      <c r="E219" s="4767"/>
      <c r="F219" s="4767"/>
      <c r="G219" s="4767"/>
      <c r="H219" s="4767"/>
      <c r="I219" s="4767"/>
      <c r="J219" s="4767"/>
    </row>
    <row r="220" spans="1:10" s="516" customFormat="1" ht="22.5" customHeight="1">
      <c r="A220" s="4767" t="str">
        <f>'Subsidy Layering Memo'!A42</f>
        <v>6)</v>
      </c>
      <c r="B220" s="4767"/>
      <c r="C220" s="4767"/>
      <c r="D220" s="4767"/>
      <c r="E220" s="4767"/>
      <c r="F220" s="4767"/>
      <c r="G220" s="4767"/>
      <c r="H220" s="4767"/>
      <c r="I220" s="4767"/>
      <c r="J220" s="4767"/>
    </row>
    <row r="221" spans="1:10" s="516" customFormat="1" ht="22.5" customHeight="1">
      <c r="A221" s="4767" t="str">
        <f>'Subsidy Layering Memo'!A43</f>
        <v>7)</v>
      </c>
      <c r="B221" s="4767"/>
      <c r="C221" s="4767"/>
      <c r="D221" s="4767"/>
      <c r="E221" s="4767"/>
      <c r="F221" s="4767"/>
      <c r="G221" s="4767"/>
      <c r="H221" s="4767"/>
      <c r="I221" s="4767"/>
      <c r="J221" s="4767"/>
    </row>
    <row r="222" spans="1:10" s="516" customFormat="1" ht="22.5" customHeight="1">
      <c r="A222" s="4767" t="str">
        <f>'Subsidy Layering Memo'!A44</f>
        <v>8)</v>
      </c>
      <c r="B222" s="4767"/>
      <c r="C222" s="4767"/>
      <c r="D222" s="4767"/>
      <c r="E222" s="4767"/>
      <c r="F222" s="4767"/>
      <c r="G222" s="4767"/>
      <c r="H222" s="4767"/>
      <c r="I222" s="4767"/>
      <c r="J222" s="4767"/>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3966</v>
      </c>
      <c r="B1" s="1374"/>
      <c r="C1" s="1374"/>
      <c r="D1" s="1374"/>
      <c r="E1" s="1374"/>
      <c r="F1" s="1374"/>
      <c r="G1" s="1374"/>
      <c r="H1" s="1374"/>
    </row>
    <row r="2" spans="1:11" ht="18.600000000000001" thickBot="1">
      <c r="A2" s="1374" t="s">
        <v>3967</v>
      </c>
      <c r="B2" s="1374"/>
      <c r="C2" s="1374"/>
      <c r="D2" s="1374"/>
      <c r="E2" s="1374"/>
      <c r="F2" s="1374"/>
      <c r="G2" s="1374"/>
      <c r="H2" s="1374"/>
    </row>
    <row r="3" spans="1:11" ht="15" customHeight="1" thickBot="1">
      <c r="A3" s="1328" t="s">
        <v>3968</v>
      </c>
      <c r="B3" s="1329"/>
      <c r="C3" s="1330"/>
      <c r="D3" s="4163" t="str">
        <f>'Part I-Project Identification'!F25</f>
        <v>Brightwood Lane Apartments</v>
      </c>
      <c r="E3" s="4164"/>
      <c r="F3" s="4164"/>
      <c r="G3" s="4164"/>
      <c r="H3" s="4164"/>
      <c r="I3" s="4164"/>
      <c r="J3" s="4831" t="s">
        <v>3971</v>
      </c>
      <c r="K3" s="4832"/>
    </row>
    <row r="4" spans="1:11" ht="15" customHeight="1">
      <c r="A4" s="1332" t="s">
        <v>3969</v>
      </c>
      <c r="B4" s="1333"/>
      <c r="C4" s="1334"/>
      <c r="D4" s="4827">
        <f>'Preview term'!$E$16</f>
        <v>0</v>
      </c>
      <c r="E4" s="4828"/>
      <c r="F4" s="4828"/>
      <c r="G4" s="4828"/>
      <c r="H4" s="4828"/>
      <c r="I4" s="4828"/>
      <c r="J4" s="4169" t="s">
        <v>4010</v>
      </c>
      <c r="K4" s="4170"/>
    </row>
    <row r="5" spans="1:11" ht="15" customHeight="1" thickBot="1">
      <c r="A5" s="1335" t="s">
        <v>3970</v>
      </c>
      <c r="B5" s="1336"/>
      <c r="C5" s="1337"/>
      <c r="D5" s="4829"/>
      <c r="E5" s="4830"/>
      <c r="F5" s="4830"/>
      <c r="G5" s="4830"/>
      <c r="H5" s="4830"/>
      <c r="I5" s="4830"/>
      <c r="J5" s="4171"/>
      <c r="K5" s="4172"/>
    </row>
    <row r="6" spans="1:11" ht="9" customHeight="1" thickBot="1">
      <c r="E6" s="1327"/>
    </row>
    <row r="7" spans="1:11">
      <c r="A7" s="4155" t="s">
        <v>3972</v>
      </c>
      <c r="B7" s="4156"/>
      <c r="C7" s="4156"/>
      <c r="D7" s="4156"/>
      <c r="E7" s="4156"/>
      <c r="F7" s="4156"/>
      <c r="G7" s="4156"/>
      <c r="H7" s="4156"/>
      <c r="I7" s="4156"/>
      <c r="J7" s="4156"/>
      <c r="K7" s="4157"/>
    </row>
    <row r="8" spans="1:11" ht="14.25" customHeight="1">
      <c r="A8" s="1333"/>
      <c r="B8" s="1333"/>
      <c r="C8" s="1365">
        <v>1</v>
      </c>
      <c r="D8" s="1352" t="s">
        <v>3973</v>
      </c>
      <c r="E8" s="1352"/>
      <c r="F8" s="1352"/>
      <c r="G8" s="1352"/>
      <c r="H8" s="1352"/>
      <c r="I8" s="1352"/>
      <c r="J8" s="4854"/>
      <c r="K8" s="4855"/>
    </row>
    <row r="9" spans="1:11" ht="7.2" customHeight="1">
      <c r="A9" s="4158"/>
      <c r="B9" s="4158"/>
      <c r="C9" s="4158"/>
      <c r="D9" s="4159"/>
      <c r="E9" s="4159"/>
      <c r="F9" s="4159"/>
      <c r="G9" s="4159"/>
      <c r="H9" s="4159"/>
      <c r="I9" s="4159"/>
      <c r="J9" s="4159"/>
      <c r="K9" s="1353"/>
    </row>
    <row r="10" spans="1:11">
      <c r="A10" s="4160" t="s">
        <v>3974</v>
      </c>
      <c r="B10" s="4161"/>
      <c r="C10" s="4161"/>
      <c r="D10" s="4161"/>
      <c r="E10" s="4161"/>
      <c r="F10" s="4161"/>
      <c r="G10" s="4161"/>
      <c r="H10" s="4161"/>
      <c r="I10" s="4161"/>
      <c r="J10" s="4161"/>
      <c r="K10" s="4162"/>
    </row>
    <row r="11" spans="1:11" ht="14.25" customHeight="1">
      <c r="A11" s="1333"/>
      <c r="B11" s="1333"/>
      <c r="C11" s="1365">
        <v>2</v>
      </c>
      <c r="D11" s="1352" t="s">
        <v>3975</v>
      </c>
      <c r="E11" s="1354"/>
      <c r="F11" s="1354"/>
      <c r="G11" s="1354"/>
      <c r="H11" s="1354"/>
      <c r="I11" s="1354"/>
      <c r="J11" s="4852"/>
      <c r="K11" s="4853"/>
    </row>
    <row r="12" spans="1:11" ht="7.2" customHeight="1">
      <c r="A12" s="4158"/>
      <c r="B12" s="4158"/>
      <c r="C12" s="4158"/>
      <c r="D12" s="4159"/>
      <c r="E12" s="4159"/>
      <c r="F12" s="4159"/>
      <c r="G12" s="4159"/>
      <c r="H12" s="4159"/>
      <c r="I12" s="4159"/>
      <c r="J12" s="4159"/>
      <c r="K12" s="1355"/>
    </row>
    <row r="13" spans="1:11">
      <c r="A13" s="4160" t="s">
        <v>3976</v>
      </c>
      <c r="B13" s="4161"/>
      <c r="C13" s="4161"/>
      <c r="D13" s="4161"/>
      <c r="E13" s="4161"/>
      <c r="F13" s="4161"/>
      <c r="G13" s="4161"/>
      <c r="H13" s="4161"/>
      <c r="I13" s="4161"/>
      <c r="J13" s="4161"/>
      <c r="K13" s="4162"/>
    </row>
    <row r="14" spans="1:11" ht="14.25" customHeight="1">
      <c r="A14" s="1333"/>
      <c r="B14" s="1333"/>
      <c r="C14" s="1366">
        <v>3</v>
      </c>
      <c r="D14" s="1356" t="s">
        <v>3977</v>
      </c>
      <c r="E14" s="1356"/>
      <c r="F14" s="1356"/>
      <c r="G14" s="1356"/>
      <c r="H14" s="1356"/>
      <c r="I14" s="1356"/>
      <c r="J14" s="4850"/>
      <c r="K14" s="4851"/>
    </row>
    <row r="15" spans="1:11" ht="14.25" customHeight="1">
      <c r="A15" s="1333"/>
      <c r="B15" s="1333"/>
      <c r="C15" s="1367">
        <v>4</v>
      </c>
      <c r="D15" s="1333" t="s">
        <v>3978</v>
      </c>
      <c r="E15" s="1333"/>
      <c r="F15" s="1333"/>
      <c r="G15" s="1333"/>
      <c r="H15" s="1333"/>
      <c r="I15" s="1333"/>
      <c r="J15" s="4848"/>
      <c r="K15" s="4849"/>
    </row>
    <row r="16" spans="1:11" ht="14.25" customHeight="1">
      <c r="A16" s="1333"/>
      <c r="B16" s="1333"/>
      <c r="C16" s="1367">
        <v>5</v>
      </c>
      <c r="D16" s="1333" t="s">
        <v>3979</v>
      </c>
      <c r="E16" s="1333"/>
      <c r="F16" s="1333"/>
      <c r="G16" s="1333"/>
      <c r="H16" s="1333"/>
      <c r="I16" s="1333"/>
      <c r="J16" s="4848"/>
      <c r="K16" s="4849"/>
    </row>
    <row r="17" spans="1:13" ht="14.25" customHeight="1">
      <c r="A17" s="1333"/>
      <c r="B17" s="1333"/>
      <c r="C17" s="1368">
        <v>6</v>
      </c>
      <c r="D17" s="1336" t="s">
        <v>3980</v>
      </c>
      <c r="E17" s="1336"/>
      <c r="F17" s="1336"/>
      <c r="G17" s="1336"/>
      <c r="H17" s="1336"/>
      <c r="I17" s="1336"/>
      <c r="J17" s="4856"/>
      <c r="K17" s="4857"/>
    </row>
    <row r="18" spans="1:13" ht="7.2" customHeight="1">
      <c r="A18" s="4158"/>
      <c r="B18" s="4158"/>
      <c r="C18" s="4158"/>
      <c r="D18" s="4159"/>
      <c r="E18" s="4159"/>
      <c r="F18" s="4159"/>
      <c r="G18" s="4159"/>
      <c r="H18" s="4159"/>
      <c r="I18" s="4159"/>
      <c r="J18" s="4159"/>
      <c r="K18" s="1355"/>
    </row>
    <row r="19" spans="1:13" ht="14.25" customHeight="1">
      <c r="A19" s="1333"/>
      <c r="B19" s="1333"/>
      <c r="C19" s="1366">
        <v>7</v>
      </c>
      <c r="D19" s="1356" t="s">
        <v>3981</v>
      </c>
      <c r="E19" s="1356"/>
      <c r="F19" s="1356"/>
      <c r="G19" s="1356"/>
      <c r="H19" s="1356"/>
      <c r="I19" s="1356"/>
      <c r="J19" s="4222" t="str">
        <f>IF(J17="No",J14-J15,IF(J17="Yes",J14-J15-J16,"Error"))</f>
        <v>Error</v>
      </c>
      <c r="K19" s="4223"/>
    </row>
    <row r="20" spans="1:13" ht="14.25" customHeight="1">
      <c r="A20" s="1333"/>
      <c r="B20" s="1333"/>
      <c r="C20" s="1368">
        <v>8</v>
      </c>
      <c r="D20" s="1336" t="s">
        <v>3982</v>
      </c>
      <c r="E20" s="1336"/>
      <c r="F20" s="1336"/>
      <c r="G20" s="1336"/>
      <c r="H20" s="1336"/>
      <c r="I20" s="1336"/>
      <c r="J20" s="4220" t="e">
        <f>ROUNDDOWN(J19/J8,2)</f>
        <v>#VALUE!</v>
      </c>
      <c r="K20" s="4221"/>
    </row>
    <row r="21" spans="1:13" ht="7.2" customHeight="1">
      <c r="A21" s="4158"/>
      <c r="B21" s="4158"/>
      <c r="C21" s="4158"/>
      <c r="D21" s="4159"/>
      <c r="E21" s="4159"/>
      <c r="F21" s="4159"/>
      <c r="G21" s="4159"/>
      <c r="H21" s="4159"/>
      <c r="I21" s="4159"/>
      <c r="J21" s="4159"/>
      <c r="K21" s="1355"/>
    </row>
    <row r="22" spans="1:13" ht="14.25" customHeight="1" thickBot="1">
      <c r="A22" s="1333"/>
      <c r="B22" s="1333"/>
      <c r="C22" s="1365">
        <v>9</v>
      </c>
      <c r="D22" s="1357" t="s">
        <v>3983</v>
      </c>
      <c r="E22" s="1357"/>
      <c r="F22" s="1357"/>
      <c r="G22" s="1357"/>
      <c r="H22" s="1357"/>
      <c r="I22" s="1357"/>
      <c r="J22" s="4218" t="e">
        <f>J11/J19</f>
        <v>#VALUE!</v>
      </c>
      <c r="K22" s="4219"/>
    </row>
    <row r="23" spans="1:13" ht="9" customHeight="1">
      <c r="A23" s="1342"/>
      <c r="C23" s="1343"/>
      <c r="D23" s="1343"/>
      <c r="E23" s="1343"/>
      <c r="F23" s="1343"/>
      <c r="G23" s="1343"/>
      <c r="H23" s="1343"/>
      <c r="I23" s="1343"/>
      <c r="J23" s="1343"/>
      <c r="K23" s="1344"/>
    </row>
    <row r="24" spans="1:13" ht="18">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0" t="s">
        <v>4014</v>
      </c>
      <c r="B30" s="4181"/>
      <c r="C30" s="4181"/>
      <c r="D30" s="4181"/>
      <c r="E30" s="4181"/>
      <c r="F30" s="4181"/>
      <c r="G30" s="4181"/>
      <c r="H30" s="4181"/>
      <c r="I30" s="4181"/>
      <c r="J30" s="4181"/>
      <c r="K30" s="4182"/>
    </row>
    <row r="31" spans="1:13">
      <c r="B31" s="4843" t="s">
        <v>3971</v>
      </c>
      <c r="C31" s="4843"/>
      <c r="D31" s="4843"/>
      <c r="E31" s="4843"/>
      <c r="F31" s="4843"/>
      <c r="G31" s="4184" t="s">
        <v>3985</v>
      </c>
      <c r="H31" s="4185"/>
      <c r="I31" s="4185"/>
      <c r="J31" s="4185"/>
      <c r="K31" s="4186"/>
    </row>
    <row r="32" spans="1:13" ht="56.25" customHeight="1">
      <c r="A32" s="1351"/>
      <c r="B32" s="1369" t="s">
        <v>4013</v>
      </c>
      <c r="C32" s="1370" t="s">
        <v>4009</v>
      </c>
      <c r="D32" s="1370" t="s">
        <v>4008</v>
      </c>
      <c r="E32" s="4187" t="s">
        <v>6099</v>
      </c>
      <c r="F32" s="4188"/>
      <c r="G32" s="1371" t="s">
        <v>3986</v>
      </c>
      <c r="H32" s="1371" t="s">
        <v>3987</v>
      </c>
      <c r="J32" s="1371" t="s">
        <v>3988</v>
      </c>
      <c r="K32" s="1371" t="s">
        <v>3989</v>
      </c>
      <c r="L32" s="4175" t="s">
        <v>3990</v>
      </c>
      <c r="M32" s="4175"/>
    </row>
    <row r="33" spans="2:14" ht="12.75" customHeight="1">
      <c r="B33" s="1494"/>
      <c r="C33" s="1495"/>
      <c r="D33" s="1496"/>
      <c r="E33" s="4835"/>
      <c r="F33" s="4836"/>
      <c r="G33" s="1387" t="e">
        <f t="shared" ref="G33:G51" si="0">$J$22*B33</f>
        <v>#VALUE!</v>
      </c>
      <c r="H33" s="1388" t="e">
        <f>ROUNDUP(G33,0)</f>
        <v>#VALUE!</v>
      </c>
      <c r="I33" s="1389"/>
      <c r="J33" s="1390" t="e">
        <f t="shared" ref="J33:J51" si="1">$J$20*E33</f>
        <v>#VALUE!</v>
      </c>
      <c r="K33" s="1390" t="e">
        <f t="shared" ref="K33:K51" si="2">ROUNDDOWN(J33*H33,0)</f>
        <v>#VALUE!</v>
      </c>
      <c r="L33" s="4175"/>
      <c r="M33" s="4175"/>
    </row>
    <row r="34" spans="2:14" ht="12.75" customHeight="1">
      <c r="B34" s="1497"/>
      <c r="C34" s="1498"/>
      <c r="D34" s="1499"/>
      <c r="E34" s="4837"/>
      <c r="F34" s="4838"/>
      <c r="G34" s="1391" t="e">
        <f t="shared" si="0"/>
        <v>#VALUE!</v>
      </c>
      <c r="H34" s="1392" t="e">
        <f t="shared" ref="H34:H51" si="3">ROUNDUP(G34,0)</f>
        <v>#VALUE!</v>
      </c>
      <c r="I34" s="1389"/>
      <c r="J34" s="1393" t="e">
        <f t="shared" si="1"/>
        <v>#VALUE!</v>
      </c>
      <c r="K34" s="1393" t="e">
        <f t="shared" si="2"/>
        <v>#VALUE!</v>
      </c>
      <c r="L34" s="4175"/>
      <c r="M34" s="4175"/>
    </row>
    <row r="35" spans="2:14" ht="12.75" customHeight="1">
      <c r="B35" s="1497"/>
      <c r="C35" s="1498"/>
      <c r="D35" s="1499"/>
      <c r="E35" s="4837"/>
      <c r="F35" s="4838"/>
      <c r="G35" s="1391" t="e">
        <f t="shared" si="0"/>
        <v>#VALUE!</v>
      </c>
      <c r="H35" s="1392" t="e">
        <f t="shared" si="3"/>
        <v>#VALUE!</v>
      </c>
      <c r="I35" s="1389"/>
      <c r="J35" s="1393" t="e">
        <f t="shared" si="1"/>
        <v>#VALUE!</v>
      </c>
      <c r="K35" s="1393" t="e">
        <f t="shared" si="2"/>
        <v>#VALUE!</v>
      </c>
      <c r="L35" s="4175"/>
      <c r="M35" s="4175"/>
    </row>
    <row r="36" spans="2:14" ht="12.75" customHeight="1">
      <c r="B36" s="1497"/>
      <c r="C36" s="1498"/>
      <c r="D36" s="1499"/>
      <c r="E36" s="4837"/>
      <c r="F36" s="4838"/>
      <c r="G36" s="1391" t="e">
        <f t="shared" si="0"/>
        <v>#VALUE!</v>
      </c>
      <c r="H36" s="1392" t="e">
        <f t="shared" si="3"/>
        <v>#VALUE!</v>
      </c>
      <c r="I36" s="1389"/>
      <c r="J36" s="1393" t="e">
        <f t="shared" si="1"/>
        <v>#VALUE!</v>
      </c>
      <c r="K36" s="1393" t="e">
        <f t="shared" si="2"/>
        <v>#VALUE!</v>
      </c>
      <c r="L36" s="4175"/>
      <c r="M36" s="4175"/>
      <c r="N36" s="1346"/>
    </row>
    <row r="37" spans="2:14" ht="12.75" customHeight="1">
      <c r="B37" s="1497"/>
      <c r="C37" s="1498"/>
      <c r="D37" s="1499"/>
      <c r="E37" s="4837"/>
      <c r="F37" s="4838"/>
      <c r="G37" s="1391" t="e">
        <f t="shared" si="0"/>
        <v>#VALUE!</v>
      </c>
      <c r="H37" s="1392" t="e">
        <f t="shared" si="3"/>
        <v>#VALUE!</v>
      </c>
      <c r="I37" s="1389"/>
      <c r="J37" s="1393" t="e">
        <f t="shared" si="1"/>
        <v>#VALUE!</v>
      </c>
      <c r="K37" s="1393" t="e">
        <f t="shared" si="2"/>
        <v>#VALUE!</v>
      </c>
      <c r="L37" s="4175"/>
      <c r="M37" s="4175"/>
    </row>
    <row r="38" spans="2:14" ht="12.75" customHeight="1">
      <c r="B38" s="1497"/>
      <c r="C38" s="1498"/>
      <c r="D38" s="1499"/>
      <c r="E38" s="4837"/>
      <c r="F38" s="4838"/>
      <c r="G38" s="1391" t="e">
        <f t="shared" si="0"/>
        <v>#VALUE!</v>
      </c>
      <c r="H38" s="1392" t="e">
        <f t="shared" si="3"/>
        <v>#VALUE!</v>
      </c>
      <c r="I38" s="1389"/>
      <c r="J38" s="1393" t="e">
        <f t="shared" si="1"/>
        <v>#VALUE!</v>
      </c>
      <c r="K38" s="1393" t="e">
        <f t="shared" si="2"/>
        <v>#VALUE!</v>
      </c>
      <c r="L38" s="4175"/>
      <c r="M38" s="4175"/>
    </row>
    <row r="39" spans="2:14" ht="12.75" customHeight="1">
      <c r="B39" s="1497"/>
      <c r="C39" s="1498"/>
      <c r="D39" s="1499"/>
      <c r="E39" s="4837"/>
      <c r="F39" s="4838"/>
      <c r="G39" s="1391" t="e">
        <f t="shared" si="0"/>
        <v>#VALUE!</v>
      </c>
      <c r="H39" s="1392" t="e">
        <f t="shared" si="3"/>
        <v>#VALUE!</v>
      </c>
      <c r="I39" s="1389"/>
      <c r="J39" s="1393" t="e">
        <f t="shared" si="1"/>
        <v>#VALUE!</v>
      </c>
      <c r="K39" s="1393" t="e">
        <f t="shared" si="2"/>
        <v>#VALUE!</v>
      </c>
      <c r="L39" s="4175"/>
      <c r="M39" s="4175"/>
    </row>
    <row r="40" spans="2:14" ht="12.75" customHeight="1">
      <c r="B40" s="1497"/>
      <c r="C40" s="1498"/>
      <c r="D40" s="1499"/>
      <c r="E40" s="4837"/>
      <c r="F40" s="4838"/>
      <c r="G40" s="1391" t="e">
        <f t="shared" si="0"/>
        <v>#VALUE!</v>
      </c>
      <c r="H40" s="1392" t="e">
        <f t="shared" si="3"/>
        <v>#VALUE!</v>
      </c>
      <c r="I40" s="1389"/>
      <c r="J40" s="1393" t="e">
        <f t="shared" si="1"/>
        <v>#VALUE!</v>
      </c>
      <c r="K40" s="1393" t="e">
        <f t="shared" si="2"/>
        <v>#VALUE!</v>
      </c>
      <c r="L40" s="4175"/>
      <c r="M40" s="4175"/>
    </row>
    <row r="41" spans="2:14" ht="12.75" customHeight="1">
      <c r="B41" s="1497"/>
      <c r="C41" s="1498"/>
      <c r="D41" s="1499"/>
      <c r="E41" s="4837"/>
      <c r="F41" s="4838"/>
      <c r="G41" s="1391" t="e">
        <f t="shared" si="0"/>
        <v>#VALUE!</v>
      </c>
      <c r="H41" s="1392" t="e">
        <f t="shared" si="3"/>
        <v>#VALUE!</v>
      </c>
      <c r="I41" s="1389"/>
      <c r="J41" s="1393" t="e">
        <f t="shared" si="1"/>
        <v>#VALUE!</v>
      </c>
      <c r="K41" s="1393" t="e">
        <f t="shared" si="2"/>
        <v>#VALUE!</v>
      </c>
      <c r="L41" s="4175"/>
      <c r="M41" s="4175"/>
    </row>
    <row r="42" spans="2:14" ht="12.75" customHeight="1">
      <c r="B42" s="1497"/>
      <c r="C42" s="1498"/>
      <c r="D42" s="1499"/>
      <c r="E42" s="4837"/>
      <c r="F42" s="4838"/>
      <c r="G42" s="1391" t="e">
        <f t="shared" si="0"/>
        <v>#VALUE!</v>
      </c>
      <c r="H42" s="1392" t="e">
        <f>ROUNDUP(G42,0)</f>
        <v>#VALUE!</v>
      </c>
      <c r="I42" s="1389"/>
      <c r="J42" s="1393" t="e">
        <f t="shared" si="1"/>
        <v>#VALUE!</v>
      </c>
      <c r="K42" s="1393" t="e">
        <f t="shared" si="2"/>
        <v>#VALUE!</v>
      </c>
      <c r="L42" s="4175"/>
      <c r="M42" s="4175"/>
    </row>
    <row r="43" spans="2:14" ht="12.75" customHeight="1">
      <c r="B43" s="1497"/>
      <c r="C43" s="1498"/>
      <c r="D43" s="1499"/>
      <c r="E43" s="4837"/>
      <c r="F43" s="4838"/>
      <c r="G43" s="1391" t="e">
        <f t="shared" si="0"/>
        <v>#VALUE!</v>
      </c>
      <c r="H43" s="1392" t="e">
        <f>ROUNDUP(G43,0)</f>
        <v>#VALUE!</v>
      </c>
      <c r="I43" s="1389"/>
      <c r="J43" s="1393" t="e">
        <f t="shared" si="1"/>
        <v>#VALUE!</v>
      </c>
      <c r="K43" s="1393" t="e">
        <f t="shared" si="2"/>
        <v>#VALUE!</v>
      </c>
      <c r="L43" s="4175"/>
      <c r="M43" s="4175"/>
    </row>
    <row r="44" spans="2:14" ht="12.75" customHeight="1">
      <c r="B44" s="1497"/>
      <c r="C44" s="1498"/>
      <c r="D44" s="1499"/>
      <c r="E44" s="4837"/>
      <c r="F44" s="4838"/>
      <c r="G44" s="1391" t="e">
        <f t="shared" si="0"/>
        <v>#VALUE!</v>
      </c>
      <c r="H44" s="1392" t="e">
        <f>ROUNDUP(G44,0)</f>
        <v>#VALUE!</v>
      </c>
      <c r="I44" s="1389"/>
      <c r="J44" s="1393" t="e">
        <f t="shared" si="1"/>
        <v>#VALUE!</v>
      </c>
      <c r="K44" s="1393" t="e">
        <f t="shared" si="2"/>
        <v>#VALUE!</v>
      </c>
      <c r="L44" s="4175"/>
      <c r="M44" s="4175"/>
    </row>
    <row r="45" spans="2:14" ht="12.75" customHeight="1">
      <c r="B45" s="1497"/>
      <c r="C45" s="1498"/>
      <c r="D45" s="1499"/>
      <c r="E45" s="4837"/>
      <c r="F45" s="4838"/>
      <c r="G45" s="1391" t="e">
        <f t="shared" si="0"/>
        <v>#VALUE!</v>
      </c>
      <c r="H45" s="1392" t="e">
        <f>ROUNDUP(G45,0)</f>
        <v>#VALUE!</v>
      </c>
      <c r="I45" s="1389"/>
      <c r="J45" s="1393" t="e">
        <f t="shared" si="1"/>
        <v>#VALUE!</v>
      </c>
      <c r="K45" s="1393" t="e">
        <f t="shared" si="2"/>
        <v>#VALUE!</v>
      </c>
      <c r="L45" s="4175"/>
      <c r="M45" s="4175"/>
    </row>
    <row r="46" spans="2:14" ht="12.75" customHeight="1">
      <c r="B46" s="1497"/>
      <c r="C46" s="1498"/>
      <c r="D46" s="1499"/>
      <c r="E46" s="4837"/>
      <c r="F46" s="4838"/>
      <c r="G46" s="1391" t="e">
        <f t="shared" si="0"/>
        <v>#VALUE!</v>
      </c>
      <c r="H46" s="1392" t="e">
        <f t="shared" si="3"/>
        <v>#VALUE!</v>
      </c>
      <c r="I46" s="1389"/>
      <c r="J46" s="1393" t="e">
        <f t="shared" si="1"/>
        <v>#VALUE!</v>
      </c>
      <c r="K46" s="1393" t="e">
        <f t="shared" si="2"/>
        <v>#VALUE!</v>
      </c>
      <c r="L46" s="4175"/>
      <c r="M46" s="4175"/>
    </row>
    <row r="47" spans="2:14" ht="12.75" customHeight="1">
      <c r="B47" s="1497"/>
      <c r="C47" s="1498"/>
      <c r="D47" s="1499"/>
      <c r="E47" s="4837"/>
      <c r="F47" s="4838"/>
      <c r="G47" s="1391" t="e">
        <f t="shared" si="0"/>
        <v>#VALUE!</v>
      </c>
      <c r="H47" s="1392" t="e">
        <f t="shared" si="3"/>
        <v>#VALUE!</v>
      </c>
      <c r="I47" s="1389"/>
      <c r="J47" s="1393" t="e">
        <f t="shared" si="1"/>
        <v>#VALUE!</v>
      </c>
      <c r="K47" s="1393" t="e">
        <f t="shared" si="2"/>
        <v>#VALUE!</v>
      </c>
      <c r="L47" s="4175"/>
      <c r="M47" s="4175"/>
    </row>
    <row r="48" spans="2:14" ht="12.75" customHeight="1">
      <c r="B48" s="1497"/>
      <c r="C48" s="1498"/>
      <c r="D48" s="1499"/>
      <c r="E48" s="4837"/>
      <c r="F48" s="4838"/>
      <c r="G48" s="1391" t="e">
        <f t="shared" si="0"/>
        <v>#VALUE!</v>
      </c>
      <c r="H48" s="1392" t="e">
        <f>ROUNDUP(G48,0)</f>
        <v>#VALUE!</v>
      </c>
      <c r="I48" s="1389"/>
      <c r="J48" s="1393" t="e">
        <f t="shared" si="1"/>
        <v>#VALUE!</v>
      </c>
      <c r="K48" s="1393" t="e">
        <f t="shared" si="2"/>
        <v>#VALUE!</v>
      </c>
      <c r="L48" s="4175"/>
      <c r="M48" s="4175"/>
    </row>
    <row r="49" spans="1:13" ht="12.75" customHeight="1">
      <c r="B49" s="1497"/>
      <c r="C49" s="1498"/>
      <c r="D49" s="1499"/>
      <c r="E49" s="4837"/>
      <c r="F49" s="4838"/>
      <c r="G49" s="1391" t="e">
        <f t="shared" si="0"/>
        <v>#VALUE!</v>
      </c>
      <c r="H49" s="1392" t="e">
        <f t="shared" si="3"/>
        <v>#VALUE!</v>
      </c>
      <c r="I49" s="1389"/>
      <c r="J49" s="1393" t="e">
        <f t="shared" si="1"/>
        <v>#VALUE!</v>
      </c>
      <c r="K49" s="1393" t="e">
        <f t="shared" si="2"/>
        <v>#VALUE!</v>
      </c>
      <c r="L49" s="4175"/>
      <c r="M49" s="4175"/>
    </row>
    <row r="50" spans="1:13" ht="12.75" customHeight="1">
      <c r="B50" s="1497"/>
      <c r="C50" s="1498"/>
      <c r="D50" s="1499"/>
      <c r="E50" s="4837"/>
      <c r="F50" s="4838"/>
      <c r="G50" s="1391" t="e">
        <f t="shared" si="0"/>
        <v>#VALUE!</v>
      </c>
      <c r="H50" s="1392" t="e">
        <f t="shared" si="3"/>
        <v>#VALUE!</v>
      </c>
      <c r="I50" s="1389"/>
      <c r="J50" s="1393" t="e">
        <f t="shared" si="1"/>
        <v>#VALUE!</v>
      </c>
      <c r="K50" s="1393" t="e">
        <f t="shared" si="2"/>
        <v>#VALUE!</v>
      </c>
      <c r="L50" s="4175"/>
      <c r="M50" s="4175"/>
    </row>
    <row r="51" spans="1:13" ht="12.75" customHeight="1" thickBot="1">
      <c r="B51" s="1500"/>
      <c r="C51" s="1501"/>
      <c r="D51" s="1502"/>
      <c r="E51" s="4846"/>
      <c r="F51" s="4847"/>
      <c r="G51" s="1394" t="e">
        <f t="shared" si="0"/>
        <v>#VALUE!</v>
      </c>
      <c r="H51" s="1395" t="e">
        <f t="shared" si="3"/>
        <v>#VALUE!</v>
      </c>
      <c r="I51" s="1389"/>
      <c r="J51" s="1396" t="e">
        <f t="shared" si="1"/>
        <v>#VALUE!</v>
      </c>
      <c r="K51" s="1396" t="e">
        <f t="shared" si="2"/>
        <v>#VALUE!</v>
      </c>
      <c r="L51" s="4175"/>
      <c r="M51" s="4175"/>
    </row>
    <row r="52" spans="1:13" ht="15" customHeight="1" thickBot="1">
      <c r="B52" s="1362"/>
      <c r="D52" s="1356"/>
      <c r="E52" s="1356"/>
      <c r="F52" s="1356"/>
      <c r="G52" s="1373" t="s">
        <v>3991</v>
      </c>
      <c r="H52" s="1372" t="e">
        <f>SUM(H33:H51)</f>
        <v>#VALUE!</v>
      </c>
      <c r="I52" s="1356"/>
      <c r="J52" s="1362" t="s">
        <v>3992</v>
      </c>
      <c r="K52" s="1358" t="e">
        <f>SUM(K33:K51)</f>
        <v>#VALUE!</v>
      </c>
      <c r="L52" s="4175"/>
      <c r="M52" s="4175"/>
    </row>
    <row r="53" spans="1:13" ht="15" customHeight="1">
      <c r="B53" s="1363"/>
      <c r="C53" s="4194" t="s">
        <v>3993</v>
      </c>
      <c r="D53" s="4194"/>
      <c r="E53" s="4194"/>
      <c r="F53" s="4194"/>
      <c r="G53" s="4194"/>
      <c r="H53" s="4194"/>
      <c r="I53" s="4194"/>
      <c r="J53" s="4195"/>
      <c r="K53" s="1364" t="str">
        <f>IF(J17="no",0,IF(J17="yes",J16,"Error"))</f>
        <v>Error</v>
      </c>
      <c r="L53" s="4175"/>
      <c r="M53" s="4175"/>
    </row>
    <row r="54" spans="1:13" ht="15" customHeight="1" thickBot="1">
      <c r="B54" s="1363"/>
      <c r="C54" s="4196" t="s">
        <v>3994</v>
      </c>
      <c r="D54" s="4196"/>
      <c r="E54" s="4196"/>
      <c r="F54" s="4196"/>
      <c r="G54" s="4196"/>
      <c r="H54" s="4196"/>
      <c r="I54" s="4196"/>
      <c r="J54" s="4197"/>
      <c r="K54" s="1375" t="e">
        <f>K52+K53</f>
        <v>#VALUE!</v>
      </c>
    </row>
    <row r="55" spans="1:13" ht="7.95" customHeight="1">
      <c r="A55" s="4198"/>
      <c r="B55" s="4199"/>
      <c r="C55" s="4199"/>
      <c r="D55" s="4199"/>
      <c r="E55" s="4199"/>
      <c r="F55" s="4199"/>
      <c r="G55" s="4199"/>
      <c r="H55" s="4199"/>
      <c r="I55" s="4199"/>
      <c r="J55" s="4199"/>
      <c r="K55" s="1386"/>
    </row>
    <row r="56" spans="1:13" ht="15" customHeight="1">
      <c r="A56" s="4189" t="s">
        <v>3995</v>
      </c>
      <c r="B56" s="4190"/>
      <c r="C56" s="4190"/>
      <c r="D56" s="4190"/>
      <c r="E56" s="4190"/>
      <c r="F56" s="4190"/>
      <c r="G56" s="4190"/>
      <c r="H56" s="4190"/>
      <c r="I56" s="4190"/>
      <c r="J56" s="4190"/>
      <c r="K56" s="4191"/>
    </row>
    <row r="57" spans="1:13" ht="48" customHeight="1">
      <c r="A57" s="1348"/>
      <c r="B57" s="1339"/>
      <c r="C57" s="1350" t="s">
        <v>3996</v>
      </c>
      <c r="D57" s="1483" t="s">
        <v>6064</v>
      </c>
      <c r="E57" s="4200" t="s">
        <v>4012</v>
      </c>
      <c r="F57" s="4201"/>
      <c r="G57" s="4839" t="s">
        <v>3997</v>
      </c>
      <c r="H57" s="4840"/>
      <c r="I57" s="4200" t="s">
        <v>4011</v>
      </c>
      <c r="J57" s="4201"/>
      <c r="K57" s="4204"/>
    </row>
    <row r="58" spans="1:13" ht="15" customHeight="1">
      <c r="A58" s="1465"/>
      <c r="B58" s="1381"/>
      <c r="C58" s="1359">
        <f>SUMIF(C33:C51, "0", H33:H51)</f>
        <v>0</v>
      </c>
      <c r="D58" s="1484">
        <f t="shared" ref="D58:D63" si="4">ROUNDUP(C58*1.1,0)</f>
        <v>0</v>
      </c>
      <c r="E58" s="4206" t="s">
        <v>3998</v>
      </c>
      <c r="F58" s="4207"/>
      <c r="G58" s="4841">
        <f>'DCA Underwriting Assumptions'!H129</f>
        <v>159753.60000000001</v>
      </c>
      <c r="H58" s="4842"/>
      <c r="I58" s="4210">
        <f t="shared" ref="I58:I63" si="5">D58*G58</f>
        <v>0</v>
      </c>
      <c r="J58" s="4210"/>
      <c r="K58" s="4205"/>
    </row>
    <row r="59" spans="1:13">
      <c r="A59" s="1465"/>
      <c r="B59" s="1381"/>
      <c r="C59" s="1360">
        <f>SUMIF(C33:C51, "1", H33:H51)</f>
        <v>0</v>
      </c>
      <c r="D59" s="1485">
        <f t="shared" si="4"/>
        <v>0</v>
      </c>
      <c r="E59" s="4211" t="s">
        <v>2462</v>
      </c>
      <c r="F59" s="4212"/>
      <c r="G59" s="4833">
        <f>'DCA Underwriting Assumptions'!H130</f>
        <v>183132</v>
      </c>
      <c r="H59" s="4834"/>
      <c r="I59" s="4213">
        <f t="shared" si="5"/>
        <v>0</v>
      </c>
      <c r="J59" s="4213"/>
      <c r="K59" s="4205"/>
    </row>
    <row r="60" spans="1:13" ht="15" customHeight="1">
      <c r="A60" s="1465"/>
      <c r="B60" s="1381"/>
      <c r="C60" s="1360">
        <f>SUMIF(C33:C51, "2", H33:H51)</f>
        <v>0</v>
      </c>
      <c r="D60" s="1485">
        <f t="shared" si="4"/>
        <v>0</v>
      </c>
      <c r="E60" s="4211" t="s">
        <v>2463</v>
      </c>
      <c r="F60" s="4212"/>
      <c r="G60" s="4833">
        <f>'DCA Underwriting Assumptions'!H131</f>
        <v>222693.6</v>
      </c>
      <c r="H60" s="4834"/>
      <c r="I60" s="4213">
        <f t="shared" si="5"/>
        <v>0</v>
      </c>
      <c r="J60" s="4213"/>
      <c r="K60" s="4205"/>
    </row>
    <row r="61" spans="1:13">
      <c r="A61" s="1465"/>
      <c r="B61" s="1381"/>
      <c r="C61" s="1360">
        <f>SUMIF(C33:C51, "3", H33:H51)</f>
        <v>0</v>
      </c>
      <c r="D61" s="1485">
        <f t="shared" si="4"/>
        <v>0</v>
      </c>
      <c r="E61" s="4211" t="s">
        <v>2466</v>
      </c>
      <c r="F61" s="4212"/>
      <c r="G61" s="4833">
        <f>'DCA Underwriting Assumptions'!H132</f>
        <v>288093.59999999998</v>
      </c>
      <c r="H61" s="4834"/>
      <c r="I61" s="4213">
        <f t="shared" si="5"/>
        <v>0</v>
      </c>
      <c r="J61" s="4213"/>
      <c r="K61" s="4205"/>
    </row>
    <row r="62" spans="1:13">
      <c r="A62" s="1465"/>
      <c r="B62" s="1381"/>
      <c r="C62" s="1360">
        <f>SUMIF(C33:C51, "4", H33:H51)</f>
        <v>0</v>
      </c>
      <c r="D62" s="1485">
        <f t="shared" si="4"/>
        <v>0</v>
      </c>
      <c r="E62" s="4211" t="s">
        <v>3999</v>
      </c>
      <c r="F62" s="4212"/>
      <c r="G62" s="4833">
        <f>'DCA Underwriting Assumptions'!H133</f>
        <v>316236</v>
      </c>
      <c r="H62" s="4834"/>
      <c r="I62" s="4213">
        <f t="shared" si="5"/>
        <v>0</v>
      </c>
      <c r="J62" s="4213"/>
      <c r="K62" s="4205"/>
    </row>
    <row r="63" spans="1:13">
      <c r="A63" s="1482"/>
      <c r="B63" s="1382"/>
      <c r="C63" s="1361">
        <f>SUMIF(C33:C51, "5", H33:H51)</f>
        <v>0</v>
      </c>
      <c r="D63" s="1486">
        <f t="shared" si="4"/>
        <v>0</v>
      </c>
      <c r="E63" s="4215" t="s">
        <v>4000</v>
      </c>
      <c r="F63" s="4216"/>
      <c r="G63" s="4844">
        <f>'DCA Underwriting Assumptions'!H133</f>
        <v>316236</v>
      </c>
      <c r="H63" s="4845"/>
      <c r="I63" s="4217">
        <f t="shared" si="5"/>
        <v>0</v>
      </c>
      <c r="J63" s="4217"/>
      <c r="K63" s="1384"/>
    </row>
    <row r="64" spans="1:13" ht="14.4" thickBot="1">
      <c r="A64" s="1481" t="s">
        <v>4001</v>
      </c>
      <c r="B64" s="1377">
        <f>SUM(C58:C63)</f>
        <v>0</v>
      </c>
      <c r="C64" s="1487"/>
      <c r="D64" s="1487">
        <f>SUM(D58:D63)</f>
        <v>0</v>
      </c>
      <c r="E64" s="1480"/>
      <c r="F64" s="1480"/>
      <c r="G64" s="1480"/>
      <c r="H64" s="1480"/>
      <c r="I64" s="1480"/>
      <c r="J64" s="1466" t="s">
        <v>4002</v>
      </c>
      <c r="K64" s="1376">
        <f>SUM(I58:I62)</f>
        <v>0</v>
      </c>
    </row>
    <row r="65" spans="1:11">
      <c r="A65" s="4199"/>
      <c r="B65" s="4199"/>
      <c r="C65" s="4199"/>
      <c r="D65" s="4199"/>
      <c r="E65" s="4199"/>
      <c r="F65" s="4199"/>
      <c r="G65" s="4199"/>
      <c r="H65" s="4199"/>
      <c r="I65" s="4199"/>
      <c r="J65" s="4199"/>
    </row>
    <row r="66" spans="1:11">
      <c r="A66" s="4189" t="s">
        <v>4003</v>
      </c>
      <c r="B66" s="4190"/>
      <c r="C66" s="4190"/>
      <c r="D66" s="4190"/>
      <c r="E66" s="4190"/>
      <c r="F66" s="4190"/>
      <c r="G66" s="4190"/>
      <c r="H66" s="4190"/>
      <c r="I66" s="4190"/>
      <c r="J66" s="4190"/>
      <c r="K66" s="4191"/>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4.4" thickBot="1">
      <c r="A69" s="1380"/>
      <c r="B69" s="1340"/>
      <c r="C69" s="1340"/>
      <c r="D69" s="1340"/>
      <c r="E69" s="1340" t="s">
        <v>4006</v>
      </c>
      <c r="F69" s="1340"/>
      <c r="G69" s="1340"/>
      <c r="H69" s="1340"/>
      <c r="I69" s="1340"/>
      <c r="J69" s="1382"/>
      <c r="K69" s="1385">
        <f>K64</f>
        <v>0</v>
      </c>
    </row>
    <row r="70" spans="1:11" ht="14.4" thickBot="1">
      <c r="A70" s="1349"/>
      <c r="B70" s="1341"/>
      <c r="C70" s="4214" t="s">
        <v>4007</v>
      </c>
      <c r="D70" s="4214"/>
      <c r="E70" s="4214"/>
      <c r="F70" s="4214"/>
      <c r="G70" s="4214"/>
      <c r="H70" s="4214"/>
      <c r="I70" s="4214"/>
      <c r="J70" s="4214"/>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33203125" defaultRowHeight="13.2"/>
  <cols>
    <col min="1" max="1" width="3.44140625" style="432" customWidth="1"/>
    <col min="2" max="2" width="4.33203125" style="432" customWidth="1"/>
    <col min="3" max="3" width="18.5546875" style="432" customWidth="1"/>
    <col min="4" max="4" width="2.6640625" style="432" customWidth="1"/>
    <col min="5" max="5" width="6.5546875" style="432" customWidth="1"/>
    <col min="6" max="6" width="39.33203125" style="432" customWidth="1"/>
    <col min="7" max="8" width="8.44140625" style="432" customWidth="1"/>
    <col min="9" max="9" width="9.33203125" style="432"/>
    <col min="10" max="10" width="14.33203125" style="432" customWidth="1"/>
    <col min="11" max="16384" width="9.33203125" style="432"/>
  </cols>
  <sheetData>
    <row r="1" spans="1:11">
      <c r="A1" s="560" t="s">
        <v>2881</v>
      </c>
      <c r="H1" s="614" t="str">
        <f>'Sensitivity Analysis'!C8</f>
        <v>Brightwood Lane Apartments</v>
      </c>
    </row>
    <row r="2" spans="1:11">
      <c r="A2" s="560" t="s">
        <v>2882</v>
      </c>
      <c r="H2" s="432" t="str">
        <f>'Sensitivity Analysis'!E8</f>
        <v>2023-5</v>
      </c>
    </row>
    <row r="3" spans="1:11" ht="3" customHeight="1"/>
    <row r="4" spans="1:11" ht="51.75" customHeight="1">
      <c r="A4" s="4858" t="s">
        <v>2978</v>
      </c>
      <c r="B4" s="4858"/>
      <c r="C4" s="4858"/>
      <c r="D4" s="4858"/>
      <c r="E4" s="4858"/>
      <c r="F4" s="4858"/>
      <c r="G4" s="4858"/>
      <c r="H4" s="4858"/>
      <c r="J4" s="1009">
        <f>SUM('Part VI-Pro Forma'!B15:B17)/12</f>
        <v>22374.716666666664</v>
      </c>
      <c r="K4" s="1008" t="s">
        <v>3664</v>
      </c>
    </row>
    <row r="5" spans="1:11" ht="1.5" customHeight="1"/>
    <row r="6" spans="1:11" ht="12.75" customHeight="1">
      <c r="B6" s="635" t="s">
        <v>2240</v>
      </c>
      <c r="C6" s="4858" t="s">
        <v>2883</v>
      </c>
      <c r="D6" s="4858"/>
      <c r="E6" s="4858"/>
      <c r="F6" s="4858"/>
      <c r="G6" s="4858"/>
      <c r="H6" s="4858"/>
    </row>
    <row r="7" spans="1:11" ht="12.75" customHeight="1">
      <c r="B7" s="635" t="s">
        <v>2241</v>
      </c>
      <c r="C7" s="4858" t="s">
        <v>2884</v>
      </c>
      <c r="D7" s="4858"/>
      <c r="E7" s="4858"/>
      <c r="F7" s="4858"/>
      <c r="G7" s="4858"/>
      <c r="H7" s="4858"/>
    </row>
    <row r="8" spans="1:11" ht="3" customHeight="1"/>
    <row r="9" spans="1:11">
      <c r="A9" s="432" t="s">
        <v>2885</v>
      </c>
    </row>
    <row r="10" spans="1:11" ht="1.5" customHeight="1"/>
    <row r="11" spans="1:11" ht="26.25" customHeight="1">
      <c r="A11" s="636" t="s">
        <v>1841</v>
      </c>
      <c r="B11" s="4860" t="s">
        <v>2975</v>
      </c>
      <c r="C11" s="4860"/>
      <c r="D11" s="4860"/>
      <c r="E11" s="4860"/>
      <c r="F11" s="4860"/>
      <c r="G11" s="4861">
        <f>'Part II-Sources of Funds'!I51+'Part II-Sources of Funds'!I52</f>
        <v>2851890</v>
      </c>
      <c r="H11" s="4861"/>
    </row>
    <row r="12" spans="1:11" ht="1.5" customHeight="1">
      <c r="G12" s="617"/>
      <c r="H12" s="617"/>
    </row>
    <row r="13" spans="1:11" ht="26.25" customHeight="1">
      <c r="A13" s="636" t="s">
        <v>1843</v>
      </c>
      <c r="B13" s="4860" t="s">
        <v>2976</v>
      </c>
      <c r="C13" s="4860"/>
      <c r="D13" s="4860"/>
      <c r="E13" s="4860"/>
      <c r="F13" s="4860"/>
      <c r="G13" s="4862" t="s">
        <v>2813</v>
      </c>
      <c r="H13" s="4862"/>
    </row>
    <row r="14" spans="1:11" ht="12" hidden="1" customHeight="1">
      <c r="A14" s="636"/>
      <c r="B14" s="4826"/>
      <c r="C14" s="4826"/>
      <c r="D14" s="4826"/>
      <c r="E14" s="4826"/>
      <c r="F14" s="4826"/>
      <c r="G14" s="4826"/>
      <c r="H14" s="4826"/>
    </row>
    <row r="15" spans="1:11" ht="1.5" customHeight="1"/>
    <row r="16" spans="1:11" ht="12" customHeight="1">
      <c r="A16" s="636" t="s">
        <v>698</v>
      </c>
      <c r="B16" s="432" t="s">
        <v>2979</v>
      </c>
      <c r="G16" s="4863" t="s">
        <v>2652</v>
      </c>
      <c r="H16" s="4863"/>
    </row>
    <row r="17" spans="1:8" ht="1.5" customHeight="1">
      <c r="G17" s="620"/>
    </row>
    <row r="18" spans="1:8" ht="12" customHeight="1">
      <c r="A18" s="636" t="s">
        <v>1962</v>
      </c>
      <c r="B18" s="617" t="s">
        <v>2977</v>
      </c>
      <c r="C18" s="636"/>
      <c r="D18" s="636"/>
      <c r="E18" s="636"/>
      <c r="G18" s="4826" t="s">
        <v>2514</v>
      </c>
      <c r="H18" s="4826"/>
    </row>
    <row r="19" spans="1:8" ht="12" hidden="1" customHeight="1">
      <c r="B19" s="4826"/>
      <c r="C19" s="4826"/>
      <c r="D19" s="4826"/>
      <c r="E19" s="4826"/>
      <c r="F19" s="4826"/>
      <c r="G19" s="4826"/>
      <c r="H19" s="4826"/>
    </row>
    <row r="20" spans="1:8" ht="13.5" customHeight="1"/>
    <row r="21" spans="1:8" ht="12" customHeight="1">
      <c r="A21" s="560" t="s">
        <v>2886</v>
      </c>
    </row>
    <row r="22" spans="1:8" ht="3" customHeight="1"/>
    <row r="23" spans="1:8" ht="24.75" customHeight="1">
      <c r="A23" s="4864" t="s">
        <v>4081</v>
      </c>
      <c r="B23" s="4864"/>
      <c r="C23" s="4864"/>
      <c r="D23" s="4864"/>
      <c r="E23" s="4864"/>
      <c r="F23" s="4864"/>
      <c r="G23" s="4864"/>
      <c r="H23" s="4864"/>
    </row>
    <row r="24" spans="1:8" ht="9" customHeight="1" thickBot="1">
      <c r="A24" s="611"/>
    </row>
    <row r="25" spans="1:8" ht="16.2" customHeight="1" thickBot="1">
      <c r="A25" s="4865">
        <v>20</v>
      </c>
      <c r="B25" s="4866"/>
      <c r="C25" s="1451" t="s">
        <v>975</v>
      </c>
    </row>
    <row r="26" spans="1:8" ht="9" customHeight="1">
      <c r="A26" s="611"/>
    </row>
    <row r="27" spans="1:8" ht="28.2" customHeight="1">
      <c r="A27" s="4858" t="s">
        <v>4086</v>
      </c>
      <c r="B27" s="4858"/>
      <c r="C27" s="4858"/>
      <c r="D27" s="4858"/>
      <c r="E27" s="4858"/>
      <c r="F27" s="4858"/>
      <c r="G27" s="4858"/>
      <c r="H27" s="4858"/>
    </row>
    <row r="28" spans="1:8" ht="9" customHeight="1">
      <c r="A28" s="611"/>
    </row>
    <row r="29" spans="1:8">
      <c r="A29" s="620" t="s">
        <v>2980</v>
      </c>
      <c r="B29" s="637" t="str">
        <f>IF('Part V-Revenues &amp; Expenses'!$K$62=0,"",'Part V-Revenues &amp; Expenses'!$K$62)</f>
        <v/>
      </c>
      <c r="C29" s="620" t="s">
        <v>4079</v>
      </c>
      <c r="D29" s="638" t="s">
        <v>4080</v>
      </c>
    </row>
    <row r="30" spans="1:8" ht="1.95" customHeight="1"/>
    <row r="31" spans="1:8" ht="12.75" customHeight="1">
      <c r="C31" s="617" t="s">
        <v>2887</v>
      </c>
      <c r="D31" s="639" t="s">
        <v>1844</v>
      </c>
      <c r="E31" s="640"/>
      <c r="F31" s="4858" t="s">
        <v>2888</v>
      </c>
      <c r="G31" s="4858"/>
      <c r="H31" s="4858"/>
    </row>
    <row r="32" spans="1:8" ht="12.75" customHeight="1">
      <c r="C32" s="641" t="s">
        <v>1275</v>
      </c>
      <c r="D32" s="639" t="s">
        <v>1846</v>
      </c>
      <c r="E32" s="4858" t="s">
        <v>2985</v>
      </c>
      <c r="F32" s="4858"/>
      <c r="G32" s="4858"/>
      <c r="H32" s="4858"/>
    </row>
    <row r="33" spans="1:11" ht="12.75" customHeight="1">
      <c r="C33" s="1449" t="s">
        <v>4084</v>
      </c>
      <c r="E33" s="4858" t="s">
        <v>3121</v>
      </c>
      <c r="F33" s="4858"/>
      <c r="G33" s="4858"/>
      <c r="H33" s="4858"/>
    </row>
    <row r="34" spans="1:11" ht="12.75" customHeight="1">
      <c r="C34" s="1450"/>
      <c r="D34" s="1448" t="s">
        <v>2984</v>
      </c>
      <c r="E34" s="4859" t="s">
        <v>3122</v>
      </c>
      <c r="F34" s="4859"/>
      <c r="G34" s="4859"/>
      <c r="H34" s="4859"/>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58" t="s">
        <v>2985</v>
      </c>
      <c r="F37" s="4858"/>
      <c r="G37" s="4858"/>
      <c r="H37" s="4858"/>
    </row>
    <row r="38" spans="1:11" ht="12.75" customHeight="1">
      <c r="C38" s="1449" t="s">
        <v>4084</v>
      </c>
      <c r="E38" s="4858" t="s">
        <v>3121</v>
      </c>
      <c r="F38" s="4858"/>
      <c r="G38" s="4858"/>
      <c r="H38" s="4858"/>
    </row>
    <row r="39" spans="1:11" ht="12.75" customHeight="1">
      <c r="C39" s="1450"/>
      <c r="D39" s="1448" t="s">
        <v>2984</v>
      </c>
      <c r="E39" s="4859" t="s">
        <v>3122</v>
      </c>
      <c r="F39" s="4859"/>
      <c r="G39" s="4859"/>
      <c r="H39" s="4859"/>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58" t="s">
        <v>2985</v>
      </c>
      <c r="F42" s="4858"/>
      <c r="G42" s="4858"/>
      <c r="H42" s="4858"/>
    </row>
    <row r="43" spans="1:11" ht="12.75" customHeight="1">
      <c r="C43" s="1449" t="s">
        <v>4084</v>
      </c>
      <c r="E43" s="4858" t="s">
        <v>3121</v>
      </c>
      <c r="F43" s="4858"/>
      <c r="G43" s="4858"/>
      <c r="H43" s="4858"/>
    </row>
    <row r="44" spans="1:11" ht="12.75" customHeight="1">
      <c r="C44" s="1450"/>
      <c r="D44" s="1448" t="s">
        <v>2984</v>
      </c>
      <c r="E44" s="4859" t="s">
        <v>3122</v>
      </c>
      <c r="F44" s="4859"/>
      <c r="G44" s="4859"/>
      <c r="H44" s="4859"/>
    </row>
    <row r="45" spans="1:11" ht="6" customHeight="1">
      <c r="D45" s="639"/>
      <c r="E45" s="1025"/>
      <c r="F45" s="1025"/>
      <c r="G45" s="1025"/>
      <c r="H45" s="1025"/>
    </row>
    <row r="46" spans="1:11">
      <c r="A46" s="620" t="s">
        <v>2980</v>
      </c>
      <c r="B46" s="637" t="str">
        <f>IF('Part V-Revenues &amp; Expenses'!$L$62=0,"",'Part V-Revenues &amp; Expenses'!$L$62)</f>
        <v/>
      </c>
      <c r="C46" s="620" t="s">
        <v>2981</v>
      </c>
      <c r="D46" s="638" t="s">
        <v>3123</v>
      </c>
    </row>
    <row r="47" spans="1:11" ht="1.95"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58" t="s">
        <v>2985</v>
      </c>
      <c r="F49" s="4858"/>
      <c r="G49" s="4858"/>
      <c r="H49" s="4858"/>
      <c r="K49" s="610"/>
    </row>
    <row r="50" spans="1:11" ht="12.75" customHeight="1">
      <c r="C50" s="1449" t="s">
        <v>4084</v>
      </c>
      <c r="E50" s="4858" t="s">
        <v>3121</v>
      </c>
      <c r="F50" s="4858"/>
      <c r="G50" s="4858"/>
      <c r="H50" s="4858"/>
    </row>
    <row r="51" spans="1:11" ht="12.75" customHeight="1">
      <c r="C51" s="1450"/>
      <c r="D51" s="642" t="s">
        <v>2984</v>
      </c>
      <c r="E51" s="4858" t="s">
        <v>3122</v>
      </c>
      <c r="F51" s="4858"/>
      <c r="G51" s="4858"/>
      <c r="H51" s="4858"/>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58" t="s">
        <v>2985</v>
      </c>
      <c r="F54" s="4858"/>
      <c r="G54" s="4858"/>
      <c r="H54" s="4858"/>
    </row>
    <row r="55" spans="1:11" ht="12.75" customHeight="1">
      <c r="C55" s="1449" t="s">
        <v>4084</v>
      </c>
      <c r="E55" s="4858" t="s">
        <v>3121</v>
      </c>
      <c r="F55" s="4858"/>
      <c r="G55" s="4858"/>
      <c r="H55" s="4858"/>
    </row>
    <row r="56" spans="1:11" ht="12.75" customHeight="1">
      <c r="C56" s="1450"/>
      <c r="D56" s="1448" t="s">
        <v>2984</v>
      </c>
      <c r="E56" s="4859" t="s">
        <v>3122</v>
      </c>
      <c r="F56" s="4859"/>
      <c r="G56" s="4859"/>
      <c r="H56" s="4859"/>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58" t="s">
        <v>2985</v>
      </c>
      <c r="F59" s="4858"/>
      <c r="G59" s="4858"/>
      <c r="H59" s="4858"/>
    </row>
    <row r="60" spans="1:11" ht="12.75" customHeight="1">
      <c r="C60" s="1449" t="s">
        <v>4084</v>
      </c>
      <c r="E60" s="4858" t="s">
        <v>3121</v>
      </c>
      <c r="F60" s="4858"/>
      <c r="G60" s="4858"/>
      <c r="H60" s="4858"/>
    </row>
    <row r="61" spans="1:11" ht="12.75" customHeight="1">
      <c r="C61" s="1450"/>
      <c r="D61" s="1448" t="s">
        <v>2984</v>
      </c>
      <c r="E61" s="4859" t="s">
        <v>3122</v>
      </c>
      <c r="F61" s="4859"/>
      <c r="G61" s="4859"/>
      <c r="H61" s="4859"/>
    </row>
    <row r="62" spans="1:11" ht="6" customHeight="1">
      <c r="D62" s="639"/>
      <c r="E62" s="1025"/>
      <c r="F62" s="1025"/>
      <c r="G62" s="1025"/>
      <c r="H62" s="1025"/>
    </row>
    <row r="63" spans="1:11">
      <c r="A63" s="620" t="s">
        <v>2980</v>
      </c>
      <c r="B63" s="637" t="str">
        <f>IF('Part V-Revenues &amp; Expenses'!$M$62=0,"",'Part V-Revenues &amp; Expenses'!$M$62)</f>
        <v/>
      </c>
      <c r="C63" s="620" t="s">
        <v>2982</v>
      </c>
      <c r="D63" s="638" t="s">
        <v>3124</v>
      </c>
    </row>
    <row r="64" spans="1:11" ht="1.95" customHeight="1"/>
    <row r="65" spans="1:8" ht="12.75" customHeight="1">
      <c r="C65" s="617" t="s">
        <v>2887</v>
      </c>
      <c r="D65" s="639" t="s">
        <v>1844</v>
      </c>
      <c r="E65" s="640"/>
      <c r="F65" s="636" t="s">
        <v>2888</v>
      </c>
      <c r="G65" s="636"/>
      <c r="H65" s="636"/>
    </row>
    <row r="66" spans="1:8" ht="12.75" customHeight="1">
      <c r="C66" s="641" t="s">
        <v>1275</v>
      </c>
      <c r="D66" s="639" t="s">
        <v>1846</v>
      </c>
      <c r="E66" s="4858" t="s">
        <v>2985</v>
      </c>
      <c r="F66" s="4858"/>
      <c r="G66" s="4858"/>
      <c r="H66" s="4858"/>
    </row>
    <row r="67" spans="1:8" ht="12.75" customHeight="1">
      <c r="C67" s="1449" t="s">
        <v>4084</v>
      </c>
      <c r="E67" s="4858" t="s">
        <v>3121</v>
      </c>
      <c r="F67" s="4858"/>
      <c r="G67" s="4858"/>
      <c r="H67" s="4858"/>
    </row>
    <row r="68" spans="1:8" ht="12.75" customHeight="1">
      <c r="C68" s="1450"/>
      <c r="D68" s="642" t="s">
        <v>2984</v>
      </c>
      <c r="E68" s="4858" t="s">
        <v>3122</v>
      </c>
      <c r="F68" s="4858"/>
      <c r="G68" s="4858"/>
      <c r="H68" s="4858"/>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58" t="s">
        <v>2985</v>
      </c>
      <c r="F71" s="4858"/>
      <c r="G71" s="4858"/>
      <c r="H71" s="4858"/>
    </row>
    <row r="72" spans="1:8" ht="12.75" customHeight="1">
      <c r="C72" s="1449" t="s">
        <v>4084</v>
      </c>
      <c r="E72" s="4858" t="s">
        <v>3121</v>
      </c>
      <c r="F72" s="4858"/>
      <c r="G72" s="4858"/>
      <c r="H72" s="4858"/>
    </row>
    <row r="73" spans="1:8" ht="12.75" customHeight="1">
      <c r="C73" s="1450"/>
      <c r="D73" s="1448" t="s">
        <v>2984</v>
      </c>
      <c r="E73" s="4859" t="s">
        <v>3122</v>
      </c>
      <c r="F73" s="4859"/>
      <c r="G73" s="4859"/>
      <c r="H73" s="4859"/>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58" t="s">
        <v>2985</v>
      </c>
      <c r="F76" s="4858"/>
      <c r="G76" s="4858"/>
      <c r="H76" s="4858"/>
    </row>
    <row r="77" spans="1:8" ht="12.75" customHeight="1">
      <c r="C77" s="1449" t="s">
        <v>4084</v>
      </c>
      <c r="E77" s="4858" t="s">
        <v>3121</v>
      </c>
      <c r="F77" s="4858"/>
      <c r="G77" s="4858"/>
      <c r="H77" s="4858"/>
    </row>
    <row r="78" spans="1:8" ht="12.75" customHeight="1">
      <c r="C78" s="1450"/>
      <c r="D78" s="1448" t="s">
        <v>2984</v>
      </c>
      <c r="E78" s="4859" t="s">
        <v>3122</v>
      </c>
      <c r="F78" s="4859"/>
      <c r="G78" s="4859"/>
      <c r="H78" s="4859"/>
    </row>
    <row r="79" spans="1:8" ht="6" customHeight="1">
      <c r="D79" s="639"/>
      <c r="E79" s="1025"/>
      <c r="F79" s="1025"/>
      <c r="G79" s="1025"/>
      <c r="H79" s="1025"/>
    </row>
    <row r="80" spans="1:8">
      <c r="A80" s="620" t="s">
        <v>2980</v>
      </c>
      <c r="B80" s="637" t="str">
        <f>IF('Part V-Revenues &amp; Expenses'!$N$62=0,"",'Part V-Revenues &amp; Expenses'!$N$62)</f>
        <v/>
      </c>
      <c r="C80" s="620" t="s">
        <v>2983</v>
      </c>
      <c r="D80" s="638" t="s">
        <v>3125</v>
      </c>
    </row>
    <row r="81" spans="3:8" ht="1.95" customHeight="1"/>
    <row r="82" spans="3:8" ht="12.75" customHeight="1">
      <c r="C82" s="617" t="s">
        <v>2887</v>
      </c>
      <c r="D82" s="639" t="s">
        <v>1844</v>
      </c>
      <c r="E82" s="640"/>
      <c r="F82" s="636" t="s">
        <v>2888</v>
      </c>
      <c r="G82" s="636"/>
      <c r="H82" s="636"/>
    </row>
    <row r="83" spans="3:8" ht="12.75" customHeight="1">
      <c r="C83" s="641" t="s">
        <v>1275</v>
      </c>
      <c r="D83" s="639" t="s">
        <v>1846</v>
      </c>
      <c r="E83" s="4858" t="s">
        <v>2985</v>
      </c>
      <c r="F83" s="4858"/>
      <c r="G83" s="4858"/>
      <c r="H83" s="4858"/>
    </row>
    <row r="84" spans="3:8" ht="12.75" customHeight="1">
      <c r="C84" s="1449" t="s">
        <v>4084</v>
      </c>
      <c r="E84" s="4858" t="s">
        <v>3121</v>
      </c>
      <c r="F84" s="4858"/>
      <c r="G84" s="4858"/>
      <c r="H84" s="4858"/>
    </row>
    <row r="85" spans="3:8" ht="12.75" customHeight="1">
      <c r="C85" s="1450"/>
      <c r="D85" s="642" t="s">
        <v>2984</v>
      </c>
      <c r="E85" s="4858" t="s">
        <v>3122</v>
      </c>
      <c r="F85" s="4858"/>
      <c r="G85" s="4858"/>
      <c r="H85" s="4858"/>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58" t="s">
        <v>2985</v>
      </c>
      <c r="F88" s="4858"/>
      <c r="G88" s="4858"/>
      <c r="H88" s="4858"/>
    </row>
    <row r="89" spans="3:8" ht="12.75" customHeight="1">
      <c r="C89" s="1449" t="s">
        <v>4084</v>
      </c>
      <c r="E89" s="4858" t="s">
        <v>3121</v>
      </c>
      <c r="F89" s="4858"/>
      <c r="G89" s="4858"/>
      <c r="H89" s="4858"/>
    </row>
    <row r="90" spans="3:8" ht="12.75" customHeight="1">
      <c r="C90" s="1450"/>
      <c r="D90" s="1448" t="s">
        <v>2984</v>
      </c>
      <c r="E90" s="4859" t="s">
        <v>3122</v>
      </c>
      <c r="F90" s="4859"/>
      <c r="G90" s="4859"/>
      <c r="H90" s="4859"/>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58" t="s">
        <v>2985</v>
      </c>
      <c r="F93" s="4858"/>
      <c r="G93" s="4858"/>
      <c r="H93" s="4858"/>
    </row>
    <row r="94" spans="3:8" ht="12.75" customHeight="1">
      <c r="C94" s="1449" t="s">
        <v>4084</v>
      </c>
      <c r="E94" s="4858" t="s">
        <v>3121</v>
      </c>
      <c r="F94" s="4858"/>
      <c r="G94" s="4858"/>
      <c r="H94" s="4858"/>
    </row>
    <row r="95" spans="3:8" ht="12.75" customHeight="1">
      <c r="C95" s="1450"/>
      <c r="D95" s="1448" t="s">
        <v>2984</v>
      </c>
      <c r="E95" s="4859" t="s">
        <v>3122</v>
      </c>
      <c r="F95" s="4859"/>
      <c r="G95" s="4859"/>
      <c r="H95" s="4859"/>
    </row>
    <row r="96" spans="3:8" ht="6" customHeight="1">
      <c r="D96" s="639"/>
      <c r="E96" s="1025"/>
      <c r="F96" s="1025"/>
      <c r="G96" s="1025"/>
      <c r="H96" s="1025"/>
    </row>
    <row r="97" spans="1:11">
      <c r="A97" s="620" t="s">
        <v>2980</v>
      </c>
      <c r="B97" s="637" t="str">
        <f>IF('Part V-Revenues &amp; Expenses'!$O$62=0,"",'Part V-Revenues &amp; Expenses'!$O$62)</f>
        <v/>
      </c>
      <c r="C97" s="620" t="s">
        <v>4082</v>
      </c>
      <c r="D97" s="638" t="s">
        <v>4083</v>
      </c>
    </row>
    <row r="98" spans="1:11" ht="1.95" customHeight="1"/>
    <row r="99" spans="1:11" ht="12.75" customHeight="1">
      <c r="C99" s="617" t="s">
        <v>2887</v>
      </c>
      <c r="D99" s="639" t="s">
        <v>1844</v>
      </c>
      <c r="E99" s="640"/>
      <c r="F99" s="4858" t="s">
        <v>2888</v>
      </c>
      <c r="G99" s="4858"/>
      <c r="H99" s="4858"/>
      <c r="K99" s="432" t="s">
        <v>233</v>
      </c>
    </row>
    <row r="100" spans="1:11" ht="12.75" customHeight="1">
      <c r="C100" s="641" t="s">
        <v>1275</v>
      </c>
      <c r="D100" s="639" t="s">
        <v>1846</v>
      </c>
      <c r="E100" s="4858" t="s">
        <v>2986</v>
      </c>
      <c r="F100" s="4858"/>
      <c r="G100" s="4858"/>
      <c r="H100" s="4858"/>
    </row>
    <row r="101" spans="1:11" ht="12.75" customHeight="1">
      <c r="E101" s="4858" t="s">
        <v>3121</v>
      </c>
      <c r="F101" s="4858"/>
      <c r="G101" s="4858"/>
      <c r="H101" s="4858"/>
    </row>
    <row r="102" spans="1:11" ht="12.75" customHeight="1">
      <c r="D102" s="642" t="s">
        <v>2984</v>
      </c>
      <c r="E102" s="4858" t="s">
        <v>3122</v>
      </c>
      <c r="F102" s="4858"/>
      <c r="G102" s="4858"/>
      <c r="H102" s="4858"/>
    </row>
    <row r="103" spans="1:11" ht="9" customHeight="1" thickBot="1"/>
    <row r="104" spans="1:11" ht="16.2" customHeight="1" thickBot="1">
      <c r="A104" s="4865">
        <v>30</v>
      </c>
      <c r="B104" s="4866"/>
      <c r="C104" s="1451" t="s">
        <v>975</v>
      </c>
    </row>
    <row r="105" spans="1:11" ht="9" customHeight="1">
      <c r="A105" s="611"/>
    </row>
    <row r="106" spans="1:11" ht="28.2" customHeight="1">
      <c r="A106" s="4858" t="s">
        <v>4087</v>
      </c>
      <c r="B106" s="4858"/>
      <c r="C106" s="4858"/>
      <c r="D106" s="4858"/>
      <c r="E106" s="4858"/>
      <c r="F106" s="4858"/>
      <c r="G106" s="4858"/>
      <c r="H106" s="4858"/>
    </row>
    <row r="107" spans="1:11" ht="9" customHeight="1">
      <c r="A107" s="611"/>
    </row>
    <row r="108" spans="1:11">
      <c r="A108" s="620" t="s">
        <v>2980</v>
      </c>
      <c r="B108" s="637" t="str">
        <f>IF('Part V-Revenues &amp; Expenses'!$K$61=0,"",'Part V-Revenues &amp; Expenses'!$K$61)</f>
        <v/>
      </c>
      <c r="C108" s="620" t="s">
        <v>4079</v>
      </c>
      <c r="D108" s="638" t="s">
        <v>4080</v>
      </c>
    </row>
    <row r="109" spans="1:11" ht="1.95" customHeight="1"/>
    <row r="110" spans="1:11" ht="12.75" customHeight="1">
      <c r="C110" s="617" t="s">
        <v>2887</v>
      </c>
      <c r="D110" s="639" t="s">
        <v>1844</v>
      </c>
      <c r="E110" s="640"/>
      <c r="F110" s="4858" t="s">
        <v>2888</v>
      </c>
      <c r="G110" s="4858"/>
      <c r="H110" s="4858"/>
    </row>
    <row r="111" spans="1:11" ht="12.75" customHeight="1">
      <c r="C111" s="641" t="s">
        <v>1275</v>
      </c>
      <c r="D111" s="639" t="s">
        <v>1846</v>
      </c>
      <c r="E111" s="4858" t="s">
        <v>2985</v>
      </c>
      <c r="F111" s="4858"/>
      <c r="G111" s="4858"/>
      <c r="H111" s="4858"/>
    </row>
    <row r="112" spans="1:11" ht="12.75" customHeight="1">
      <c r="C112" s="1449" t="s">
        <v>4084</v>
      </c>
      <c r="E112" s="4858" t="s">
        <v>3121</v>
      </c>
      <c r="F112" s="4858"/>
      <c r="G112" s="4858"/>
      <c r="H112" s="4858"/>
    </row>
    <row r="113" spans="1:8" ht="12.75" customHeight="1">
      <c r="C113" s="1450"/>
      <c r="D113" s="1448" t="s">
        <v>2984</v>
      </c>
      <c r="E113" s="4859" t="s">
        <v>3122</v>
      </c>
      <c r="F113" s="4859"/>
      <c r="G113" s="4859"/>
      <c r="H113" s="4859"/>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58" t="s">
        <v>2985</v>
      </c>
      <c r="F116" s="4858"/>
      <c r="G116" s="4858"/>
      <c r="H116" s="4858"/>
    </row>
    <row r="117" spans="1:8" ht="12.75" customHeight="1">
      <c r="C117" s="1449" t="s">
        <v>4084</v>
      </c>
      <c r="E117" s="4858" t="s">
        <v>3121</v>
      </c>
      <c r="F117" s="4858"/>
      <c r="G117" s="4858"/>
      <c r="H117" s="4858"/>
    </row>
    <row r="118" spans="1:8" ht="12.75" customHeight="1">
      <c r="C118" s="1450"/>
      <c r="D118" s="1448" t="s">
        <v>2984</v>
      </c>
      <c r="E118" s="4859" t="s">
        <v>3122</v>
      </c>
      <c r="F118" s="4859"/>
      <c r="G118" s="4859"/>
      <c r="H118" s="4859"/>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58" t="s">
        <v>2985</v>
      </c>
      <c r="F121" s="4858"/>
      <c r="G121" s="4858"/>
      <c r="H121" s="4858"/>
    </row>
    <row r="122" spans="1:8" ht="12.75" customHeight="1">
      <c r="C122" s="1449" t="s">
        <v>4084</v>
      </c>
      <c r="E122" s="4858" t="s">
        <v>3121</v>
      </c>
      <c r="F122" s="4858"/>
      <c r="G122" s="4858"/>
      <c r="H122" s="4858"/>
    </row>
    <row r="123" spans="1:8" ht="12.75" customHeight="1">
      <c r="C123" s="1450"/>
      <c r="D123" s="1448" t="s">
        <v>2984</v>
      </c>
      <c r="E123" s="4859" t="s">
        <v>3122</v>
      </c>
      <c r="F123" s="4859"/>
      <c r="G123" s="4859"/>
      <c r="H123" s="4859"/>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3123</v>
      </c>
    </row>
    <row r="126" spans="1:8" ht="1.95" customHeight="1"/>
    <row r="127" spans="1:8" ht="12.75" customHeight="1">
      <c r="C127" s="617" t="s">
        <v>2887</v>
      </c>
      <c r="D127" s="639" t="s">
        <v>1844</v>
      </c>
      <c r="E127" s="640"/>
      <c r="F127" s="636" t="s">
        <v>2888</v>
      </c>
      <c r="G127" s="636"/>
      <c r="H127" s="636"/>
    </row>
    <row r="128" spans="1:8" ht="12.75" customHeight="1">
      <c r="C128" s="641" t="s">
        <v>1275</v>
      </c>
      <c r="D128" s="639" t="s">
        <v>1846</v>
      </c>
      <c r="E128" s="4858" t="s">
        <v>2985</v>
      </c>
      <c r="F128" s="4858"/>
      <c r="G128" s="4858"/>
      <c r="H128" s="4858"/>
    </row>
    <row r="129" spans="1:8" ht="12.75" customHeight="1">
      <c r="C129" s="1449" t="s">
        <v>4084</v>
      </c>
      <c r="E129" s="4858" t="s">
        <v>3121</v>
      </c>
      <c r="F129" s="4858"/>
      <c r="G129" s="4858"/>
      <c r="H129" s="4858"/>
    </row>
    <row r="130" spans="1:8" ht="12.75" customHeight="1">
      <c r="C130" s="1450"/>
      <c r="D130" s="642" t="s">
        <v>2984</v>
      </c>
      <c r="E130" s="4858" t="s">
        <v>3122</v>
      </c>
      <c r="F130" s="4858"/>
      <c r="G130" s="4858"/>
      <c r="H130" s="4858"/>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58" t="s">
        <v>2985</v>
      </c>
      <c r="F133" s="4858"/>
      <c r="G133" s="4858"/>
      <c r="H133" s="4858"/>
    </row>
    <row r="134" spans="1:8" ht="12.75" customHeight="1">
      <c r="C134" s="1449" t="s">
        <v>4084</v>
      </c>
      <c r="E134" s="4858" t="s">
        <v>3121</v>
      </c>
      <c r="F134" s="4858"/>
      <c r="G134" s="4858"/>
      <c r="H134" s="4858"/>
    </row>
    <row r="135" spans="1:8" ht="12.75" customHeight="1">
      <c r="C135" s="1450"/>
      <c r="D135" s="1448" t="s">
        <v>2984</v>
      </c>
      <c r="E135" s="4859" t="s">
        <v>3122</v>
      </c>
      <c r="F135" s="4859"/>
      <c r="G135" s="4859"/>
      <c r="H135" s="4859"/>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58" t="s">
        <v>2985</v>
      </c>
      <c r="F138" s="4858"/>
      <c r="G138" s="4858"/>
      <c r="H138" s="4858"/>
    </row>
    <row r="139" spans="1:8" ht="12.75" customHeight="1">
      <c r="C139" s="1449" t="s">
        <v>4084</v>
      </c>
      <c r="E139" s="4858" t="s">
        <v>3121</v>
      </c>
      <c r="F139" s="4858"/>
      <c r="G139" s="4858"/>
      <c r="H139" s="4858"/>
    </row>
    <row r="140" spans="1:8" ht="12.75" customHeight="1">
      <c r="C140" s="1450"/>
      <c r="D140" s="1448" t="s">
        <v>2984</v>
      </c>
      <c r="E140" s="4859" t="s">
        <v>3122</v>
      </c>
      <c r="F140" s="4859"/>
      <c r="G140" s="4859"/>
      <c r="H140" s="4859"/>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3124</v>
      </c>
    </row>
    <row r="143" spans="1:8" ht="1.95" customHeight="1"/>
    <row r="144" spans="1:8" ht="12.75" customHeight="1">
      <c r="C144" s="617" t="s">
        <v>2887</v>
      </c>
      <c r="D144" s="639" t="s">
        <v>1844</v>
      </c>
      <c r="E144" s="640"/>
      <c r="F144" s="636" t="s">
        <v>2888</v>
      </c>
      <c r="G144" s="636"/>
      <c r="H144" s="636"/>
    </row>
    <row r="145" spans="1:8" ht="12.75" customHeight="1">
      <c r="C145" s="641" t="s">
        <v>1275</v>
      </c>
      <c r="D145" s="639" t="s">
        <v>1846</v>
      </c>
      <c r="E145" s="4858" t="s">
        <v>2985</v>
      </c>
      <c r="F145" s="4858"/>
      <c r="G145" s="4858"/>
      <c r="H145" s="4858"/>
    </row>
    <row r="146" spans="1:8" ht="12.75" customHeight="1">
      <c r="C146" s="1449" t="s">
        <v>4084</v>
      </c>
      <c r="E146" s="4858" t="s">
        <v>3121</v>
      </c>
      <c r="F146" s="4858"/>
      <c r="G146" s="4858"/>
      <c r="H146" s="4858"/>
    </row>
    <row r="147" spans="1:8" ht="12.75" customHeight="1">
      <c r="C147" s="1450"/>
      <c r="D147" s="642" t="s">
        <v>2984</v>
      </c>
      <c r="E147" s="4858" t="s">
        <v>3122</v>
      </c>
      <c r="F147" s="4858"/>
      <c r="G147" s="4858"/>
      <c r="H147" s="4858"/>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58" t="s">
        <v>2985</v>
      </c>
      <c r="F150" s="4858"/>
      <c r="G150" s="4858"/>
      <c r="H150" s="4858"/>
    </row>
    <row r="151" spans="1:8" ht="12.75" customHeight="1">
      <c r="C151" s="1449" t="s">
        <v>4084</v>
      </c>
      <c r="E151" s="4858" t="s">
        <v>3121</v>
      </c>
      <c r="F151" s="4858"/>
      <c r="G151" s="4858"/>
      <c r="H151" s="4858"/>
    </row>
    <row r="152" spans="1:8" ht="12.75" customHeight="1">
      <c r="C152" s="1450"/>
      <c r="D152" s="1448" t="s">
        <v>2984</v>
      </c>
      <c r="E152" s="4859" t="s">
        <v>3122</v>
      </c>
      <c r="F152" s="4859"/>
      <c r="G152" s="4859"/>
      <c r="H152" s="4859"/>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58" t="s">
        <v>2985</v>
      </c>
      <c r="F155" s="4858"/>
      <c r="G155" s="4858"/>
      <c r="H155" s="4858"/>
    </row>
    <row r="156" spans="1:8" ht="12.75" customHeight="1">
      <c r="C156" s="1449" t="s">
        <v>4084</v>
      </c>
      <c r="E156" s="4858" t="s">
        <v>3121</v>
      </c>
      <c r="F156" s="4858"/>
      <c r="G156" s="4858"/>
      <c r="H156" s="4858"/>
    </row>
    <row r="157" spans="1:8" ht="12.75" customHeight="1">
      <c r="C157" s="1450"/>
      <c r="D157" s="1448" t="s">
        <v>2984</v>
      </c>
      <c r="E157" s="4859" t="s">
        <v>3122</v>
      </c>
      <c r="F157" s="4859"/>
      <c r="G157" s="4859"/>
      <c r="H157" s="4859"/>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3125</v>
      </c>
    </row>
    <row r="160" spans="1:8" ht="1.95" customHeight="1"/>
    <row r="161" spans="1:8" ht="12.75" customHeight="1">
      <c r="C161" s="617" t="s">
        <v>2887</v>
      </c>
      <c r="D161" s="639" t="s">
        <v>1844</v>
      </c>
      <c r="E161" s="640"/>
      <c r="F161" s="636" t="s">
        <v>2888</v>
      </c>
      <c r="G161" s="636"/>
      <c r="H161" s="636"/>
    </row>
    <row r="162" spans="1:8" ht="12.75" customHeight="1">
      <c r="C162" s="641" t="s">
        <v>1275</v>
      </c>
      <c r="D162" s="639" t="s">
        <v>1846</v>
      </c>
      <c r="E162" s="4858" t="s">
        <v>2985</v>
      </c>
      <c r="F162" s="4858"/>
      <c r="G162" s="4858"/>
      <c r="H162" s="4858"/>
    </row>
    <row r="163" spans="1:8" ht="12.75" customHeight="1">
      <c r="C163" s="1449" t="s">
        <v>4084</v>
      </c>
      <c r="E163" s="4858" t="s">
        <v>3121</v>
      </c>
      <c r="F163" s="4858"/>
      <c r="G163" s="4858"/>
      <c r="H163" s="4858"/>
    </row>
    <row r="164" spans="1:8" ht="12.75" customHeight="1">
      <c r="C164" s="1450"/>
      <c r="D164" s="642" t="s">
        <v>2984</v>
      </c>
      <c r="E164" s="4858" t="s">
        <v>3122</v>
      </c>
      <c r="F164" s="4858"/>
      <c r="G164" s="4858"/>
      <c r="H164" s="4858"/>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58" t="s">
        <v>2985</v>
      </c>
      <c r="F167" s="4858"/>
      <c r="G167" s="4858"/>
      <c r="H167" s="4858"/>
    </row>
    <row r="168" spans="1:8" ht="12.75" customHeight="1">
      <c r="C168" s="1449" t="s">
        <v>4084</v>
      </c>
      <c r="E168" s="4858" t="s">
        <v>3121</v>
      </c>
      <c r="F168" s="4858"/>
      <c r="G168" s="4858"/>
      <c r="H168" s="4858"/>
    </row>
    <row r="169" spans="1:8" ht="12.75" customHeight="1">
      <c r="C169" s="1450"/>
      <c r="D169" s="1448" t="s">
        <v>2984</v>
      </c>
      <c r="E169" s="4859" t="s">
        <v>3122</v>
      </c>
      <c r="F169" s="4859"/>
      <c r="G169" s="4859"/>
      <c r="H169" s="4859"/>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58" t="s">
        <v>2985</v>
      </c>
      <c r="F172" s="4858"/>
      <c r="G172" s="4858"/>
      <c r="H172" s="4858"/>
    </row>
    <row r="173" spans="1:8" ht="12.75" customHeight="1">
      <c r="C173" s="1449" t="s">
        <v>4084</v>
      </c>
      <c r="E173" s="4858" t="s">
        <v>3121</v>
      </c>
      <c r="F173" s="4858"/>
      <c r="G173" s="4858"/>
      <c r="H173" s="4858"/>
    </row>
    <row r="174" spans="1:8" ht="12.75" customHeight="1">
      <c r="C174" s="1450"/>
      <c r="D174" s="1448" t="s">
        <v>2984</v>
      </c>
      <c r="E174" s="4859" t="s">
        <v>3122</v>
      </c>
      <c r="F174" s="4859"/>
      <c r="G174" s="4859"/>
      <c r="H174" s="4859"/>
    </row>
    <row r="175" spans="1:8" ht="6" customHeight="1">
      <c r="D175" s="639"/>
      <c r="E175" s="1025"/>
      <c r="F175" s="1025"/>
      <c r="G175" s="1025"/>
      <c r="H175" s="1025"/>
    </row>
    <row r="176" spans="1:8">
      <c r="A176" s="620" t="s">
        <v>2980</v>
      </c>
      <c r="B176" s="637" t="str">
        <f>IF('Part V-Revenues &amp; Expenses'!$O61=0,"",'Part V-Revenues &amp; Expenses'!$O$61)</f>
        <v/>
      </c>
      <c r="C176" s="620" t="s">
        <v>4082</v>
      </c>
      <c r="D176" s="638" t="s">
        <v>4083</v>
      </c>
    </row>
    <row r="177" spans="1:11" ht="1.95" customHeight="1"/>
    <row r="178" spans="1:11" ht="12.75" customHeight="1">
      <c r="C178" s="617" t="s">
        <v>2887</v>
      </c>
      <c r="D178" s="639" t="s">
        <v>1844</v>
      </c>
      <c r="E178" s="640"/>
      <c r="F178" s="4858" t="s">
        <v>2888</v>
      </c>
      <c r="G178" s="4858"/>
      <c r="H178" s="4858"/>
      <c r="K178" s="432" t="s">
        <v>233</v>
      </c>
    </row>
    <row r="179" spans="1:11" ht="12.75" customHeight="1">
      <c r="C179" s="641" t="s">
        <v>1275</v>
      </c>
      <c r="D179" s="639" t="s">
        <v>1846</v>
      </c>
      <c r="E179" s="4858" t="s">
        <v>2986</v>
      </c>
      <c r="F179" s="4858"/>
      <c r="G179" s="4858"/>
      <c r="H179" s="4858"/>
    </row>
    <row r="180" spans="1:11" ht="12.75" customHeight="1">
      <c r="E180" s="4858" t="s">
        <v>3121</v>
      </c>
      <c r="F180" s="4858"/>
      <c r="G180" s="4858"/>
      <c r="H180" s="4858"/>
    </row>
    <row r="181" spans="1:11" ht="12.75" customHeight="1">
      <c r="D181" s="642" t="s">
        <v>2984</v>
      </c>
      <c r="E181" s="4858" t="s">
        <v>3122</v>
      </c>
      <c r="F181" s="4858"/>
      <c r="G181" s="4858"/>
      <c r="H181" s="4858"/>
    </row>
    <row r="182" spans="1:11" ht="9" customHeight="1" thickBot="1"/>
    <row r="183" spans="1:11" ht="16.2" customHeight="1" thickBot="1">
      <c r="A183" s="4865">
        <v>40</v>
      </c>
      <c r="B183" s="4866"/>
      <c r="C183" s="1451" t="s">
        <v>975</v>
      </c>
    </row>
    <row r="184" spans="1:11" ht="9" customHeight="1">
      <c r="A184" s="611"/>
    </row>
    <row r="185" spans="1:11" ht="28.2" customHeight="1">
      <c r="A185" s="4858" t="s">
        <v>4088</v>
      </c>
      <c r="B185" s="4858"/>
      <c r="C185" s="4858"/>
      <c r="D185" s="4858"/>
      <c r="E185" s="4858"/>
      <c r="F185" s="4858"/>
      <c r="G185" s="4858"/>
      <c r="H185" s="4858"/>
    </row>
    <row r="186" spans="1:11" ht="9" customHeight="1">
      <c r="A186" s="611"/>
    </row>
    <row r="187" spans="1:11">
      <c r="A187" s="620" t="s">
        <v>2980</v>
      </c>
      <c r="B187" s="637" t="str">
        <f>IF('Part V-Revenues &amp; Expenses'!$K$60=0,"",'Part V-Revenues &amp; Expenses'!$K$60)</f>
        <v/>
      </c>
      <c r="C187" s="620" t="s">
        <v>4079</v>
      </c>
      <c r="D187" s="638" t="s">
        <v>4080</v>
      </c>
    </row>
    <row r="188" spans="1:11" ht="1.95" customHeight="1"/>
    <row r="189" spans="1:11" ht="12.75" customHeight="1">
      <c r="C189" s="617" t="s">
        <v>2887</v>
      </c>
      <c r="D189" s="639" t="s">
        <v>1844</v>
      </c>
      <c r="E189" s="640"/>
      <c r="F189" s="4858" t="s">
        <v>2888</v>
      </c>
      <c r="G189" s="4858"/>
      <c r="H189" s="4858"/>
    </row>
    <row r="190" spans="1:11" ht="12.75" customHeight="1">
      <c r="C190" s="641" t="s">
        <v>1275</v>
      </c>
      <c r="D190" s="639" t="s">
        <v>1846</v>
      </c>
      <c r="E190" s="4858" t="s">
        <v>2985</v>
      </c>
      <c r="F190" s="4858"/>
      <c r="G190" s="4858"/>
      <c r="H190" s="4858"/>
    </row>
    <row r="191" spans="1:11" ht="12.75" customHeight="1">
      <c r="C191" s="1449" t="s">
        <v>4084</v>
      </c>
      <c r="E191" s="4858" t="s">
        <v>3121</v>
      </c>
      <c r="F191" s="4858"/>
      <c r="G191" s="4858"/>
      <c r="H191" s="4858"/>
    </row>
    <row r="192" spans="1:11" ht="12.75" customHeight="1">
      <c r="C192" s="1450"/>
      <c r="D192" s="1448" t="s">
        <v>2984</v>
      </c>
      <c r="E192" s="4859" t="s">
        <v>3122</v>
      </c>
      <c r="F192" s="4859"/>
      <c r="G192" s="4859"/>
      <c r="H192" s="4859"/>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58" t="s">
        <v>2985</v>
      </c>
      <c r="F195" s="4858"/>
      <c r="G195" s="4858"/>
      <c r="H195" s="4858"/>
    </row>
    <row r="196" spans="1:8" ht="12.75" customHeight="1">
      <c r="C196" s="1449" t="s">
        <v>4084</v>
      </c>
      <c r="E196" s="4858" t="s">
        <v>3121</v>
      </c>
      <c r="F196" s="4858"/>
      <c r="G196" s="4858"/>
      <c r="H196" s="4858"/>
    </row>
    <row r="197" spans="1:8" ht="12.75" customHeight="1">
      <c r="C197" s="1450"/>
      <c r="D197" s="1448" t="s">
        <v>2984</v>
      </c>
      <c r="E197" s="4859" t="s">
        <v>3122</v>
      </c>
      <c r="F197" s="4859"/>
      <c r="G197" s="4859"/>
      <c r="H197" s="4859"/>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58" t="s">
        <v>2985</v>
      </c>
      <c r="F200" s="4858"/>
      <c r="G200" s="4858"/>
      <c r="H200" s="4858"/>
    </row>
    <row r="201" spans="1:8" ht="12.75" customHeight="1">
      <c r="C201" s="1449" t="s">
        <v>4084</v>
      </c>
      <c r="E201" s="4858" t="s">
        <v>3121</v>
      </c>
      <c r="F201" s="4858"/>
      <c r="G201" s="4858"/>
      <c r="H201" s="4858"/>
    </row>
    <row r="202" spans="1:8" ht="12.75" customHeight="1">
      <c r="C202" s="1450"/>
      <c r="D202" s="1448" t="s">
        <v>2984</v>
      </c>
      <c r="E202" s="4859" t="s">
        <v>3122</v>
      </c>
      <c r="F202" s="4859"/>
      <c r="G202" s="4859"/>
      <c r="H202" s="4859"/>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3123</v>
      </c>
    </row>
    <row r="205" spans="1:8" ht="1.95" customHeight="1"/>
    <row r="206" spans="1:8" ht="12.75" customHeight="1">
      <c r="C206" s="617" t="s">
        <v>2887</v>
      </c>
      <c r="D206" s="639" t="s">
        <v>1844</v>
      </c>
      <c r="E206" s="640"/>
      <c r="F206" s="636" t="s">
        <v>2888</v>
      </c>
      <c r="G206" s="636"/>
      <c r="H206" s="636"/>
    </row>
    <row r="207" spans="1:8" ht="12.75" customHeight="1">
      <c r="C207" s="641" t="s">
        <v>1275</v>
      </c>
      <c r="D207" s="639" t="s">
        <v>1846</v>
      </c>
      <c r="E207" s="4858" t="s">
        <v>2985</v>
      </c>
      <c r="F207" s="4858"/>
      <c r="G207" s="4858"/>
      <c r="H207" s="4858"/>
    </row>
    <row r="208" spans="1:8" ht="12.75" customHeight="1">
      <c r="C208" s="1449" t="s">
        <v>4084</v>
      </c>
      <c r="E208" s="4858" t="s">
        <v>3121</v>
      </c>
      <c r="F208" s="4858"/>
      <c r="G208" s="4858"/>
      <c r="H208" s="4858"/>
    </row>
    <row r="209" spans="1:8" ht="12.75" customHeight="1">
      <c r="C209" s="1450"/>
      <c r="D209" s="642" t="s">
        <v>2984</v>
      </c>
      <c r="E209" s="4858" t="s">
        <v>3122</v>
      </c>
      <c r="F209" s="4858"/>
      <c r="G209" s="4858"/>
      <c r="H209" s="4858"/>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58" t="s">
        <v>2985</v>
      </c>
      <c r="F212" s="4858"/>
      <c r="G212" s="4858"/>
      <c r="H212" s="4858"/>
    </row>
    <row r="213" spans="1:8" ht="12.75" customHeight="1">
      <c r="C213" s="1449" t="s">
        <v>4084</v>
      </c>
      <c r="E213" s="4858" t="s">
        <v>3121</v>
      </c>
      <c r="F213" s="4858"/>
      <c r="G213" s="4858"/>
      <c r="H213" s="4858"/>
    </row>
    <row r="214" spans="1:8" ht="12.75" customHeight="1">
      <c r="C214" s="1450"/>
      <c r="D214" s="1448" t="s">
        <v>2984</v>
      </c>
      <c r="E214" s="4859" t="s">
        <v>3122</v>
      </c>
      <c r="F214" s="4859"/>
      <c r="G214" s="4859"/>
      <c r="H214" s="4859"/>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58" t="s">
        <v>2985</v>
      </c>
      <c r="F217" s="4858"/>
      <c r="G217" s="4858"/>
      <c r="H217" s="4858"/>
    </row>
    <row r="218" spans="1:8" ht="12.75" customHeight="1">
      <c r="C218" s="1449" t="s">
        <v>4084</v>
      </c>
      <c r="E218" s="4858" t="s">
        <v>3121</v>
      </c>
      <c r="F218" s="4858"/>
      <c r="G218" s="4858"/>
      <c r="H218" s="4858"/>
    </row>
    <row r="219" spans="1:8" ht="12.75" customHeight="1">
      <c r="C219" s="1450"/>
      <c r="D219" s="1448" t="s">
        <v>2984</v>
      </c>
      <c r="E219" s="4859" t="s">
        <v>3122</v>
      </c>
      <c r="F219" s="4859"/>
      <c r="G219" s="4859"/>
      <c r="H219" s="4859"/>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3124</v>
      </c>
    </row>
    <row r="222" spans="1:8" ht="1.95" customHeight="1"/>
    <row r="223" spans="1:8" ht="12.75" customHeight="1">
      <c r="C223" s="617" t="s">
        <v>2887</v>
      </c>
      <c r="D223" s="639" t="s">
        <v>1844</v>
      </c>
      <c r="E223" s="640"/>
      <c r="F223" s="636" t="s">
        <v>2888</v>
      </c>
      <c r="G223" s="636"/>
      <c r="H223" s="636"/>
    </row>
    <row r="224" spans="1:8" ht="12.75" customHeight="1">
      <c r="C224" s="641" t="s">
        <v>1275</v>
      </c>
      <c r="D224" s="639" t="s">
        <v>1846</v>
      </c>
      <c r="E224" s="4858" t="s">
        <v>2985</v>
      </c>
      <c r="F224" s="4858"/>
      <c r="G224" s="4858"/>
      <c r="H224" s="4858"/>
    </row>
    <row r="225" spans="1:8" ht="12.75" customHeight="1">
      <c r="C225" s="1449" t="s">
        <v>4084</v>
      </c>
      <c r="E225" s="4858" t="s">
        <v>3121</v>
      </c>
      <c r="F225" s="4858"/>
      <c r="G225" s="4858"/>
      <c r="H225" s="4858"/>
    </row>
    <row r="226" spans="1:8" ht="12.75" customHeight="1">
      <c r="C226" s="1450"/>
      <c r="D226" s="642" t="s">
        <v>2984</v>
      </c>
      <c r="E226" s="4858" t="s">
        <v>3122</v>
      </c>
      <c r="F226" s="4858"/>
      <c r="G226" s="4858"/>
      <c r="H226" s="4858"/>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58" t="s">
        <v>2985</v>
      </c>
      <c r="F229" s="4858"/>
      <c r="G229" s="4858"/>
      <c r="H229" s="4858"/>
    </row>
    <row r="230" spans="1:8" ht="12.75" customHeight="1">
      <c r="C230" s="1449" t="s">
        <v>4084</v>
      </c>
      <c r="E230" s="4858" t="s">
        <v>3121</v>
      </c>
      <c r="F230" s="4858"/>
      <c r="G230" s="4858"/>
      <c r="H230" s="4858"/>
    </row>
    <row r="231" spans="1:8" ht="12.75" customHeight="1">
      <c r="C231" s="1450"/>
      <c r="D231" s="1448" t="s">
        <v>2984</v>
      </c>
      <c r="E231" s="4859" t="s">
        <v>3122</v>
      </c>
      <c r="F231" s="4859"/>
      <c r="G231" s="4859"/>
      <c r="H231" s="4859"/>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58" t="s">
        <v>2985</v>
      </c>
      <c r="F234" s="4858"/>
      <c r="G234" s="4858"/>
      <c r="H234" s="4858"/>
    </row>
    <row r="235" spans="1:8" ht="12.75" customHeight="1">
      <c r="C235" s="1449" t="s">
        <v>4084</v>
      </c>
      <c r="E235" s="4858" t="s">
        <v>3121</v>
      </c>
      <c r="F235" s="4858"/>
      <c r="G235" s="4858"/>
      <c r="H235" s="4858"/>
    </row>
    <row r="236" spans="1:8" ht="12.75" customHeight="1">
      <c r="C236" s="1450"/>
      <c r="D236" s="1448" t="s">
        <v>2984</v>
      </c>
      <c r="E236" s="4859" t="s">
        <v>3122</v>
      </c>
      <c r="F236" s="4859"/>
      <c r="G236" s="4859"/>
      <c r="H236" s="4859"/>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3125</v>
      </c>
    </row>
    <row r="239" spans="1:8" ht="1.95" customHeight="1"/>
    <row r="240" spans="1:8" ht="12.75" customHeight="1">
      <c r="C240" s="617" t="s">
        <v>2887</v>
      </c>
      <c r="D240" s="639" t="s">
        <v>1844</v>
      </c>
      <c r="E240" s="640"/>
      <c r="F240" s="636" t="s">
        <v>2888</v>
      </c>
      <c r="G240" s="636"/>
      <c r="H240" s="636"/>
    </row>
    <row r="241" spans="1:8" ht="12.75" customHeight="1">
      <c r="C241" s="641" t="s">
        <v>1275</v>
      </c>
      <c r="D241" s="639" t="s">
        <v>1846</v>
      </c>
      <c r="E241" s="4858" t="s">
        <v>2985</v>
      </c>
      <c r="F241" s="4858"/>
      <c r="G241" s="4858"/>
      <c r="H241" s="4858"/>
    </row>
    <row r="242" spans="1:8" ht="12.75" customHeight="1">
      <c r="C242" s="1449" t="s">
        <v>4084</v>
      </c>
      <c r="E242" s="4858" t="s">
        <v>3121</v>
      </c>
      <c r="F242" s="4858"/>
      <c r="G242" s="4858"/>
      <c r="H242" s="4858"/>
    </row>
    <row r="243" spans="1:8" ht="12.75" customHeight="1">
      <c r="C243" s="1450"/>
      <c r="D243" s="642" t="s">
        <v>2984</v>
      </c>
      <c r="E243" s="4858" t="s">
        <v>3122</v>
      </c>
      <c r="F243" s="4858"/>
      <c r="G243" s="4858"/>
      <c r="H243" s="4858"/>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58" t="s">
        <v>2985</v>
      </c>
      <c r="F246" s="4858"/>
      <c r="G246" s="4858"/>
      <c r="H246" s="4858"/>
    </row>
    <row r="247" spans="1:8" ht="12.75" customHeight="1">
      <c r="C247" s="1449" t="s">
        <v>4084</v>
      </c>
      <c r="E247" s="4858" t="s">
        <v>3121</v>
      </c>
      <c r="F247" s="4858"/>
      <c r="G247" s="4858"/>
      <c r="H247" s="4858"/>
    </row>
    <row r="248" spans="1:8" ht="12.75" customHeight="1">
      <c r="C248" s="1450"/>
      <c r="D248" s="1448" t="s">
        <v>2984</v>
      </c>
      <c r="E248" s="4859" t="s">
        <v>3122</v>
      </c>
      <c r="F248" s="4859"/>
      <c r="G248" s="4859"/>
      <c r="H248" s="4859"/>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58" t="s">
        <v>2985</v>
      </c>
      <c r="F251" s="4858"/>
      <c r="G251" s="4858"/>
      <c r="H251" s="4858"/>
    </row>
    <row r="252" spans="1:8" ht="12.75" customHeight="1">
      <c r="C252" s="1449" t="s">
        <v>4084</v>
      </c>
      <c r="E252" s="4858" t="s">
        <v>3121</v>
      </c>
      <c r="F252" s="4858"/>
      <c r="G252" s="4858"/>
      <c r="H252" s="4858"/>
    </row>
    <row r="253" spans="1:8" ht="12.75" customHeight="1">
      <c r="C253" s="1450"/>
      <c r="D253" s="1448" t="s">
        <v>2984</v>
      </c>
      <c r="E253" s="4859" t="s">
        <v>3122</v>
      </c>
      <c r="F253" s="4859"/>
      <c r="G253" s="4859"/>
      <c r="H253" s="4859"/>
    </row>
    <row r="254" spans="1:8" ht="6" customHeight="1">
      <c r="D254" s="639"/>
      <c r="E254" s="1025"/>
      <c r="F254" s="1025"/>
      <c r="G254" s="1025"/>
      <c r="H254" s="1025"/>
    </row>
    <row r="255" spans="1:8">
      <c r="A255" s="620" t="s">
        <v>2980</v>
      </c>
      <c r="B255" s="637" t="str">
        <f>IF('Part V-Revenues &amp; Expenses'!$O$60=0,"",'Part V-Revenues &amp; Expenses'!$O$60)</f>
        <v/>
      </c>
      <c r="C255" s="620" t="s">
        <v>4082</v>
      </c>
      <c r="D255" s="638" t="s">
        <v>4083</v>
      </c>
    </row>
    <row r="256" spans="1:8" ht="1.95" customHeight="1"/>
    <row r="257" spans="1:11" ht="12.75" customHeight="1">
      <c r="C257" s="617" t="s">
        <v>2887</v>
      </c>
      <c r="D257" s="639" t="s">
        <v>1844</v>
      </c>
      <c r="E257" s="640"/>
      <c r="F257" s="4858" t="s">
        <v>2888</v>
      </c>
      <c r="G257" s="4858"/>
      <c r="H257" s="4858"/>
      <c r="K257" s="432" t="s">
        <v>233</v>
      </c>
    </row>
    <row r="258" spans="1:11" ht="12.75" customHeight="1">
      <c r="C258" s="641" t="s">
        <v>1275</v>
      </c>
      <c r="D258" s="639" t="s">
        <v>1846</v>
      </c>
      <c r="E258" s="4858" t="s">
        <v>2986</v>
      </c>
      <c r="F258" s="4858"/>
      <c r="G258" s="4858"/>
      <c r="H258" s="4858"/>
    </row>
    <row r="259" spans="1:11" ht="12.75" customHeight="1">
      <c r="E259" s="4858" t="s">
        <v>3121</v>
      </c>
      <c r="F259" s="4858"/>
      <c r="G259" s="4858"/>
      <c r="H259" s="4858"/>
    </row>
    <row r="260" spans="1:11" ht="12.75" customHeight="1">
      <c r="D260" s="642" t="s">
        <v>2984</v>
      </c>
      <c r="E260" s="4858" t="s">
        <v>3122</v>
      </c>
      <c r="F260" s="4858"/>
      <c r="G260" s="4858"/>
      <c r="H260" s="4858"/>
    </row>
    <row r="261" spans="1:11" ht="9" customHeight="1" thickBot="1"/>
    <row r="262" spans="1:11" ht="16.2" customHeight="1" thickBot="1">
      <c r="A262" s="4865">
        <v>50</v>
      </c>
      <c r="B262" s="4866"/>
      <c r="C262" s="1451" t="s">
        <v>975</v>
      </c>
    </row>
    <row r="263" spans="1:11" ht="9" customHeight="1">
      <c r="A263" s="611"/>
    </row>
    <row r="264" spans="1:11" ht="28.2" customHeight="1">
      <c r="A264" s="4858" t="s">
        <v>4085</v>
      </c>
      <c r="B264" s="4858"/>
      <c r="C264" s="4858"/>
      <c r="D264" s="4858"/>
      <c r="E264" s="4858"/>
      <c r="F264" s="4858"/>
      <c r="G264" s="4858"/>
      <c r="H264" s="4858"/>
    </row>
    <row r="265" spans="1:11" ht="9" customHeight="1">
      <c r="A265" s="611"/>
    </row>
    <row r="266" spans="1:11">
      <c r="A266" s="620" t="s">
        <v>2980</v>
      </c>
      <c r="B266" s="637" t="str">
        <f>IF('Part V-Revenues &amp; Expenses'!$K$59=0,"",'Part V-Revenues &amp; Expenses'!$K$59)</f>
        <v/>
      </c>
      <c r="C266" s="620" t="s">
        <v>4079</v>
      </c>
      <c r="D266" s="638" t="s">
        <v>4080</v>
      </c>
    </row>
    <row r="267" spans="1:11" ht="1.95" customHeight="1"/>
    <row r="268" spans="1:11" ht="12.75" customHeight="1">
      <c r="C268" s="617" t="s">
        <v>2887</v>
      </c>
      <c r="D268" s="639" t="s">
        <v>1844</v>
      </c>
      <c r="E268" s="640"/>
      <c r="F268" s="4858" t="s">
        <v>2888</v>
      </c>
      <c r="G268" s="4858"/>
      <c r="H268" s="4858"/>
    </row>
    <row r="269" spans="1:11" ht="12.75" customHeight="1">
      <c r="C269" s="641" t="s">
        <v>1275</v>
      </c>
      <c r="D269" s="639" t="s">
        <v>1846</v>
      </c>
      <c r="E269" s="4858" t="s">
        <v>2985</v>
      </c>
      <c r="F269" s="4858"/>
      <c r="G269" s="4858"/>
      <c r="H269" s="4858"/>
    </row>
    <row r="270" spans="1:11" ht="12.75" customHeight="1">
      <c r="C270" s="1449" t="s">
        <v>4084</v>
      </c>
      <c r="E270" s="4858" t="s">
        <v>3121</v>
      </c>
      <c r="F270" s="4858"/>
      <c r="G270" s="4858"/>
      <c r="H270" s="4858"/>
    </row>
    <row r="271" spans="1:11" ht="12.75" customHeight="1">
      <c r="C271" s="1450"/>
      <c r="D271" s="1448" t="s">
        <v>2984</v>
      </c>
      <c r="E271" s="4859" t="s">
        <v>3122</v>
      </c>
      <c r="F271" s="4859"/>
      <c r="G271" s="4859"/>
      <c r="H271" s="4859"/>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58" t="s">
        <v>2985</v>
      </c>
      <c r="F274" s="4858"/>
      <c r="G274" s="4858"/>
      <c r="H274" s="4858"/>
    </row>
    <row r="275" spans="1:8" ht="12.75" customHeight="1">
      <c r="C275" s="1449" t="s">
        <v>4084</v>
      </c>
      <c r="E275" s="4858" t="s">
        <v>3121</v>
      </c>
      <c r="F275" s="4858"/>
      <c r="G275" s="4858"/>
      <c r="H275" s="4858"/>
    </row>
    <row r="276" spans="1:8" ht="12.75" customHeight="1">
      <c r="C276" s="1450"/>
      <c r="D276" s="1448" t="s">
        <v>2984</v>
      </c>
      <c r="E276" s="4859" t="s">
        <v>3122</v>
      </c>
      <c r="F276" s="4859"/>
      <c r="G276" s="4859"/>
      <c r="H276" s="4859"/>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58" t="s">
        <v>2985</v>
      </c>
      <c r="F279" s="4858"/>
      <c r="G279" s="4858"/>
      <c r="H279" s="4858"/>
    </row>
    <row r="280" spans="1:8" ht="12.75" customHeight="1">
      <c r="C280" s="1449" t="s">
        <v>4084</v>
      </c>
      <c r="E280" s="4858" t="s">
        <v>3121</v>
      </c>
      <c r="F280" s="4858"/>
      <c r="G280" s="4858"/>
      <c r="H280" s="4858"/>
    </row>
    <row r="281" spans="1:8" ht="12.75" customHeight="1">
      <c r="C281" s="1450"/>
      <c r="D281" s="1448" t="s">
        <v>2984</v>
      </c>
      <c r="E281" s="4859" t="s">
        <v>3122</v>
      </c>
      <c r="F281" s="4859"/>
      <c r="G281" s="4859"/>
      <c r="H281" s="4859"/>
    </row>
    <row r="282" spans="1:8" ht="6" customHeight="1">
      <c r="D282" s="639"/>
      <c r="E282" s="1025"/>
      <c r="F282" s="1025"/>
      <c r="G282" s="1025"/>
      <c r="H282" s="1025"/>
    </row>
    <row r="283" spans="1:8">
      <c r="A283" s="620" t="s">
        <v>2980</v>
      </c>
      <c r="B283" s="637" t="str">
        <f>IF('Part V-Revenues &amp; Expenses'!$L$59=0,"",'Part V-Revenues &amp; Expenses'!$L$59)</f>
        <v/>
      </c>
      <c r="C283" s="620" t="s">
        <v>2981</v>
      </c>
      <c r="D283" s="638" t="s">
        <v>3123</v>
      </c>
    </row>
    <row r="284" spans="1:8" ht="1.95" customHeight="1"/>
    <row r="285" spans="1:8" ht="12.75" customHeight="1">
      <c r="C285" s="617" t="s">
        <v>2887</v>
      </c>
      <c r="D285" s="639" t="s">
        <v>1844</v>
      </c>
      <c r="E285" s="640"/>
      <c r="F285" s="636" t="s">
        <v>2888</v>
      </c>
      <c r="G285" s="636"/>
      <c r="H285" s="636"/>
    </row>
    <row r="286" spans="1:8" ht="12.75" customHeight="1">
      <c r="C286" s="641" t="s">
        <v>1275</v>
      </c>
      <c r="D286" s="639" t="s">
        <v>1846</v>
      </c>
      <c r="E286" s="4858" t="s">
        <v>2985</v>
      </c>
      <c r="F286" s="4858"/>
      <c r="G286" s="4858"/>
      <c r="H286" s="4858"/>
    </row>
    <row r="287" spans="1:8" ht="12.75" customHeight="1">
      <c r="C287" s="1449" t="s">
        <v>4084</v>
      </c>
      <c r="E287" s="4858" t="s">
        <v>3121</v>
      </c>
      <c r="F287" s="4858"/>
      <c r="G287" s="4858"/>
      <c r="H287" s="4858"/>
    </row>
    <row r="288" spans="1:8" ht="12.75" customHeight="1">
      <c r="C288" s="1450"/>
      <c r="D288" s="642" t="s">
        <v>2984</v>
      </c>
      <c r="E288" s="4858" t="s">
        <v>3122</v>
      </c>
      <c r="F288" s="4858"/>
      <c r="G288" s="4858"/>
      <c r="H288" s="4858"/>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58" t="s">
        <v>2985</v>
      </c>
      <c r="F291" s="4858"/>
      <c r="G291" s="4858"/>
      <c r="H291" s="4858"/>
    </row>
    <row r="292" spans="1:8" ht="12.75" customHeight="1">
      <c r="C292" s="1449" t="s">
        <v>4084</v>
      </c>
      <c r="E292" s="4858" t="s">
        <v>3121</v>
      </c>
      <c r="F292" s="4858"/>
      <c r="G292" s="4858"/>
      <c r="H292" s="4858"/>
    </row>
    <row r="293" spans="1:8" ht="12.75" customHeight="1">
      <c r="C293" s="1450"/>
      <c r="D293" s="1448" t="s">
        <v>2984</v>
      </c>
      <c r="E293" s="4859" t="s">
        <v>3122</v>
      </c>
      <c r="F293" s="4859"/>
      <c r="G293" s="4859"/>
      <c r="H293" s="4859"/>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58" t="s">
        <v>2985</v>
      </c>
      <c r="F296" s="4858"/>
      <c r="G296" s="4858"/>
      <c r="H296" s="4858"/>
    </row>
    <row r="297" spans="1:8" ht="12.75" customHeight="1">
      <c r="C297" s="1449" t="s">
        <v>4084</v>
      </c>
      <c r="E297" s="4858" t="s">
        <v>3121</v>
      </c>
      <c r="F297" s="4858"/>
      <c r="G297" s="4858"/>
      <c r="H297" s="4858"/>
    </row>
    <row r="298" spans="1:8" ht="12.75" customHeight="1">
      <c r="C298" s="1450"/>
      <c r="D298" s="1448" t="s">
        <v>2984</v>
      </c>
      <c r="E298" s="4859" t="s">
        <v>3122</v>
      </c>
      <c r="F298" s="4859"/>
      <c r="G298" s="4859"/>
      <c r="H298" s="4859"/>
    </row>
    <row r="299" spans="1:8" ht="6" customHeight="1">
      <c r="D299" s="639"/>
      <c r="E299" s="1025"/>
      <c r="F299" s="1025"/>
      <c r="G299" s="1025"/>
      <c r="H299" s="1025"/>
    </row>
    <row r="300" spans="1:8">
      <c r="A300" s="620" t="s">
        <v>2980</v>
      </c>
      <c r="B300" s="637" t="str">
        <f>IF('Part V-Revenues &amp; Expenses'!$M$59=0,"",'Part V-Revenues &amp; Expenses'!$M$59)</f>
        <v/>
      </c>
      <c r="C300" s="620" t="s">
        <v>2982</v>
      </c>
      <c r="D300" s="638" t="s">
        <v>3124</v>
      </c>
    </row>
    <row r="301" spans="1:8" ht="1.95" customHeight="1"/>
    <row r="302" spans="1:8" ht="12.75" customHeight="1">
      <c r="C302" s="617" t="s">
        <v>2887</v>
      </c>
      <c r="D302" s="639" t="s">
        <v>1844</v>
      </c>
      <c r="E302" s="640"/>
      <c r="F302" s="636" t="s">
        <v>2888</v>
      </c>
      <c r="G302" s="636"/>
      <c r="H302" s="636"/>
    </row>
    <row r="303" spans="1:8" ht="12.75" customHeight="1">
      <c r="C303" s="641" t="s">
        <v>1275</v>
      </c>
      <c r="D303" s="639" t="s">
        <v>1846</v>
      </c>
      <c r="E303" s="4858" t="s">
        <v>2985</v>
      </c>
      <c r="F303" s="4858"/>
      <c r="G303" s="4858"/>
      <c r="H303" s="4858"/>
    </row>
    <row r="304" spans="1:8" ht="12.75" customHeight="1">
      <c r="C304" s="1449" t="s">
        <v>4084</v>
      </c>
      <c r="E304" s="4858" t="s">
        <v>3121</v>
      </c>
      <c r="F304" s="4858"/>
      <c r="G304" s="4858"/>
      <c r="H304" s="4858"/>
    </row>
    <row r="305" spans="1:8" ht="12.75" customHeight="1">
      <c r="C305" s="1450"/>
      <c r="D305" s="642" t="s">
        <v>2984</v>
      </c>
      <c r="E305" s="4858" t="s">
        <v>3122</v>
      </c>
      <c r="F305" s="4858"/>
      <c r="G305" s="4858"/>
      <c r="H305" s="4858"/>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58" t="s">
        <v>2985</v>
      </c>
      <c r="F308" s="4858"/>
      <c r="G308" s="4858"/>
      <c r="H308" s="4858"/>
    </row>
    <row r="309" spans="1:8" ht="12.75" customHeight="1">
      <c r="C309" s="1449" t="s">
        <v>4084</v>
      </c>
      <c r="E309" s="4858" t="s">
        <v>3121</v>
      </c>
      <c r="F309" s="4858"/>
      <c r="G309" s="4858"/>
      <c r="H309" s="4858"/>
    </row>
    <row r="310" spans="1:8" ht="12.75" customHeight="1">
      <c r="C310" s="1450"/>
      <c r="D310" s="1448" t="s">
        <v>2984</v>
      </c>
      <c r="E310" s="4859" t="s">
        <v>3122</v>
      </c>
      <c r="F310" s="4859"/>
      <c r="G310" s="4859"/>
      <c r="H310" s="4859"/>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58" t="s">
        <v>2985</v>
      </c>
      <c r="F313" s="4858"/>
      <c r="G313" s="4858"/>
      <c r="H313" s="4858"/>
    </row>
    <row r="314" spans="1:8" ht="12.75" customHeight="1">
      <c r="C314" s="1449" t="s">
        <v>4084</v>
      </c>
      <c r="E314" s="4858" t="s">
        <v>3121</v>
      </c>
      <c r="F314" s="4858"/>
      <c r="G314" s="4858"/>
      <c r="H314" s="4858"/>
    </row>
    <row r="315" spans="1:8" ht="12.75" customHeight="1">
      <c r="C315" s="1450"/>
      <c r="D315" s="1448" t="s">
        <v>2984</v>
      </c>
      <c r="E315" s="4859" t="s">
        <v>3122</v>
      </c>
      <c r="F315" s="4859"/>
      <c r="G315" s="4859"/>
      <c r="H315" s="4859"/>
    </row>
    <row r="316" spans="1:8" ht="6" customHeight="1">
      <c r="D316" s="639"/>
      <c r="E316" s="1025"/>
      <c r="F316" s="1025"/>
      <c r="G316" s="1025"/>
      <c r="H316" s="1025"/>
    </row>
    <row r="317" spans="1:8">
      <c r="A317" s="620" t="s">
        <v>2980</v>
      </c>
      <c r="B317" s="637" t="str">
        <f>IF('Part V-Revenues &amp; Expenses'!$N$59=0,"",'Part V-Revenues &amp; Expenses'!$N$59)</f>
        <v/>
      </c>
      <c r="C317" s="620" t="s">
        <v>2983</v>
      </c>
      <c r="D317" s="638" t="s">
        <v>3125</v>
      </c>
    </row>
    <row r="318" spans="1:8" ht="1.95" customHeight="1"/>
    <row r="319" spans="1:8" ht="12.75" customHeight="1">
      <c r="C319" s="617" t="s">
        <v>2887</v>
      </c>
      <c r="D319" s="639" t="s">
        <v>1844</v>
      </c>
      <c r="E319" s="640"/>
      <c r="F319" s="636" t="s">
        <v>2888</v>
      </c>
      <c r="G319" s="636"/>
      <c r="H319" s="636"/>
    </row>
    <row r="320" spans="1:8" ht="12.75" customHeight="1">
      <c r="C320" s="641" t="s">
        <v>1275</v>
      </c>
      <c r="D320" s="639" t="s">
        <v>1846</v>
      </c>
      <c r="E320" s="4858" t="s">
        <v>2985</v>
      </c>
      <c r="F320" s="4858"/>
      <c r="G320" s="4858"/>
      <c r="H320" s="4858"/>
    </row>
    <row r="321" spans="1:11" ht="12.75" customHeight="1">
      <c r="C321" s="1449" t="s">
        <v>4084</v>
      </c>
      <c r="E321" s="4858" t="s">
        <v>3121</v>
      </c>
      <c r="F321" s="4858"/>
      <c r="G321" s="4858"/>
      <c r="H321" s="4858"/>
    </row>
    <row r="322" spans="1:11" ht="12.75" customHeight="1">
      <c r="C322" s="1450"/>
      <c r="D322" s="642" t="s">
        <v>2984</v>
      </c>
      <c r="E322" s="4858" t="s">
        <v>3122</v>
      </c>
      <c r="F322" s="4858"/>
      <c r="G322" s="4858"/>
      <c r="H322" s="4858"/>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58" t="s">
        <v>2985</v>
      </c>
      <c r="F325" s="4858"/>
      <c r="G325" s="4858"/>
      <c r="H325" s="4858"/>
    </row>
    <row r="326" spans="1:11" ht="12.75" customHeight="1">
      <c r="C326" s="1449" t="s">
        <v>4084</v>
      </c>
      <c r="E326" s="4858" t="s">
        <v>3121</v>
      </c>
      <c r="F326" s="4858"/>
      <c r="G326" s="4858"/>
      <c r="H326" s="4858"/>
    </row>
    <row r="327" spans="1:11" ht="12.75" customHeight="1">
      <c r="C327" s="1450"/>
      <c r="D327" s="1448" t="s">
        <v>2984</v>
      </c>
      <c r="E327" s="4859" t="s">
        <v>3122</v>
      </c>
      <c r="F327" s="4859"/>
      <c r="G327" s="4859"/>
      <c r="H327" s="4859"/>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58" t="s">
        <v>2985</v>
      </c>
      <c r="F330" s="4858"/>
      <c r="G330" s="4858"/>
      <c r="H330" s="4858"/>
    </row>
    <row r="331" spans="1:11" ht="12.75" customHeight="1">
      <c r="C331" s="1449" t="s">
        <v>4084</v>
      </c>
      <c r="E331" s="4858" t="s">
        <v>3121</v>
      </c>
      <c r="F331" s="4858"/>
      <c r="G331" s="4858"/>
      <c r="H331" s="4858"/>
    </row>
    <row r="332" spans="1:11" ht="12.75" customHeight="1">
      <c r="C332" s="1450"/>
      <c r="D332" s="1448" t="s">
        <v>2984</v>
      </c>
      <c r="E332" s="4859" t="s">
        <v>3122</v>
      </c>
      <c r="F332" s="4859"/>
      <c r="G332" s="4859"/>
      <c r="H332" s="4859"/>
    </row>
    <row r="333" spans="1:11" ht="6" customHeight="1">
      <c r="D333" s="639"/>
      <c r="E333" s="1025"/>
      <c r="F333" s="1025"/>
      <c r="G333" s="1025"/>
      <c r="H333" s="1025"/>
    </row>
    <row r="334" spans="1:11">
      <c r="A334" s="620" t="s">
        <v>2980</v>
      </c>
      <c r="B334" s="637" t="str">
        <f>IF('Part V-Revenues &amp; Expenses'!$O$59=0,"",'Part V-Revenues &amp; Expenses'!$O$59)</f>
        <v/>
      </c>
      <c r="C334" s="620" t="s">
        <v>4082</v>
      </c>
      <c r="D334" s="638" t="s">
        <v>4083</v>
      </c>
    </row>
    <row r="335" spans="1:11" ht="1.95" customHeight="1"/>
    <row r="336" spans="1:11" ht="12.75" customHeight="1">
      <c r="C336" s="617" t="s">
        <v>2887</v>
      </c>
      <c r="D336" s="639" t="s">
        <v>1844</v>
      </c>
      <c r="E336" s="640"/>
      <c r="F336" s="4858" t="s">
        <v>2888</v>
      </c>
      <c r="G336" s="4858"/>
      <c r="H336" s="4858"/>
      <c r="K336" s="432" t="s">
        <v>233</v>
      </c>
    </row>
    <row r="337" spans="1:8" ht="12.75" customHeight="1">
      <c r="C337" s="641" t="s">
        <v>1275</v>
      </c>
      <c r="D337" s="639" t="s">
        <v>1846</v>
      </c>
      <c r="E337" s="4858" t="s">
        <v>2986</v>
      </c>
      <c r="F337" s="4858"/>
      <c r="G337" s="4858"/>
      <c r="H337" s="4858"/>
    </row>
    <row r="338" spans="1:8" ht="12.75" customHeight="1">
      <c r="E338" s="4858" t="s">
        <v>3121</v>
      </c>
      <c r="F338" s="4858"/>
      <c r="G338" s="4858"/>
      <c r="H338" s="4858"/>
    </row>
    <row r="339" spans="1:8" ht="12.75" customHeight="1">
      <c r="D339" s="642" t="s">
        <v>2984</v>
      </c>
      <c r="E339" s="4858" t="s">
        <v>3122</v>
      </c>
      <c r="F339" s="4858"/>
      <c r="G339" s="4858"/>
      <c r="H339" s="4858"/>
    </row>
    <row r="340" spans="1:8" ht="9" customHeight="1"/>
    <row r="341" spans="1:8" ht="7.5" customHeight="1" thickBot="1">
      <c r="E341" s="4858"/>
      <c r="F341" s="4858"/>
      <c r="G341" s="4858"/>
      <c r="H341" s="4858"/>
    </row>
    <row r="342" spans="1:8" ht="16.2" customHeight="1" thickBot="1">
      <c r="A342" s="4865">
        <v>60</v>
      </c>
      <c r="B342" s="4866"/>
      <c r="C342" s="1451" t="s">
        <v>975</v>
      </c>
    </row>
    <row r="343" spans="1:8" ht="9" customHeight="1">
      <c r="A343" s="611"/>
    </row>
    <row r="344" spans="1:8" ht="28.2" customHeight="1">
      <c r="A344" s="4858" t="s">
        <v>4089</v>
      </c>
      <c r="B344" s="4858"/>
      <c r="C344" s="4858"/>
      <c r="D344" s="4858"/>
      <c r="E344" s="4858"/>
      <c r="F344" s="4858"/>
      <c r="G344" s="4858"/>
      <c r="H344" s="4858"/>
    </row>
    <row r="345" spans="1:8" ht="9" customHeight="1">
      <c r="A345" s="611"/>
    </row>
    <row r="346" spans="1:8">
      <c r="A346" s="620" t="s">
        <v>2980</v>
      </c>
      <c r="B346" s="637" t="str">
        <f>IF('Part V-Revenues &amp; Expenses'!$K$58=0,"",'Part V-Revenues &amp; Expenses'!$K$58)</f>
        <v/>
      </c>
      <c r="C346" s="620" t="s">
        <v>4079</v>
      </c>
      <c r="D346" s="638" t="s">
        <v>4080</v>
      </c>
    </row>
    <row r="347" spans="1:8" ht="1.95" customHeight="1"/>
    <row r="348" spans="1:8" ht="12.75" customHeight="1">
      <c r="C348" s="617" t="s">
        <v>2887</v>
      </c>
      <c r="D348" s="639" t="s">
        <v>1844</v>
      </c>
      <c r="E348" s="640"/>
      <c r="F348" s="4858" t="s">
        <v>2888</v>
      </c>
      <c r="G348" s="4858"/>
      <c r="H348" s="4858"/>
    </row>
    <row r="349" spans="1:8" ht="12.75" customHeight="1">
      <c r="C349" s="641" t="s">
        <v>1275</v>
      </c>
      <c r="D349" s="639" t="s">
        <v>1846</v>
      </c>
      <c r="E349" s="4858" t="s">
        <v>2985</v>
      </c>
      <c r="F349" s="4858"/>
      <c r="G349" s="4858"/>
      <c r="H349" s="4858"/>
    </row>
    <row r="350" spans="1:8" ht="12.75" customHeight="1">
      <c r="C350" s="1449" t="s">
        <v>4084</v>
      </c>
      <c r="E350" s="4858" t="s">
        <v>3121</v>
      </c>
      <c r="F350" s="4858"/>
      <c r="G350" s="4858"/>
      <c r="H350" s="4858"/>
    </row>
    <row r="351" spans="1:8" ht="12.75" customHeight="1">
      <c r="C351" s="1450"/>
      <c r="D351" s="1448" t="s">
        <v>2984</v>
      </c>
      <c r="E351" s="4859" t="s">
        <v>3122</v>
      </c>
      <c r="F351" s="4859"/>
      <c r="G351" s="4859"/>
      <c r="H351" s="4859"/>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58" t="s">
        <v>2985</v>
      </c>
      <c r="F354" s="4858"/>
      <c r="G354" s="4858"/>
      <c r="H354" s="4858"/>
    </row>
    <row r="355" spans="1:8" ht="12.75" customHeight="1">
      <c r="C355" s="1449" t="s">
        <v>4084</v>
      </c>
      <c r="E355" s="4858" t="s">
        <v>3121</v>
      </c>
      <c r="F355" s="4858"/>
      <c r="G355" s="4858"/>
      <c r="H355" s="4858"/>
    </row>
    <row r="356" spans="1:8" ht="12.75" customHeight="1">
      <c r="C356" s="1450"/>
      <c r="D356" s="1448" t="s">
        <v>2984</v>
      </c>
      <c r="E356" s="4859" t="s">
        <v>3122</v>
      </c>
      <c r="F356" s="4859"/>
      <c r="G356" s="4859"/>
      <c r="H356" s="4859"/>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58" t="s">
        <v>2985</v>
      </c>
      <c r="F359" s="4858"/>
      <c r="G359" s="4858"/>
      <c r="H359" s="4858"/>
    </row>
    <row r="360" spans="1:8" ht="12.75" customHeight="1">
      <c r="C360" s="1449" t="s">
        <v>4084</v>
      </c>
      <c r="E360" s="4858" t="s">
        <v>3121</v>
      </c>
      <c r="F360" s="4858"/>
      <c r="G360" s="4858"/>
      <c r="H360" s="4858"/>
    </row>
    <row r="361" spans="1:8" ht="12.75" customHeight="1">
      <c r="C361" s="1450"/>
      <c r="D361" s="1448" t="s">
        <v>2984</v>
      </c>
      <c r="E361" s="4859" t="s">
        <v>3122</v>
      </c>
      <c r="F361" s="4859"/>
      <c r="G361" s="4859"/>
      <c r="H361" s="4859"/>
    </row>
    <row r="362" spans="1:8" ht="6" customHeight="1">
      <c r="D362" s="639"/>
      <c r="E362" s="1025"/>
      <c r="F362" s="1025"/>
      <c r="G362" s="1025"/>
      <c r="H362" s="1025"/>
    </row>
    <row r="363" spans="1:8">
      <c r="A363" s="620" t="s">
        <v>2980</v>
      </c>
      <c r="B363" s="637">
        <f>IF('Part V-Revenues &amp; Expenses'!$L$58=0,"",'Part V-Revenues &amp; Expenses'!$L$58)</f>
        <v>14</v>
      </c>
      <c r="C363" s="620" t="s">
        <v>2981</v>
      </c>
      <c r="D363" s="638" t="s">
        <v>3123</v>
      </c>
    </row>
    <row r="364" spans="1:8" ht="1.95" customHeight="1"/>
    <row r="365" spans="1:8" ht="12.75" customHeight="1">
      <c r="C365" s="617" t="s">
        <v>2887</v>
      </c>
      <c r="D365" s="639" t="s">
        <v>1844</v>
      </c>
      <c r="E365" s="640"/>
      <c r="F365" s="636" t="s">
        <v>2888</v>
      </c>
      <c r="G365" s="636"/>
      <c r="H365" s="636"/>
    </row>
    <row r="366" spans="1:8" ht="12.75" customHeight="1">
      <c r="C366" s="641" t="s">
        <v>1275</v>
      </c>
      <c r="D366" s="639" t="s">
        <v>1846</v>
      </c>
      <c r="E366" s="4858" t="s">
        <v>2985</v>
      </c>
      <c r="F366" s="4858"/>
      <c r="G366" s="4858"/>
      <c r="H366" s="4858"/>
    </row>
    <row r="367" spans="1:8" ht="12.75" customHeight="1">
      <c r="C367" s="1449" t="s">
        <v>4084</v>
      </c>
      <c r="E367" s="4858" t="s">
        <v>3121</v>
      </c>
      <c r="F367" s="4858"/>
      <c r="G367" s="4858"/>
      <c r="H367" s="4858"/>
    </row>
    <row r="368" spans="1:8" ht="12.75" customHeight="1">
      <c r="C368" s="1450"/>
      <c r="D368" s="642" t="s">
        <v>2984</v>
      </c>
      <c r="E368" s="4858" t="s">
        <v>3122</v>
      </c>
      <c r="F368" s="4858"/>
      <c r="G368" s="4858"/>
      <c r="H368" s="4858"/>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58" t="s">
        <v>2985</v>
      </c>
      <c r="F371" s="4858"/>
      <c r="G371" s="4858"/>
      <c r="H371" s="4858"/>
    </row>
    <row r="372" spans="1:8" ht="12.75" customHeight="1">
      <c r="C372" s="1449" t="s">
        <v>4084</v>
      </c>
      <c r="E372" s="4858" t="s">
        <v>3121</v>
      </c>
      <c r="F372" s="4858"/>
      <c r="G372" s="4858"/>
      <c r="H372" s="4858"/>
    </row>
    <row r="373" spans="1:8" ht="12.75" customHeight="1">
      <c r="C373" s="1450"/>
      <c r="D373" s="1448" t="s">
        <v>2984</v>
      </c>
      <c r="E373" s="4859" t="s">
        <v>3122</v>
      </c>
      <c r="F373" s="4859"/>
      <c r="G373" s="4859"/>
      <c r="H373" s="4859"/>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58" t="s">
        <v>2985</v>
      </c>
      <c r="F376" s="4858"/>
      <c r="G376" s="4858"/>
      <c r="H376" s="4858"/>
    </row>
    <row r="377" spans="1:8" ht="12.75" customHeight="1">
      <c r="C377" s="1449" t="s">
        <v>4084</v>
      </c>
      <c r="E377" s="4858" t="s">
        <v>3121</v>
      </c>
      <c r="F377" s="4858"/>
      <c r="G377" s="4858"/>
      <c r="H377" s="4858"/>
    </row>
    <row r="378" spans="1:8" ht="12.75" customHeight="1">
      <c r="C378" s="1450"/>
      <c r="D378" s="1448" t="s">
        <v>2984</v>
      </c>
      <c r="E378" s="4859" t="s">
        <v>3122</v>
      </c>
      <c r="F378" s="4859"/>
      <c r="G378" s="4859"/>
      <c r="H378" s="4859"/>
    </row>
    <row r="379" spans="1:8" ht="6" customHeight="1">
      <c r="D379" s="639"/>
      <c r="E379" s="1025"/>
      <c r="F379" s="1025"/>
      <c r="G379" s="1025"/>
      <c r="H379" s="1025"/>
    </row>
    <row r="380" spans="1:8">
      <c r="A380" s="620" t="s">
        <v>2980</v>
      </c>
      <c r="B380" s="637">
        <f>IF('Part V-Revenues &amp; Expenses'!$M$58=0,"",'Part V-Revenues &amp; Expenses'!$M$58)</f>
        <v>22</v>
      </c>
      <c r="C380" s="620" t="s">
        <v>2982</v>
      </c>
      <c r="D380" s="638" t="s">
        <v>3124</v>
      </c>
    </row>
    <row r="381" spans="1:8" ht="1.95" customHeight="1"/>
    <row r="382" spans="1:8" ht="12.75" customHeight="1">
      <c r="C382" s="617" t="s">
        <v>2887</v>
      </c>
      <c r="D382" s="639" t="s">
        <v>1844</v>
      </c>
      <c r="E382" s="640"/>
      <c r="F382" s="636" t="s">
        <v>2888</v>
      </c>
      <c r="G382" s="636"/>
      <c r="H382" s="636"/>
    </row>
    <row r="383" spans="1:8" ht="12.75" customHeight="1">
      <c r="C383" s="641" t="s">
        <v>1275</v>
      </c>
      <c r="D383" s="639" t="s">
        <v>1846</v>
      </c>
      <c r="E383" s="4858" t="s">
        <v>2985</v>
      </c>
      <c r="F383" s="4858"/>
      <c r="G383" s="4858"/>
      <c r="H383" s="4858"/>
    </row>
    <row r="384" spans="1:8" ht="12.75" customHeight="1">
      <c r="C384" s="1449" t="s">
        <v>4084</v>
      </c>
      <c r="E384" s="4858" t="s">
        <v>3121</v>
      </c>
      <c r="F384" s="4858"/>
      <c r="G384" s="4858"/>
      <c r="H384" s="4858"/>
    </row>
    <row r="385" spans="1:8" ht="12.75" customHeight="1">
      <c r="C385" s="1450"/>
      <c r="D385" s="642" t="s">
        <v>2984</v>
      </c>
      <c r="E385" s="4858" t="s">
        <v>3122</v>
      </c>
      <c r="F385" s="4858"/>
      <c r="G385" s="4858"/>
      <c r="H385" s="4858"/>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58" t="s">
        <v>2985</v>
      </c>
      <c r="F388" s="4858"/>
      <c r="G388" s="4858"/>
      <c r="H388" s="4858"/>
    </row>
    <row r="389" spans="1:8" ht="12.75" customHeight="1">
      <c r="C389" s="1449" t="s">
        <v>4084</v>
      </c>
      <c r="E389" s="4858" t="s">
        <v>3121</v>
      </c>
      <c r="F389" s="4858"/>
      <c r="G389" s="4858"/>
      <c r="H389" s="4858"/>
    </row>
    <row r="390" spans="1:8" ht="12.75" customHeight="1">
      <c r="C390" s="1450"/>
      <c r="D390" s="1448" t="s">
        <v>2984</v>
      </c>
      <c r="E390" s="4859" t="s">
        <v>3122</v>
      </c>
      <c r="F390" s="4859"/>
      <c r="G390" s="4859"/>
      <c r="H390" s="4859"/>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58" t="s">
        <v>2985</v>
      </c>
      <c r="F393" s="4858"/>
      <c r="G393" s="4858"/>
      <c r="H393" s="4858"/>
    </row>
    <row r="394" spans="1:8" ht="12.75" customHeight="1">
      <c r="C394" s="1449" t="s">
        <v>4084</v>
      </c>
      <c r="E394" s="4858" t="s">
        <v>3121</v>
      </c>
      <c r="F394" s="4858"/>
      <c r="G394" s="4858"/>
      <c r="H394" s="4858"/>
    </row>
    <row r="395" spans="1:8" ht="12.75" customHeight="1">
      <c r="C395" s="1450"/>
      <c r="D395" s="1448" t="s">
        <v>2984</v>
      </c>
      <c r="E395" s="4859" t="s">
        <v>3122</v>
      </c>
      <c r="F395" s="4859"/>
      <c r="G395" s="4859"/>
      <c r="H395" s="4859"/>
    </row>
    <row r="396" spans="1:8" ht="6" customHeight="1">
      <c r="D396" s="639"/>
      <c r="E396" s="1025"/>
      <c r="F396" s="1025"/>
      <c r="G396" s="1025"/>
      <c r="H396" s="1025"/>
    </row>
    <row r="397" spans="1:8">
      <c r="A397" s="620" t="s">
        <v>2980</v>
      </c>
      <c r="B397" s="637">
        <f>IF('Part V-Revenues &amp; Expenses'!$N$58=0,"",'Part V-Revenues &amp; Expenses'!$N$58)</f>
        <v>4</v>
      </c>
      <c r="C397" s="620" t="s">
        <v>2983</v>
      </c>
      <c r="D397" s="638" t="s">
        <v>3125</v>
      </c>
    </row>
    <row r="398" spans="1:8" ht="1.95" customHeight="1"/>
    <row r="399" spans="1:8" ht="12.75" customHeight="1">
      <c r="C399" s="617" t="s">
        <v>2887</v>
      </c>
      <c r="D399" s="639" t="s">
        <v>1844</v>
      </c>
      <c r="E399" s="640"/>
      <c r="F399" s="636" t="s">
        <v>2888</v>
      </c>
      <c r="G399" s="636"/>
      <c r="H399" s="636"/>
    </row>
    <row r="400" spans="1:8" ht="12.75" customHeight="1">
      <c r="C400" s="641" t="s">
        <v>1275</v>
      </c>
      <c r="D400" s="639" t="s">
        <v>1846</v>
      </c>
      <c r="E400" s="4858" t="s">
        <v>2985</v>
      </c>
      <c r="F400" s="4858"/>
      <c r="G400" s="4858"/>
      <c r="H400" s="4858"/>
    </row>
    <row r="401" spans="1:11" ht="12.75" customHeight="1">
      <c r="C401" s="1449" t="s">
        <v>4084</v>
      </c>
      <c r="E401" s="4858" t="s">
        <v>3121</v>
      </c>
      <c r="F401" s="4858"/>
      <c r="G401" s="4858"/>
      <c r="H401" s="4858"/>
    </row>
    <row r="402" spans="1:11" ht="12.75" customHeight="1">
      <c r="C402" s="1450"/>
      <c r="D402" s="642" t="s">
        <v>2984</v>
      </c>
      <c r="E402" s="4858" t="s">
        <v>3122</v>
      </c>
      <c r="F402" s="4858"/>
      <c r="G402" s="4858"/>
      <c r="H402" s="4858"/>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58" t="s">
        <v>2985</v>
      </c>
      <c r="F405" s="4858"/>
      <c r="G405" s="4858"/>
      <c r="H405" s="4858"/>
    </row>
    <row r="406" spans="1:11" ht="12.75" customHeight="1">
      <c r="C406" s="1449" t="s">
        <v>4084</v>
      </c>
      <c r="E406" s="4858" t="s">
        <v>3121</v>
      </c>
      <c r="F406" s="4858"/>
      <c r="G406" s="4858"/>
      <c r="H406" s="4858"/>
    </row>
    <row r="407" spans="1:11" ht="12.75" customHeight="1">
      <c r="C407" s="1450"/>
      <c r="D407" s="1448" t="s">
        <v>2984</v>
      </c>
      <c r="E407" s="4859" t="s">
        <v>3122</v>
      </c>
      <c r="F407" s="4859"/>
      <c r="G407" s="4859"/>
      <c r="H407" s="4859"/>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58" t="s">
        <v>2985</v>
      </c>
      <c r="F410" s="4858"/>
      <c r="G410" s="4858"/>
      <c r="H410" s="4858"/>
    </row>
    <row r="411" spans="1:11" ht="12.75" customHeight="1">
      <c r="C411" s="1449" t="s">
        <v>4084</v>
      </c>
      <c r="E411" s="4858" t="s">
        <v>3121</v>
      </c>
      <c r="F411" s="4858"/>
      <c r="G411" s="4858"/>
      <c r="H411" s="4858"/>
    </row>
    <row r="412" spans="1:11" ht="12.75" customHeight="1">
      <c r="C412" s="1450"/>
      <c r="D412" s="1448" t="s">
        <v>2984</v>
      </c>
      <c r="E412" s="4859" t="s">
        <v>3122</v>
      </c>
      <c r="F412" s="4859"/>
      <c r="G412" s="4859"/>
      <c r="H412" s="4859"/>
    </row>
    <row r="413" spans="1:11" ht="6" customHeight="1">
      <c r="D413" s="639"/>
      <c r="E413" s="1025"/>
      <c r="F413" s="1025"/>
      <c r="G413" s="1025"/>
      <c r="H413" s="1025"/>
    </row>
    <row r="414" spans="1:11">
      <c r="A414" s="620" t="s">
        <v>2980</v>
      </c>
      <c r="B414" s="637" t="str">
        <f>IF('Part V-Revenues &amp; Expenses'!$O$58=0,"",'Part V-Revenues &amp; Expenses'!$O$58)</f>
        <v/>
      </c>
      <c r="C414" s="620" t="s">
        <v>4082</v>
      </c>
      <c r="D414" s="638" t="s">
        <v>4083</v>
      </c>
    </row>
    <row r="415" spans="1:11" ht="1.95" customHeight="1"/>
    <row r="416" spans="1:11" ht="12.75" customHeight="1">
      <c r="C416" s="617" t="s">
        <v>2887</v>
      </c>
      <c r="D416" s="639" t="s">
        <v>1844</v>
      </c>
      <c r="E416" s="640"/>
      <c r="F416" s="4858" t="s">
        <v>2888</v>
      </c>
      <c r="G416" s="4858"/>
      <c r="H416" s="4858"/>
      <c r="K416" s="432" t="s">
        <v>233</v>
      </c>
    </row>
    <row r="417" spans="1:8" ht="12.75" customHeight="1">
      <c r="C417" s="641" t="s">
        <v>1275</v>
      </c>
      <c r="D417" s="639" t="s">
        <v>1846</v>
      </c>
      <c r="E417" s="4858" t="s">
        <v>2986</v>
      </c>
      <c r="F417" s="4858"/>
      <c r="G417" s="4858"/>
      <c r="H417" s="4858"/>
    </row>
    <row r="418" spans="1:8" ht="12.75" customHeight="1">
      <c r="E418" s="4858" t="s">
        <v>3121</v>
      </c>
      <c r="F418" s="4858"/>
      <c r="G418" s="4858"/>
      <c r="H418" s="4858"/>
    </row>
    <row r="419" spans="1:8" ht="12.75" customHeight="1">
      <c r="D419" s="642" t="s">
        <v>2984</v>
      </c>
      <c r="E419" s="4858" t="s">
        <v>3122</v>
      </c>
      <c r="F419" s="4858"/>
      <c r="G419" s="4858"/>
      <c r="H419" s="4858"/>
    </row>
    <row r="420" spans="1:8" ht="9" customHeight="1" thickBot="1"/>
    <row r="421" spans="1:8" ht="16.2" customHeight="1" thickBot="1">
      <c r="A421" s="4865">
        <v>70</v>
      </c>
      <c r="B421" s="4866"/>
      <c r="C421" s="1451" t="s">
        <v>975</v>
      </c>
    </row>
    <row r="422" spans="1:8" ht="9" customHeight="1">
      <c r="A422" s="611"/>
    </row>
    <row r="423" spans="1:8" ht="28.2" customHeight="1">
      <c r="A423" s="4858" t="s">
        <v>4090</v>
      </c>
      <c r="B423" s="4858"/>
      <c r="C423" s="4858"/>
      <c r="D423" s="4858"/>
      <c r="E423" s="4858"/>
      <c r="F423" s="4858"/>
      <c r="G423" s="4858"/>
      <c r="H423" s="4858"/>
    </row>
    <row r="424" spans="1:8" ht="9" customHeight="1">
      <c r="A424" s="611"/>
    </row>
    <row r="425" spans="1:8">
      <c r="A425" s="620" t="s">
        <v>2980</v>
      </c>
      <c r="B425" s="637" t="str">
        <f>IF('Part V-Revenues &amp; Expenses'!$K$57=0,"",'Part V-Revenues &amp; Expenses'!$K$57)</f>
        <v/>
      </c>
      <c r="C425" s="620" t="s">
        <v>4079</v>
      </c>
      <c r="D425" s="638" t="s">
        <v>4080</v>
      </c>
    </row>
    <row r="426" spans="1:8" ht="1.95" customHeight="1"/>
    <row r="427" spans="1:8" ht="12.75" customHeight="1">
      <c r="C427" s="617" t="s">
        <v>2887</v>
      </c>
      <c r="D427" s="639" t="s">
        <v>1844</v>
      </c>
      <c r="E427" s="640"/>
      <c r="F427" s="4858" t="s">
        <v>2888</v>
      </c>
      <c r="G427" s="4858"/>
      <c r="H427" s="4858"/>
    </row>
    <row r="428" spans="1:8" ht="12.75" customHeight="1">
      <c r="C428" s="641" t="s">
        <v>1275</v>
      </c>
      <c r="D428" s="639" t="s">
        <v>1846</v>
      </c>
      <c r="E428" s="4858" t="s">
        <v>2985</v>
      </c>
      <c r="F428" s="4858"/>
      <c r="G428" s="4858"/>
      <c r="H428" s="4858"/>
    </row>
    <row r="429" spans="1:8" ht="12.75" customHeight="1">
      <c r="C429" s="1449" t="s">
        <v>4084</v>
      </c>
      <c r="E429" s="4858" t="s">
        <v>3121</v>
      </c>
      <c r="F429" s="4858"/>
      <c r="G429" s="4858"/>
      <c r="H429" s="4858"/>
    </row>
    <row r="430" spans="1:8" ht="12.75" customHeight="1">
      <c r="C430" s="1450"/>
      <c r="D430" s="1448" t="s">
        <v>2984</v>
      </c>
      <c r="E430" s="4859" t="s">
        <v>3122</v>
      </c>
      <c r="F430" s="4859"/>
      <c r="G430" s="4859"/>
      <c r="H430" s="4859"/>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58" t="s">
        <v>2985</v>
      </c>
      <c r="F433" s="4858"/>
      <c r="G433" s="4858"/>
      <c r="H433" s="4858"/>
    </row>
    <row r="434" spans="1:8" ht="12.75" customHeight="1">
      <c r="C434" s="1449" t="s">
        <v>4084</v>
      </c>
      <c r="E434" s="4858" t="s">
        <v>3121</v>
      </c>
      <c r="F434" s="4858"/>
      <c r="G434" s="4858"/>
      <c r="H434" s="4858"/>
    </row>
    <row r="435" spans="1:8" ht="12.75" customHeight="1">
      <c r="C435" s="1450"/>
      <c r="D435" s="1448" t="s">
        <v>2984</v>
      </c>
      <c r="E435" s="4859" t="s">
        <v>3122</v>
      </c>
      <c r="F435" s="4859"/>
      <c r="G435" s="4859"/>
      <c r="H435" s="4859"/>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58" t="s">
        <v>2985</v>
      </c>
      <c r="F438" s="4858"/>
      <c r="G438" s="4858"/>
      <c r="H438" s="4858"/>
    </row>
    <row r="439" spans="1:8" ht="12.75" customHeight="1">
      <c r="C439" s="1449" t="s">
        <v>4084</v>
      </c>
      <c r="E439" s="4858" t="s">
        <v>3121</v>
      </c>
      <c r="F439" s="4858"/>
      <c r="G439" s="4858"/>
      <c r="H439" s="4858"/>
    </row>
    <row r="440" spans="1:8" ht="12.75" customHeight="1">
      <c r="C440" s="1450"/>
      <c r="D440" s="1448" t="s">
        <v>2984</v>
      </c>
      <c r="E440" s="4859" t="s">
        <v>3122</v>
      </c>
      <c r="F440" s="4859"/>
      <c r="G440" s="4859"/>
      <c r="H440" s="4859"/>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3123</v>
      </c>
    </row>
    <row r="443" spans="1:8" ht="1.95" customHeight="1"/>
    <row r="444" spans="1:8" ht="12.75" customHeight="1">
      <c r="C444" s="617" t="s">
        <v>2887</v>
      </c>
      <c r="D444" s="639" t="s">
        <v>1844</v>
      </c>
      <c r="E444" s="640"/>
      <c r="F444" s="636" t="s">
        <v>2888</v>
      </c>
      <c r="G444" s="636"/>
      <c r="H444" s="636"/>
    </row>
    <row r="445" spans="1:8" ht="12.75" customHeight="1">
      <c r="C445" s="641" t="s">
        <v>1275</v>
      </c>
      <c r="D445" s="639" t="s">
        <v>1846</v>
      </c>
      <c r="E445" s="4858" t="s">
        <v>2985</v>
      </c>
      <c r="F445" s="4858"/>
      <c r="G445" s="4858"/>
      <c r="H445" s="4858"/>
    </row>
    <row r="446" spans="1:8" ht="12.75" customHeight="1">
      <c r="C446" s="1449" t="s">
        <v>4084</v>
      </c>
      <c r="E446" s="4858" t="s">
        <v>3121</v>
      </c>
      <c r="F446" s="4858"/>
      <c r="G446" s="4858"/>
      <c r="H446" s="4858"/>
    </row>
    <row r="447" spans="1:8" ht="12.75" customHeight="1">
      <c r="C447" s="1450"/>
      <c r="D447" s="642" t="s">
        <v>2984</v>
      </c>
      <c r="E447" s="4858" t="s">
        <v>3122</v>
      </c>
      <c r="F447" s="4858"/>
      <c r="G447" s="4858"/>
      <c r="H447" s="4858"/>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58" t="s">
        <v>2985</v>
      </c>
      <c r="F450" s="4858"/>
      <c r="G450" s="4858"/>
      <c r="H450" s="4858"/>
    </row>
    <row r="451" spans="1:8" ht="12.75" customHeight="1">
      <c r="C451" s="1449" t="s">
        <v>4084</v>
      </c>
      <c r="E451" s="4858" t="s">
        <v>3121</v>
      </c>
      <c r="F451" s="4858"/>
      <c r="G451" s="4858"/>
      <c r="H451" s="4858"/>
    </row>
    <row r="452" spans="1:8" ht="12.75" customHeight="1">
      <c r="C452" s="1450"/>
      <c r="D452" s="1448" t="s">
        <v>2984</v>
      </c>
      <c r="E452" s="4859" t="s">
        <v>3122</v>
      </c>
      <c r="F452" s="4859"/>
      <c r="G452" s="4859"/>
      <c r="H452" s="4859"/>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58" t="s">
        <v>2985</v>
      </c>
      <c r="F455" s="4858"/>
      <c r="G455" s="4858"/>
      <c r="H455" s="4858"/>
    </row>
    <row r="456" spans="1:8" ht="12.75" customHeight="1">
      <c r="C456" s="1449" t="s">
        <v>4084</v>
      </c>
      <c r="E456" s="4858" t="s">
        <v>3121</v>
      </c>
      <c r="F456" s="4858"/>
      <c r="G456" s="4858"/>
      <c r="H456" s="4858"/>
    </row>
    <row r="457" spans="1:8" ht="12.75" customHeight="1">
      <c r="C457" s="1450"/>
      <c r="D457" s="1448" t="s">
        <v>2984</v>
      </c>
      <c r="E457" s="4859" t="s">
        <v>3122</v>
      </c>
      <c r="F457" s="4859"/>
      <c r="G457" s="4859"/>
      <c r="H457" s="4859"/>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3124</v>
      </c>
    </row>
    <row r="460" spans="1:8" ht="1.95" customHeight="1"/>
    <row r="461" spans="1:8" ht="12.75" customHeight="1">
      <c r="C461" s="617" t="s">
        <v>2887</v>
      </c>
      <c r="D461" s="639" t="s">
        <v>1844</v>
      </c>
      <c r="E461" s="640"/>
      <c r="F461" s="636" t="s">
        <v>2888</v>
      </c>
      <c r="G461" s="636"/>
      <c r="H461" s="636"/>
    </row>
    <row r="462" spans="1:8" ht="12.75" customHeight="1">
      <c r="C462" s="641" t="s">
        <v>1275</v>
      </c>
      <c r="D462" s="639" t="s">
        <v>1846</v>
      </c>
      <c r="E462" s="4858" t="s">
        <v>2985</v>
      </c>
      <c r="F462" s="4858"/>
      <c r="G462" s="4858"/>
      <c r="H462" s="4858"/>
    </row>
    <row r="463" spans="1:8" ht="12.75" customHeight="1">
      <c r="C463" s="1449" t="s">
        <v>4084</v>
      </c>
      <c r="E463" s="4858" t="s">
        <v>3121</v>
      </c>
      <c r="F463" s="4858"/>
      <c r="G463" s="4858"/>
      <c r="H463" s="4858"/>
    </row>
    <row r="464" spans="1:8" ht="12.75" customHeight="1">
      <c r="C464" s="1450"/>
      <c r="D464" s="642" t="s">
        <v>2984</v>
      </c>
      <c r="E464" s="4858" t="s">
        <v>3122</v>
      </c>
      <c r="F464" s="4858"/>
      <c r="G464" s="4858"/>
      <c r="H464" s="4858"/>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58" t="s">
        <v>2985</v>
      </c>
      <c r="F467" s="4858"/>
      <c r="G467" s="4858"/>
      <c r="H467" s="4858"/>
    </row>
    <row r="468" spans="1:8" ht="12.75" customHeight="1">
      <c r="C468" s="1449" t="s">
        <v>4084</v>
      </c>
      <c r="E468" s="4858" t="s">
        <v>3121</v>
      </c>
      <c r="F468" s="4858"/>
      <c r="G468" s="4858"/>
      <c r="H468" s="4858"/>
    </row>
    <row r="469" spans="1:8" ht="12.75" customHeight="1">
      <c r="C469" s="1450"/>
      <c r="D469" s="1448" t="s">
        <v>2984</v>
      </c>
      <c r="E469" s="4859" t="s">
        <v>3122</v>
      </c>
      <c r="F469" s="4859"/>
      <c r="G469" s="4859"/>
      <c r="H469" s="4859"/>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58" t="s">
        <v>2985</v>
      </c>
      <c r="F472" s="4858"/>
      <c r="G472" s="4858"/>
      <c r="H472" s="4858"/>
    </row>
    <row r="473" spans="1:8" ht="12.75" customHeight="1">
      <c r="C473" s="1449" t="s">
        <v>4084</v>
      </c>
      <c r="E473" s="4858" t="s">
        <v>3121</v>
      </c>
      <c r="F473" s="4858"/>
      <c r="G473" s="4858"/>
      <c r="H473" s="4858"/>
    </row>
    <row r="474" spans="1:8" ht="12.75" customHeight="1">
      <c r="C474" s="1450"/>
      <c r="D474" s="1448" t="s">
        <v>2984</v>
      </c>
      <c r="E474" s="4859" t="s">
        <v>3122</v>
      </c>
      <c r="F474" s="4859"/>
      <c r="G474" s="4859"/>
      <c r="H474" s="4859"/>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3125</v>
      </c>
    </row>
    <row r="477" spans="1:8" ht="1.95" customHeight="1"/>
    <row r="478" spans="1:8" ht="12.75" customHeight="1">
      <c r="C478" s="617" t="s">
        <v>2887</v>
      </c>
      <c r="D478" s="639" t="s">
        <v>1844</v>
      </c>
      <c r="E478" s="640"/>
      <c r="F478" s="636" t="s">
        <v>2888</v>
      </c>
      <c r="G478" s="636"/>
      <c r="H478" s="636"/>
    </row>
    <row r="479" spans="1:8" ht="12.75" customHeight="1">
      <c r="C479" s="641" t="s">
        <v>1275</v>
      </c>
      <c r="D479" s="639" t="s">
        <v>1846</v>
      </c>
      <c r="E479" s="4858" t="s">
        <v>2985</v>
      </c>
      <c r="F479" s="4858"/>
      <c r="G479" s="4858"/>
      <c r="H479" s="4858"/>
    </row>
    <row r="480" spans="1:8" ht="12.75" customHeight="1">
      <c r="C480" s="1449" t="s">
        <v>4084</v>
      </c>
      <c r="E480" s="4858" t="s">
        <v>3121</v>
      </c>
      <c r="F480" s="4858"/>
      <c r="G480" s="4858"/>
      <c r="H480" s="4858"/>
    </row>
    <row r="481" spans="1:11" ht="12.75" customHeight="1">
      <c r="C481" s="1450"/>
      <c r="D481" s="642" t="s">
        <v>2984</v>
      </c>
      <c r="E481" s="4858" t="s">
        <v>3122</v>
      </c>
      <c r="F481" s="4858"/>
      <c r="G481" s="4858"/>
      <c r="H481" s="4858"/>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58" t="s">
        <v>2985</v>
      </c>
      <c r="F484" s="4858"/>
      <c r="G484" s="4858"/>
      <c r="H484" s="4858"/>
    </row>
    <row r="485" spans="1:11" ht="12.75" customHeight="1">
      <c r="C485" s="1449" t="s">
        <v>4084</v>
      </c>
      <c r="E485" s="4858" t="s">
        <v>3121</v>
      </c>
      <c r="F485" s="4858"/>
      <c r="G485" s="4858"/>
      <c r="H485" s="4858"/>
    </row>
    <row r="486" spans="1:11" ht="12.75" customHeight="1">
      <c r="C486" s="1450"/>
      <c r="D486" s="1448" t="s">
        <v>2984</v>
      </c>
      <c r="E486" s="4859" t="s">
        <v>3122</v>
      </c>
      <c r="F486" s="4859"/>
      <c r="G486" s="4859"/>
      <c r="H486" s="4859"/>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58" t="s">
        <v>2985</v>
      </c>
      <c r="F489" s="4858"/>
      <c r="G489" s="4858"/>
      <c r="H489" s="4858"/>
    </row>
    <row r="490" spans="1:11" ht="12.75" customHeight="1">
      <c r="C490" s="1449" t="s">
        <v>4084</v>
      </c>
      <c r="E490" s="4858" t="s">
        <v>3121</v>
      </c>
      <c r="F490" s="4858"/>
      <c r="G490" s="4858"/>
      <c r="H490" s="4858"/>
    </row>
    <row r="491" spans="1:11" ht="12.75" customHeight="1">
      <c r="C491" s="1450"/>
      <c r="D491" s="1448" t="s">
        <v>2984</v>
      </c>
      <c r="E491" s="4859" t="s">
        <v>3122</v>
      </c>
      <c r="F491" s="4859"/>
      <c r="G491" s="4859"/>
      <c r="H491" s="4859"/>
    </row>
    <row r="492" spans="1:11" ht="6" customHeight="1">
      <c r="D492" s="639"/>
      <c r="E492" s="1025"/>
      <c r="F492" s="1025"/>
      <c r="G492" s="1025"/>
      <c r="H492" s="1025"/>
    </row>
    <row r="493" spans="1:11">
      <c r="A493" s="620" t="s">
        <v>2980</v>
      </c>
      <c r="B493" s="637" t="str">
        <f>IF('Part V-Revenues &amp; Expenses'!$O$57=0,"",'Part V-Revenues &amp; Expenses'!$O$57)</f>
        <v/>
      </c>
      <c r="C493" s="620" t="s">
        <v>4082</v>
      </c>
      <c r="D493" s="638" t="s">
        <v>4083</v>
      </c>
    </row>
    <row r="494" spans="1:11" ht="1.95" customHeight="1"/>
    <row r="495" spans="1:11" ht="12.75" customHeight="1">
      <c r="C495" s="617" t="s">
        <v>2887</v>
      </c>
      <c r="D495" s="639" t="s">
        <v>1844</v>
      </c>
      <c r="E495" s="640"/>
      <c r="F495" s="4858" t="s">
        <v>2888</v>
      </c>
      <c r="G495" s="4858"/>
      <c r="H495" s="4858"/>
      <c r="K495" s="432" t="s">
        <v>233</v>
      </c>
    </row>
    <row r="496" spans="1:11" ht="12.75" customHeight="1">
      <c r="C496" s="641" t="s">
        <v>1275</v>
      </c>
      <c r="D496" s="639" t="s">
        <v>1846</v>
      </c>
      <c r="E496" s="4858" t="s">
        <v>2986</v>
      </c>
      <c r="F496" s="4858"/>
      <c r="G496" s="4858"/>
      <c r="H496" s="4858"/>
    </row>
    <row r="497" spans="1:8" ht="12.75" customHeight="1">
      <c r="E497" s="4858" t="s">
        <v>3121</v>
      </c>
      <c r="F497" s="4858"/>
      <c r="G497" s="4858"/>
      <c r="H497" s="4858"/>
    </row>
    <row r="498" spans="1:8" ht="12.75" customHeight="1">
      <c r="D498" s="642" t="s">
        <v>2984</v>
      </c>
      <c r="E498" s="4858" t="s">
        <v>3122</v>
      </c>
      <c r="F498" s="4858"/>
      <c r="G498" s="4858"/>
      <c r="H498" s="4858"/>
    </row>
    <row r="499" spans="1:8" ht="9" customHeight="1" thickBot="1"/>
    <row r="500" spans="1:8" ht="16.2" customHeight="1" thickBot="1">
      <c r="A500" s="4865">
        <v>80</v>
      </c>
      <c r="B500" s="4866"/>
      <c r="C500" s="1451" t="s">
        <v>975</v>
      </c>
    </row>
    <row r="501" spans="1:8" ht="9" customHeight="1">
      <c r="A501" s="611"/>
    </row>
    <row r="502" spans="1:8" ht="28.2" customHeight="1">
      <c r="A502" s="4858" t="s">
        <v>4091</v>
      </c>
      <c r="B502" s="4858"/>
      <c r="C502" s="4858"/>
      <c r="D502" s="4858"/>
      <c r="E502" s="4858"/>
      <c r="F502" s="4858"/>
      <c r="G502" s="4858"/>
      <c r="H502" s="4858"/>
    </row>
    <row r="503" spans="1:8" ht="9" customHeight="1">
      <c r="A503" s="611"/>
    </row>
    <row r="504" spans="1:8">
      <c r="A504" s="620" t="s">
        <v>2980</v>
      </c>
      <c r="B504" s="637" t="str">
        <f>IF('Part V-Revenues &amp; Expenses'!$K$56=0,"",'Part V-Revenues &amp; Expenses'!$K$56)</f>
        <v/>
      </c>
      <c r="C504" s="620" t="s">
        <v>4079</v>
      </c>
      <c r="D504" s="638" t="s">
        <v>4080</v>
      </c>
    </row>
    <row r="505" spans="1:8" ht="1.95" customHeight="1"/>
    <row r="506" spans="1:8" ht="12.75" customHeight="1">
      <c r="C506" s="617" t="s">
        <v>2887</v>
      </c>
      <c r="D506" s="639" t="s">
        <v>1844</v>
      </c>
      <c r="E506" s="640"/>
      <c r="F506" s="4858" t="s">
        <v>2888</v>
      </c>
      <c r="G506" s="4858"/>
      <c r="H506" s="4858"/>
    </row>
    <row r="507" spans="1:8" ht="12.75" customHeight="1">
      <c r="C507" s="641" t="s">
        <v>1275</v>
      </c>
      <c r="D507" s="639" t="s">
        <v>1846</v>
      </c>
      <c r="E507" s="4858" t="s">
        <v>2985</v>
      </c>
      <c r="F507" s="4858"/>
      <c r="G507" s="4858"/>
      <c r="H507" s="4858"/>
    </row>
    <row r="508" spans="1:8" ht="12.75" customHeight="1">
      <c r="C508" s="1449" t="s">
        <v>4084</v>
      </c>
      <c r="E508" s="4858" t="s">
        <v>3121</v>
      </c>
      <c r="F508" s="4858"/>
      <c r="G508" s="4858"/>
      <c r="H508" s="4858"/>
    </row>
    <row r="509" spans="1:8" ht="12.75" customHeight="1">
      <c r="C509" s="1450"/>
      <c r="D509" s="1448" t="s">
        <v>2984</v>
      </c>
      <c r="E509" s="4859" t="s">
        <v>3122</v>
      </c>
      <c r="F509" s="4859"/>
      <c r="G509" s="4859"/>
      <c r="H509" s="4859"/>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58" t="s">
        <v>2985</v>
      </c>
      <c r="F512" s="4858"/>
      <c r="G512" s="4858"/>
      <c r="H512" s="4858"/>
    </row>
    <row r="513" spans="1:8" ht="12.75" customHeight="1">
      <c r="C513" s="1449" t="s">
        <v>4084</v>
      </c>
      <c r="E513" s="4858" t="s">
        <v>3121</v>
      </c>
      <c r="F513" s="4858"/>
      <c r="G513" s="4858"/>
      <c r="H513" s="4858"/>
    </row>
    <row r="514" spans="1:8" ht="12.75" customHeight="1">
      <c r="C514" s="1450"/>
      <c r="D514" s="1448" t="s">
        <v>2984</v>
      </c>
      <c r="E514" s="4859" t="s">
        <v>3122</v>
      </c>
      <c r="F514" s="4859"/>
      <c r="G514" s="4859"/>
      <c r="H514" s="4859"/>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58" t="s">
        <v>2985</v>
      </c>
      <c r="F517" s="4858"/>
      <c r="G517" s="4858"/>
      <c r="H517" s="4858"/>
    </row>
    <row r="518" spans="1:8" ht="12.75" customHeight="1">
      <c r="C518" s="1449" t="s">
        <v>4084</v>
      </c>
      <c r="E518" s="4858" t="s">
        <v>3121</v>
      </c>
      <c r="F518" s="4858"/>
      <c r="G518" s="4858"/>
      <c r="H518" s="4858"/>
    </row>
    <row r="519" spans="1:8" ht="12.75" customHeight="1">
      <c r="C519" s="1450"/>
      <c r="D519" s="1448" t="s">
        <v>2984</v>
      </c>
      <c r="E519" s="4859" t="s">
        <v>3122</v>
      </c>
      <c r="F519" s="4859"/>
      <c r="G519" s="4859"/>
      <c r="H519" s="4859"/>
    </row>
    <row r="520" spans="1:8" ht="6" customHeight="1">
      <c r="D520" s="639"/>
      <c r="E520" s="1025"/>
      <c r="F520" s="1025"/>
      <c r="G520" s="1025"/>
      <c r="H520" s="1025"/>
    </row>
    <row r="521" spans="1:8">
      <c r="A521" s="620" t="s">
        <v>2980</v>
      </c>
      <c r="B521" s="637" t="str">
        <f>IF('Part V-Revenues &amp; Expenses'!$L$56=0,"",'Part V-Revenues &amp; Expenses'!$L$56)</f>
        <v/>
      </c>
      <c r="C521" s="620" t="s">
        <v>2981</v>
      </c>
      <c r="D521" s="638" t="s">
        <v>3123</v>
      </c>
    </row>
    <row r="522" spans="1:8" ht="1.95" customHeight="1"/>
    <row r="523" spans="1:8" ht="12.75" customHeight="1">
      <c r="C523" s="617" t="s">
        <v>2887</v>
      </c>
      <c r="D523" s="639" t="s">
        <v>1844</v>
      </c>
      <c r="E523" s="640"/>
      <c r="F523" s="636" t="s">
        <v>2888</v>
      </c>
      <c r="G523" s="636"/>
      <c r="H523" s="636"/>
    </row>
    <row r="524" spans="1:8" ht="12.75" customHeight="1">
      <c r="C524" s="641" t="s">
        <v>1275</v>
      </c>
      <c r="D524" s="639" t="s">
        <v>1846</v>
      </c>
      <c r="E524" s="4858" t="s">
        <v>2985</v>
      </c>
      <c r="F524" s="4858"/>
      <c r="G524" s="4858"/>
      <c r="H524" s="4858"/>
    </row>
    <row r="525" spans="1:8" ht="12.75" customHeight="1">
      <c r="C525" s="1449" t="s">
        <v>4084</v>
      </c>
      <c r="E525" s="4858" t="s">
        <v>3121</v>
      </c>
      <c r="F525" s="4858"/>
      <c r="G525" s="4858"/>
      <c r="H525" s="4858"/>
    </row>
    <row r="526" spans="1:8" ht="12.75" customHeight="1">
      <c r="C526" s="1450"/>
      <c r="D526" s="642" t="s">
        <v>2984</v>
      </c>
      <c r="E526" s="4858" t="s">
        <v>3122</v>
      </c>
      <c r="F526" s="4858"/>
      <c r="G526" s="4858"/>
      <c r="H526" s="4858"/>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58" t="s">
        <v>2985</v>
      </c>
      <c r="F529" s="4858"/>
      <c r="G529" s="4858"/>
      <c r="H529" s="4858"/>
    </row>
    <row r="530" spans="1:8" ht="12.75" customHeight="1">
      <c r="C530" s="1449" t="s">
        <v>4084</v>
      </c>
      <c r="E530" s="4858" t="s">
        <v>3121</v>
      </c>
      <c r="F530" s="4858"/>
      <c r="G530" s="4858"/>
      <c r="H530" s="4858"/>
    </row>
    <row r="531" spans="1:8" ht="12.75" customHeight="1">
      <c r="C531" s="1450"/>
      <c r="D531" s="1448" t="s">
        <v>2984</v>
      </c>
      <c r="E531" s="4859" t="s">
        <v>3122</v>
      </c>
      <c r="F531" s="4859"/>
      <c r="G531" s="4859"/>
      <c r="H531" s="4859"/>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58" t="s">
        <v>2985</v>
      </c>
      <c r="F534" s="4858"/>
      <c r="G534" s="4858"/>
      <c r="H534" s="4858"/>
    </row>
    <row r="535" spans="1:8" ht="12.75" customHeight="1">
      <c r="C535" s="1449" t="s">
        <v>4084</v>
      </c>
      <c r="E535" s="4858" t="s">
        <v>3121</v>
      </c>
      <c r="F535" s="4858"/>
      <c r="G535" s="4858"/>
      <c r="H535" s="4858"/>
    </row>
    <row r="536" spans="1:8" ht="12.75" customHeight="1">
      <c r="C536" s="1450"/>
      <c r="D536" s="1448" t="s">
        <v>2984</v>
      </c>
      <c r="E536" s="4859" t="s">
        <v>3122</v>
      </c>
      <c r="F536" s="4859"/>
      <c r="G536" s="4859"/>
      <c r="H536" s="4859"/>
    </row>
    <row r="537" spans="1:8" ht="6" customHeight="1">
      <c r="D537" s="639"/>
      <c r="E537" s="1025"/>
      <c r="F537" s="1025"/>
      <c r="G537" s="1025"/>
      <c r="H537" s="1025"/>
    </row>
    <row r="538" spans="1:8">
      <c r="A538" s="620" t="s">
        <v>2980</v>
      </c>
      <c r="B538" s="637" t="str">
        <f>IF('Part V-Revenues &amp; Expenses'!$M$56=0,"",'Part V-Revenues &amp; Expenses'!$M$56)</f>
        <v/>
      </c>
      <c r="C538" s="620" t="s">
        <v>2982</v>
      </c>
      <c r="D538" s="638" t="s">
        <v>3124</v>
      </c>
    </row>
    <row r="539" spans="1:8" ht="1.95" customHeight="1"/>
    <row r="540" spans="1:8" ht="12.75" customHeight="1">
      <c r="C540" s="617" t="s">
        <v>2887</v>
      </c>
      <c r="D540" s="639" t="s">
        <v>1844</v>
      </c>
      <c r="E540" s="640"/>
      <c r="F540" s="636" t="s">
        <v>2888</v>
      </c>
      <c r="G540" s="636"/>
      <c r="H540" s="636"/>
    </row>
    <row r="541" spans="1:8" ht="12.75" customHeight="1">
      <c r="C541" s="641" t="s">
        <v>1275</v>
      </c>
      <c r="D541" s="639" t="s">
        <v>1846</v>
      </c>
      <c r="E541" s="4858" t="s">
        <v>2985</v>
      </c>
      <c r="F541" s="4858"/>
      <c r="G541" s="4858"/>
      <c r="H541" s="4858"/>
    </row>
    <row r="542" spans="1:8" ht="12.75" customHeight="1">
      <c r="C542" s="1449" t="s">
        <v>4084</v>
      </c>
      <c r="E542" s="4858" t="s">
        <v>3121</v>
      </c>
      <c r="F542" s="4858"/>
      <c r="G542" s="4858"/>
      <c r="H542" s="4858"/>
    </row>
    <row r="543" spans="1:8" ht="12.75" customHeight="1">
      <c r="C543" s="1450"/>
      <c r="D543" s="642" t="s">
        <v>2984</v>
      </c>
      <c r="E543" s="4858" t="s">
        <v>3122</v>
      </c>
      <c r="F543" s="4858"/>
      <c r="G543" s="4858"/>
      <c r="H543" s="4858"/>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58" t="s">
        <v>2985</v>
      </c>
      <c r="F546" s="4858"/>
      <c r="G546" s="4858"/>
      <c r="H546" s="4858"/>
    </row>
    <row r="547" spans="1:8" ht="12.75" customHeight="1">
      <c r="C547" s="1449" t="s">
        <v>4084</v>
      </c>
      <c r="E547" s="4858" t="s">
        <v>3121</v>
      </c>
      <c r="F547" s="4858"/>
      <c r="G547" s="4858"/>
      <c r="H547" s="4858"/>
    </row>
    <row r="548" spans="1:8" ht="12.75" customHeight="1">
      <c r="C548" s="1450"/>
      <c r="D548" s="1448" t="s">
        <v>2984</v>
      </c>
      <c r="E548" s="4859" t="s">
        <v>3122</v>
      </c>
      <c r="F548" s="4859"/>
      <c r="G548" s="4859"/>
      <c r="H548" s="4859"/>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58" t="s">
        <v>2985</v>
      </c>
      <c r="F551" s="4858"/>
      <c r="G551" s="4858"/>
      <c r="H551" s="4858"/>
    </row>
    <row r="552" spans="1:8" ht="12.75" customHeight="1">
      <c r="C552" s="1449" t="s">
        <v>4084</v>
      </c>
      <c r="E552" s="4858" t="s">
        <v>3121</v>
      </c>
      <c r="F552" s="4858"/>
      <c r="G552" s="4858"/>
      <c r="H552" s="4858"/>
    </row>
    <row r="553" spans="1:8" ht="12.75" customHeight="1">
      <c r="C553" s="1450"/>
      <c r="D553" s="1448" t="s">
        <v>2984</v>
      </c>
      <c r="E553" s="4859" t="s">
        <v>3122</v>
      </c>
      <c r="F553" s="4859"/>
      <c r="G553" s="4859"/>
      <c r="H553" s="4859"/>
    </row>
    <row r="554" spans="1:8" ht="6" customHeight="1">
      <c r="D554" s="639"/>
      <c r="E554" s="1025"/>
      <c r="F554" s="1025"/>
      <c r="G554" s="1025"/>
      <c r="H554" s="1025"/>
    </row>
    <row r="555" spans="1:8">
      <c r="A555" s="620" t="s">
        <v>2980</v>
      </c>
      <c r="B555" s="637" t="str">
        <f>IF('Part V-Revenues &amp; Expenses'!$N$56=0,"",'Part V-Revenues &amp; Expenses'!$N$56)</f>
        <v/>
      </c>
      <c r="C555" s="620" t="s">
        <v>2983</v>
      </c>
      <c r="D555" s="638" t="s">
        <v>3125</v>
      </c>
    </row>
    <row r="556" spans="1:8" ht="1.95" customHeight="1"/>
    <row r="557" spans="1:8" ht="12.75" customHeight="1">
      <c r="C557" s="617" t="s">
        <v>2887</v>
      </c>
      <c r="D557" s="639" t="s">
        <v>1844</v>
      </c>
      <c r="E557" s="640"/>
      <c r="F557" s="636" t="s">
        <v>2888</v>
      </c>
      <c r="G557" s="636"/>
      <c r="H557" s="636"/>
    </row>
    <row r="558" spans="1:8" ht="12.75" customHeight="1">
      <c r="C558" s="641" t="s">
        <v>1275</v>
      </c>
      <c r="D558" s="639" t="s">
        <v>1846</v>
      </c>
      <c r="E558" s="4858" t="s">
        <v>2985</v>
      </c>
      <c r="F558" s="4858"/>
      <c r="G558" s="4858"/>
      <c r="H558" s="4858"/>
    </row>
    <row r="559" spans="1:8" ht="12.75" customHeight="1">
      <c r="C559" s="1449" t="s">
        <v>4084</v>
      </c>
      <c r="E559" s="4858" t="s">
        <v>3121</v>
      </c>
      <c r="F559" s="4858"/>
      <c r="G559" s="4858"/>
      <c r="H559" s="4858"/>
    </row>
    <row r="560" spans="1:8" ht="12.75" customHeight="1">
      <c r="C560" s="1450"/>
      <c r="D560" s="642" t="s">
        <v>2984</v>
      </c>
      <c r="E560" s="4858" t="s">
        <v>3122</v>
      </c>
      <c r="F560" s="4858"/>
      <c r="G560" s="4858"/>
      <c r="H560" s="4858"/>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58" t="s">
        <v>2985</v>
      </c>
      <c r="F563" s="4858"/>
      <c r="G563" s="4858"/>
      <c r="H563" s="4858"/>
    </row>
    <row r="564" spans="1:11" ht="12.75" customHeight="1">
      <c r="C564" s="1449" t="s">
        <v>4084</v>
      </c>
      <c r="E564" s="4858" t="s">
        <v>3121</v>
      </c>
      <c r="F564" s="4858"/>
      <c r="G564" s="4858"/>
      <c r="H564" s="4858"/>
    </row>
    <row r="565" spans="1:11" ht="12.75" customHeight="1">
      <c r="C565" s="1450"/>
      <c r="D565" s="1448" t="s">
        <v>2984</v>
      </c>
      <c r="E565" s="4859" t="s">
        <v>3122</v>
      </c>
      <c r="F565" s="4859"/>
      <c r="G565" s="4859"/>
      <c r="H565" s="4859"/>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58" t="s">
        <v>2985</v>
      </c>
      <c r="F568" s="4858"/>
      <c r="G568" s="4858"/>
      <c r="H568" s="4858"/>
    </row>
    <row r="569" spans="1:11" ht="12.75" customHeight="1">
      <c r="C569" s="1449" t="s">
        <v>4084</v>
      </c>
      <c r="E569" s="4858" t="s">
        <v>3121</v>
      </c>
      <c r="F569" s="4858"/>
      <c r="G569" s="4858"/>
      <c r="H569" s="4858"/>
    </row>
    <row r="570" spans="1:11" ht="12.75" customHeight="1">
      <c r="C570" s="1450"/>
      <c r="D570" s="1448" t="s">
        <v>2984</v>
      </c>
      <c r="E570" s="4859" t="s">
        <v>3122</v>
      </c>
      <c r="F570" s="4859"/>
      <c r="G570" s="4859"/>
      <c r="H570" s="4859"/>
    </row>
    <row r="571" spans="1:11" ht="6" customHeight="1">
      <c r="D571" s="639"/>
      <c r="E571" s="1025"/>
      <c r="F571" s="1025"/>
      <c r="G571" s="1025"/>
      <c r="H571" s="1025"/>
    </row>
    <row r="572" spans="1:11">
      <c r="A572" s="620" t="s">
        <v>2980</v>
      </c>
      <c r="B572" s="637" t="str">
        <f>IF('Part V-Revenues &amp; Expenses'!$O$56=0,"",'Part V-Revenues &amp; Expenses'!$O$56)</f>
        <v/>
      </c>
      <c r="C572" s="620" t="s">
        <v>4082</v>
      </c>
      <c r="D572" s="638" t="s">
        <v>4083</v>
      </c>
    </row>
    <row r="573" spans="1:11" ht="1.95" customHeight="1"/>
    <row r="574" spans="1:11" ht="12.75" customHeight="1">
      <c r="C574" s="617" t="s">
        <v>2887</v>
      </c>
      <c r="D574" s="639" t="s">
        <v>1844</v>
      </c>
      <c r="E574" s="640"/>
      <c r="F574" s="4858" t="s">
        <v>2888</v>
      </c>
      <c r="G574" s="4858"/>
      <c r="H574" s="4858"/>
      <c r="K574" s="432" t="s">
        <v>233</v>
      </c>
    </row>
    <row r="575" spans="1:11" ht="12.75" customHeight="1">
      <c r="C575" s="641" t="s">
        <v>1275</v>
      </c>
      <c r="D575" s="639" t="s">
        <v>1846</v>
      </c>
      <c r="E575" s="4858" t="s">
        <v>2986</v>
      </c>
      <c r="F575" s="4858"/>
      <c r="G575" s="4858"/>
      <c r="H575" s="4858"/>
    </row>
    <row r="576" spans="1:11" ht="12.75" customHeight="1">
      <c r="E576" s="4858" t="s">
        <v>3121</v>
      </c>
      <c r="F576" s="4858"/>
      <c r="G576" s="4858"/>
      <c r="H576" s="4858"/>
    </row>
    <row r="577" spans="4:8" ht="12.75" customHeight="1">
      <c r="D577" s="642" t="s">
        <v>2984</v>
      </c>
      <c r="E577" s="4858" t="s">
        <v>3122</v>
      </c>
      <c r="F577" s="4858"/>
      <c r="G577" s="4858"/>
      <c r="H577" s="4858"/>
    </row>
    <row r="578" spans="4:8" ht="9" customHeight="1"/>
    <row r="579" spans="4:8" ht="7.5" customHeight="1">
      <c r="E579" s="4858"/>
      <c r="F579" s="4858"/>
      <c r="G579" s="4858"/>
      <c r="H579" s="4858"/>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33203125" defaultRowHeight="15.6"/>
  <cols>
    <col min="1" max="1" width="4.5546875" style="432" customWidth="1"/>
    <col min="2" max="2" width="6" style="432" customWidth="1"/>
    <col min="3" max="3" width="8.33203125" style="432" customWidth="1"/>
    <col min="4" max="4" width="7.44140625" style="432" customWidth="1"/>
    <col min="5" max="5" width="7.6640625" style="432" customWidth="1"/>
    <col min="6" max="7" width="6.6640625" style="432" customWidth="1"/>
    <col min="8" max="8" width="5" style="432" customWidth="1"/>
    <col min="9" max="10" width="6.6640625" style="432" customWidth="1"/>
    <col min="11" max="11" width="3.33203125" style="1492" customWidth="1"/>
    <col min="12" max="13" width="6.6640625" style="432" customWidth="1"/>
    <col min="14" max="14" width="8.33203125" style="432" customWidth="1"/>
    <col min="15" max="15" width="9.33203125" style="432"/>
    <col min="16" max="17" width="5.5546875" style="432" customWidth="1"/>
    <col min="18" max="18" width="8.33203125" style="432" customWidth="1"/>
    <col min="19" max="19" width="5.6640625" style="609" customWidth="1"/>
    <col min="20" max="20" width="5.6640625" style="432" customWidth="1"/>
    <col min="21" max="21" width="3.6640625" style="432" customWidth="1"/>
    <col min="22" max="23" width="5.44140625" style="432" customWidth="1"/>
    <col min="24" max="16384" width="9.33203125" style="432"/>
  </cols>
  <sheetData>
    <row r="1" spans="1:14">
      <c r="A1" s="510" t="s">
        <v>2881</v>
      </c>
      <c r="H1" s="614" t="str">
        <f>'Sensitivity Analysis'!C8</f>
        <v>Brightwood Lane Apartments</v>
      </c>
    </row>
    <row r="2" spans="1:14">
      <c r="A2" s="560" t="s">
        <v>2882</v>
      </c>
      <c r="H2" s="432" t="str">
        <f>'Sensitivity Analysis'!E8</f>
        <v>2023-5</v>
      </c>
    </row>
    <row r="3" spans="1:14" ht="3" customHeight="1"/>
    <row r="4" spans="1:14" ht="69.599999999999994" customHeight="1">
      <c r="A4" s="4860" t="s">
        <v>2978</v>
      </c>
      <c r="B4" s="4860"/>
      <c r="C4" s="4860"/>
      <c r="D4" s="4860"/>
      <c r="E4" s="4860"/>
      <c r="F4" s="4860"/>
      <c r="G4" s="4860"/>
      <c r="H4" s="4860"/>
      <c r="I4" s="4860"/>
      <c r="J4" s="4860"/>
      <c r="K4" s="4860"/>
      <c r="L4" s="4867">
        <f>SUM('Part VI-Pro Forma'!B15:B17)/12</f>
        <v>22374.716666666664</v>
      </c>
      <c r="M4" s="4867"/>
      <c r="N4" s="1493" t="s">
        <v>3664</v>
      </c>
    </row>
    <row r="5" spans="1:14" ht="1.5" customHeight="1"/>
    <row r="6" spans="1:14" ht="12.75" customHeight="1">
      <c r="B6" s="635" t="s">
        <v>2240</v>
      </c>
      <c r="C6" s="617" t="s">
        <v>2883</v>
      </c>
      <c r="D6" s="617"/>
      <c r="E6" s="617"/>
      <c r="F6" s="617"/>
      <c r="G6" s="617"/>
      <c r="H6" s="617"/>
    </row>
    <row r="7" spans="1:14" ht="12.75" customHeight="1">
      <c r="B7" s="635" t="s">
        <v>2241</v>
      </c>
      <c r="C7" s="4860" t="s">
        <v>2884</v>
      </c>
      <c r="D7" s="4860"/>
      <c r="E7" s="4860"/>
      <c r="F7" s="4860"/>
      <c r="G7" s="4860"/>
      <c r="H7" s="4860"/>
      <c r="I7" s="4860"/>
      <c r="J7" s="4860"/>
      <c r="K7" s="4860"/>
      <c r="L7" s="4860"/>
      <c r="M7" s="4860"/>
    </row>
    <row r="8" spans="1:14" ht="3" customHeight="1"/>
    <row r="9" spans="1:14">
      <c r="A9" s="432" t="s">
        <v>2885</v>
      </c>
    </row>
    <row r="10" spans="1:14" ht="1.5" customHeight="1"/>
    <row r="11" spans="1:14" ht="26.25" customHeight="1">
      <c r="A11" s="636" t="s">
        <v>1841</v>
      </c>
      <c r="B11" s="4860" t="s">
        <v>2975</v>
      </c>
      <c r="C11" s="4860"/>
      <c r="D11" s="4860"/>
      <c r="E11" s="4860"/>
      <c r="F11" s="4860"/>
      <c r="G11" s="4860"/>
      <c r="H11" s="4860"/>
      <c r="I11" s="4860"/>
      <c r="J11" s="4860"/>
      <c r="K11" s="4860"/>
      <c r="L11" s="4861">
        <f>'Part II-Sources of Funds'!I51+'Part II-Sources of Funds'!I52</f>
        <v>2851890</v>
      </c>
      <c r="M11" s="4861"/>
    </row>
    <row r="12" spans="1:14" ht="1.5" customHeight="1">
      <c r="G12" s="617"/>
      <c r="H12" s="617"/>
    </row>
    <row r="13" spans="1:14" ht="25.95" customHeight="1">
      <c r="A13" s="636" t="s">
        <v>1843</v>
      </c>
      <c r="B13" s="4860" t="s">
        <v>2976</v>
      </c>
      <c r="C13" s="4860"/>
      <c r="D13" s="4860"/>
      <c r="E13" s="4860"/>
      <c r="F13" s="4860"/>
      <c r="G13" s="4860"/>
      <c r="H13" s="4860"/>
      <c r="I13" s="4860"/>
      <c r="J13" s="4860"/>
      <c r="K13" s="4860"/>
      <c r="L13" s="4862" t="s">
        <v>2813</v>
      </c>
      <c r="M13" s="4862"/>
    </row>
    <row r="14" spans="1:14">
      <c r="A14" s="636"/>
      <c r="B14" s="4826"/>
      <c r="C14" s="4826"/>
      <c r="D14" s="4826"/>
      <c r="E14" s="4826"/>
      <c r="F14" s="4826"/>
      <c r="G14" s="4826"/>
      <c r="H14" s="4826"/>
    </row>
    <row r="15" spans="1:14" ht="3" customHeight="1"/>
    <row r="16" spans="1:14">
      <c r="A16" s="636" t="s">
        <v>698</v>
      </c>
      <c r="B16" s="432" t="s">
        <v>2979</v>
      </c>
      <c r="L16" s="4863" t="s">
        <v>2652</v>
      </c>
      <c r="M16" s="4863"/>
    </row>
    <row r="17" spans="1:19" ht="1.5" customHeight="1">
      <c r="L17" s="620"/>
    </row>
    <row r="18" spans="1:19" ht="12" customHeight="1">
      <c r="A18" s="636" t="s">
        <v>1962</v>
      </c>
      <c r="B18" s="617" t="s">
        <v>2977</v>
      </c>
      <c r="C18" s="636"/>
      <c r="D18" s="636"/>
      <c r="E18" s="636"/>
      <c r="L18" s="4826" t="s">
        <v>2514</v>
      </c>
      <c r="M18" s="4826"/>
    </row>
    <row r="19" spans="1:19" ht="12" hidden="1" customHeight="1">
      <c r="B19" s="4826"/>
      <c r="C19" s="4826"/>
      <c r="D19" s="4826"/>
      <c r="E19" s="4826"/>
      <c r="F19" s="4826"/>
      <c r="G19" s="4826"/>
      <c r="H19" s="4826"/>
    </row>
    <row r="20" spans="1:19" ht="13.5" customHeight="1"/>
    <row r="21" spans="1:19" ht="12" customHeight="1">
      <c r="A21" s="560" t="s">
        <v>2886</v>
      </c>
    </row>
    <row r="22" spans="1:19" ht="3" customHeight="1"/>
    <row r="23" spans="1:19" ht="42.6" customHeight="1">
      <c r="A23" s="4864" t="s">
        <v>4081</v>
      </c>
      <c r="B23" s="4864"/>
      <c r="C23" s="4864"/>
      <c r="D23" s="4864"/>
      <c r="E23" s="4864"/>
      <c r="F23" s="4864"/>
      <c r="G23" s="4864"/>
      <c r="H23" s="4864"/>
      <c r="I23" s="4864"/>
      <c r="J23" s="4864"/>
      <c r="K23" s="4864"/>
      <c r="L23" s="4864"/>
      <c r="M23" s="4864"/>
    </row>
    <row r="24" spans="1:19" ht="18" customHeight="1">
      <c r="E24" s="616" t="s">
        <v>526</v>
      </c>
      <c r="F24" s="616" t="s">
        <v>500</v>
      </c>
      <c r="G24" s="616" t="s">
        <v>501</v>
      </c>
      <c r="H24" s="616" t="s">
        <v>502</v>
      </c>
      <c r="I24" s="616" t="s">
        <v>503</v>
      </c>
      <c r="J24" s="616" t="s">
        <v>504</v>
      </c>
      <c r="K24" s="432"/>
      <c r="S24" s="432"/>
    </row>
    <row r="25" spans="1:19" ht="14.25" customHeight="1">
      <c r="C25" s="736" t="s">
        <v>3677</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3678</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14</v>
      </c>
      <c r="G27" s="1585">
        <f>'Part V-Revenues &amp; Expenses'!M58</f>
        <v>22</v>
      </c>
      <c r="H27" s="1585">
        <f>'Part V-Revenues &amp; Expenses'!N58</f>
        <v>4</v>
      </c>
      <c r="I27" s="1585">
        <f>'Part V-Revenues &amp; Expenses'!O58</f>
        <v>0</v>
      </c>
      <c r="J27" s="1586">
        <f>'Part V-Revenues &amp; Expenses'!P58</f>
        <v>40</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2" customHeight="1">
      <c r="C29" s="736" t="s">
        <v>3679</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2" customHeight="1">
      <c r="C30" s="736" t="s">
        <v>3680</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2" customHeight="1">
      <c r="C31" s="736" t="s">
        <v>3681</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2" customHeight="1">
      <c r="C32" s="439" t="s">
        <v>504</v>
      </c>
      <c r="D32" s="439"/>
      <c r="E32" s="1587">
        <f>'Part V-Revenues &amp; Expenses'!K63</f>
        <v>0</v>
      </c>
      <c r="F32" s="1579">
        <f>'Part V-Revenues &amp; Expenses'!L63</f>
        <v>14</v>
      </c>
      <c r="G32" s="1579">
        <f>'Part V-Revenues &amp; Expenses'!M63</f>
        <v>22</v>
      </c>
      <c r="H32" s="1579">
        <f>'Part V-Revenues &amp; Expenses'!N63</f>
        <v>4</v>
      </c>
      <c r="I32" s="1579">
        <f>'Part V-Revenues &amp; Expenses'!O63</f>
        <v>0</v>
      </c>
      <c r="J32" s="1588">
        <f>'Part V-Revenues &amp; Expenses'!P63</f>
        <v>40</v>
      </c>
      <c r="K32" s="432"/>
      <c r="S32" s="432"/>
    </row>
    <row r="33" spans="1:12" s="432" customFormat="1" ht="13.2" customHeight="1" thickBot="1">
      <c r="K33" s="1492"/>
    </row>
    <row r="34" spans="1:12" s="432" customFormat="1" ht="14.25" customHeight="1" thickBot="1">
      <c r="A34" s="1492"/>
      <c r="B34" s="4874" t="s">
        <v>6172</v>
      </c>
      <c r="E34" s="4875" t="s">
        <v>6068</v>
      </c>
      <c r="F34" s="4876"/>
      <c r="G34" s="4876"/>
      <c r="H34" s="4876"/>
      <c r="I34" s="4876"/>
      <c r="J34" s="4876"/>
      <c r="K34" s="4876"/>
      <c r="L34" s="4877"/>
    </row>
    <row r="35" spans="1:12" s="432" customFormat="1" ht="14.25" customHeight="1">
      <c r="A35" s="1492"/>
      <c r="B35" s="4874"/>
      <c r="C35" s="4878" t="s">
        <v>6173</v>
      </c>
      <c r="D35" s="4874" t="s">
        <v>6174</v>
      </c>
      <c r="E35" s="4879" t="s">
        <v>6071</v>
      </c>
      <c r="F35" s="4880"/>
      <c r="G35" s="4883" t="s">
        <v>1275</v>
      </c>
      <c r="H35" s="4885" t="s">
        <v>6067</v>
      </c>
      <c r="I35" s="4886"/>
      <c r="J35" s="4886"/>
      <c r="K35" s="4886"/>
      <c r="L35" s="4887"/>
    </row>
    <row r="36" spans="1:12" s="432" customFormat="1" ht="23.25" customHeight="1">
      <c r="A36" s="4878" t="s">
        <v>975</v>
      </c>
      <c r="B36" s="4874"/>
      <c r="C36" s="4878"/>
      <c r="D36" s="4874"/>
      <c r="E36" s="4881"/>
      <c r="F36" s="4882"/>
      <c r="G36" s="4884"/>
      <c r="H36" s="4888" t="s">
        <v>6069</v>
      </c>
      <c r="I36" s="4889"/>
      <c r="J36" s="4892" t="s">
        <v>1275</v>
      </c>
      <c r="K36" s="4889" t="s">
        <v>6070</v>
      </c>
      <c r="L36" s="4894"/>
    </row>
    <row r="37" spans="1:12" s="432" customFormat="1" ht="23.25" customHeight="1">
      <c r="A37" s="4878"/>
      <c r="B37" s="4874"/>
      <c r="C37" s="4878"/>
      <c r="D37" s="4874"/>
      <c r="E37" s="4881"/>
      <c r="F37" s="4882"/>
      <c r="G37" s="4884"/>
      <c r="H37" s="4888"/>
      <c r="I37" s="4889"/>
      <c r="J37" s="4893"/>
      <c r="K37" s="4889"/>
      <c r="L37" s="4894"/>
    </row>
    <row r="38" spans="1:12" s="432" customFormat="1" ht="23.25" customHeight="1">
      <c r="A38" s="4874"/>
      <c r="B38" s="4874"/>
      <c r="C38" s="4874"/>
      <c r="D38" s="4874"/>
      <c r="E38" s="4881"/>
      <c r="F38" s="4882"/>
      <c r="G38" s="4884"/>
      <c r="H38" s="4890"/>
      <c r="I38" s="4891"/>
      <c r="J38" s="4893"/>
      <c r="K38" s="4891"/>
      <c r="L38" s="4895"/>
    </row>
    <row r="39" spans="1:12" s="432" customFormat="1" ht="13.2" customHeight="1">
      <c r="A39" s="1571">
        <f>'Part V-Revenues &amp; Expenses'!B18</f>
        <v>60</v>
      </c>
      <c r="B39" s="1572">
        <f>'Part V-Revenues &amp; Expenses'!E18</f>
        <v>13</v>
      </c>
      <c r="C39" s="1573" t="str">
        <f>_xlfn.CONCAT('Part V-Revenues &amp; Expenses'!C18," / ",'Part V-Revenues &amp; Expenses'!D18)</f>
        <v>1 / 1</v>
      </c>
      <c r="D39" s="1572">
        <f>'Part V-Revenues &amp; Expenses'!F18</f>
        <v>612</v>
      </c>
      <c r="E39" s="4872">
        <f>'Part V-Revenues &amp; Expenses'!H18</f>
        <v>668</v>
      </c>
      <c r="F39" s="4873"/>
      <c r="G39" s="439"/>
      <c r="H39" s="4899"/>
      <c r="I39" s="4900"/>
      <c r="J39" s="4900"/>
      <c r="K39" s="4900"/>
      <c r="L39" s="4901"/>
    </row>
    <row r="40" spans="1:12" s="432" customFormat="1" ht="13.2" customHeight="1">
      <c r="A40" s="1574">
        <f>'Part V-Revenues &amp; Expenses'!B19</f>
        <v>60</v>
      </c>
      <c r="B40" s="1575">
        <f>'Part V-Revenues &amp; Expenses'!E19</f>
        <v>2</v>
      </c>
      <c r="C40" s="1576" t="str">
        <f>_xlfn.CONCAT('Part V-Revenues &amp; Expenses'!C19," / ",'Part V-Revenues &amp; Expenses'!D19)</f>
        <v>2 / 1</v>
      </c>
      <c r="D40" s="1575">
        <f>'Part V-Revenues &amp; Expenses'!F19</f>
        <v>755</v>
      </c>
      <c r="E40" s="4870">
        <f>'Part V-Revenues &amp; Expenses'!H19</f>
        <v>804</v>
      </c>
      <c r="F40" s="4871"/>
      <c r="G40" s="439"/>
      <c r="H40" s="4896"/>
      <c r="I40" s="4897"/>
      <c r="J40" s="4897"/>
      <c r="K40" s="4897"/>
      <c r="L40" s="4898"/>
    </row>
    <row r="41" spans="1:12" s="432" customFormat="1" ht="13.2" customHeight="1">
      <c r="A41" s="1574">
        <f>'Part V-Revenues &amp; Expenses'!B20</f>
        <v>60</v>
      </c>
      <c r="B41" s="1575">
        <f>'Part V-Revenues &amp; Expenses'!E20</f>
        <v>17</v>
      </c>
      <c r="C41" s="1576" t="str">
        <f>_xlfn.CONCAT('Part V-Revenues &amp; Expenses'!C20," / ",'Part V-Revenues &amp; Expenses'!D20)</f>
        <v>2 / 1</v>
      </c>
      <c r="D41" s="1575">
        <f>'Part V-Revenues &amp; Expenses'!F20</f>
        <v>771</v>
      </c>
      <c r="E41" s="4870">
        <f>'Part V-Revenues &amp; Expenses'!H20</f>
        <v>804</v>
      </c>
      <c r="F41" s="4871"/>
      <c r="G41" s="439"/>
      <c r="H41" s="4896"/>
      <c r="I41" s="4897"/>
      <c r="J41" s="4897"/>
      <c r="K41" s="4897"/>
      <c r="L41" s="4898"/>
    </row>
    <row r="42" spans="1:12" s="432" customFormat="1" ht="13.2" customHeight="1">
      <c r="A42" s="1574">
        <f>'Part V-Revenues &amp; Expenses'!B21</f>
        <v>60</v>
      </c>
      <c r="B42" s="1575">
        <f>'Part V-Revenues &amp; Expenses'!E21</f>
        <v>4</v>
      </c>
      <c r="C42" s="1576" t="str">
        <f>_xlfn.CONCAT('Part V-Revenues &amp; Expenses'!C21," / ",'Part V-Revenues &amp; Expenses'!D21)</f>
        <v>3 / 1</v>
      </c>
      <c r="D42" s="1575">
        <f>'Part V-Revenues &amp; Expenses'!F21</f>
        <v>918</v>
      </c>
      <c r="E42" s="4870">
        <f>'Part V-Revenues &amp; Expenses'!H21</f>
        <v>930</v>
      </c>
      <c r="F42" s="4871"/>
      <c r="G42" s="439"/>
      <c r="H42" s="4896"/>
      <c r="I42" s="4897"/>
      <c r="J42" s="4897"/>
      <c r="K42" s="4897"/>
      <c r="L42" s="4898"/>
    </row>
    <row r="43" spans="1:12" s="432" customFormat="1" ht="13.2" customHeight="1">
      <c r="A43" s="1574">
        <f>'Part V-Revenues &amp; Expenses'!B22</f>
        <v>60</v>
      </c>
      <c r="B43" s="1575">
        <f>'Part V-Revenues &amp; Expenses'!E22</f>
        <v>1</v>
      </c>
      <c r="C43" s="1576" t="str">
        <f>_xlfn.CONCAT('Part V-Revenues &amp; Expenses'!C22," / ",'Part V-Revenues &amp; Expenses'!D22)</f>
        <v>1 / 1</v>
      </c>
      <c r="D43" s="1575">
        <f>'Part V-Revenues &amp; Expenses'!F22</f>
        <v>612</v>
      </c>
      <c r="E43" s="4870">
        <f>'Part V-Revenues &amp; Expenses'!H22</f>
        <v>668</v>
      </c>
      <c r="F43" s="4871"/>
      <c r="G43" s="439"/>
      <c r="H43" s="4896"/>
      <c r="I43" s="4897"/>
      <c r="J43" s="4897"/>
      <c r="K43" s="4897"/>
      <c r="L43" s="4898"/>
    </row>
    <row r="44" spans="1:12" s="432" customFormat="1" ht="13.2" customHeight="1">
      <c r="A44" s="1574">
        <f>'Part V-Revenues &amp; Expenses'!B23</f>
        <v>60</v>
      </c>
      <c r="B44" s="1575">
        <f>'Part V-Revenues &amp; Expenses'!E23</f>
        <v>3</v>
      </c>
      <c r="C44" s="1576" t="str">
        <f>_xlfn.CONCAT('Part V-Revenues &amp; Expenses'!C23," / ",'Part V-Revenues &amp; Expenses'!D23)</f>
        <v>2 / 1</v>
      </c>
      <c r="D44" s="1575">
        <f>'Part V-Revenues &amp; Expenses'!F23</f>
        <v>771</v>
      </c>
      <c r="E44" s="4870">
        <f>'Part V-Revenues &amp; Expenses'!H23</f>
        <v>804</v>
      </c>
      <c r="F44" s="4871"/>
      <c r="G44" s="439"/>
      <c r="H44" s="4896"/>
      <c r="I44" s="4897"/>
      <c r="J44" s="4897"/>
      <c r="K44" s="4897"/>
      <c r="L44" s="4898"/>
    </row>
    <row r="45" spans="1:12" s="432" customFormat="1" ht="13.2"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70">
        <f>'Part V-Revenues &amp; Expenses'!H24</f>
        <v>0</v>
      </c>
      <c r="F45" s="4871"/>
      <c r="G45" s="439"/>
      <c r="H45" s="4896"/>
      <c r="I45" s="4897"/>
      <c r="J45" s="4897"/>
      <c r="K45" s="4897"/>
      <c r="L45" s="4898"/>
    </row>
    <row r="46" spans="1:12" s="432" customFormat="1" ht="13.2"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70">
        <f>'Part V-Revenues &amp; Expenses'!H25</f>
        <v>0</v>
      </c>
      <c r="F46" s="4871"/>
      <c r="G46" s="439"/>
      <c r="H46" s="4896"/>
      <c r="I46" s="4897"/>
      <c r="J46" s="4897"/>
      <c r="K46" s="4897"/>
      <c r="L46" s="4898"/>
    </row>
    <row r="47" spans="1:12" s="432" customFormat="1" ht="13.2"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70">
        <f>'Part V-Revenues &amp; Expenses'!H26</f>
        <v>0</v>
      </c>
      <c r="F47" s="4871"/>
      <c r="G47" s="439"/>
      <c r="H47" s="4896"/>
      <c r="I47" s="4897"/>
      <c r="J47" s="4897"/>
      <c r="K47" s="4897"/>
      <c r="L47" s="4898"/>
    </row>
    <row r="48" spans="1:12" s="432" customFormat="1" ht="13.2"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70">
        <f>'Part V-Revenues &amp; Expenses'!H27</f>
        <v>0</v>
      </c>
      <c r="F48" s="4871"/>
      <c r="G48" s="439"/>
      <c r="H48" s="4896"/>
      <c r="I48" s="4897"/>
      <c r="J48" s="4897"/>
      <c r="K48" s="4897"/>
      <c r="L48" s="4898"/>
    </row>
    <row r="49" spans="1:13" s="432" customFormat="1" ht="13.2"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70">
        <f>'Part V-Revenues &amp; Expenses'!H28</f>
        <v>0</v>
      </c>
      <c r="F49" s="4871"/>
      <c r="G49" s="439"/>
      <c r="H49" s="4896"/>
      <c r="I49" s="4897"/>
      <c r="J49" s="4897"/>
      <c r="K49" s="4897"/>
      <c r="L49" s="4898"/>
    </row>
    <row r="50" spans="1:13" s="432" customFormat="1" ht="13.2"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70">
        <f>'Part V-Revenues &amp; Expenses'!H29</f>
        <v>0</v>
      </c>
      <c r="F50" s="4871"/>
      <c r="G50" s="439"/>
      <c r="H50" s="4896"/>
      <c r="I50" s="4897"/>
      <c r="J50" s="4897"/>
      <c r="K50" s="4897"/>
      <c r="L50" s="4898"/>
    </row>
    <row r="51" spans="1:13" s="432" customFormat="1" ht="13.2"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70">
        <f>'Part V-Revenues &amp; Expenses'!H30</f>
        <v>0</v>
      </c>
      <c r="F51" s="4871"/>
      <c r="G51" s="439"/>
      <c r="H51" s="4896"/>
      <c r="I51" s="4897"/>
      <c r="J51" s="4897"/>
      <c r="K51" s="4897"/>
      <c r="L51" s="4898"/>
    </row>
    <row r="52" spans="1:13" s="432" customFormat="1" ht="13.2"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70">
        <f>'Part V-Revenues &amp; Expenses'!H31</f>
        <v>0</v>
      </c>
      <c r="F52" s="4871"/>
      <c r="G52" s="439"/>
      <c r="H52" s="4896"/>
      <c r="I52" s="4897"/>
      <c r="J52" s="4897"/>
      <c r="K52" s="4897"/>
      <c r="L52" s="4898"/>
    </row>
    <row r="53" spans="1:13" s="432" customFormat="1" ht="13.2"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70">
        <f>'Part V-Revenues &amp; Expenses'!H32</f>
        <v>0</v>
      </c>
      <c r="F53" s="4871"/>
      <c r="G53" s="439"/>
      <c r="H53" s="4896"/>
      <c r="I53" s="4897"/>
      <c r="J53" s="4897"/>
      <c r="K53" s="4897"/>
      <c r="L53" s="4898"/>
    </row>
    <row r="54" spans="1:13" s="432" customFormat="1" ht="13.2"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70">
        <f>'Part V-Revenues &amp; Expenses'!H33</f>
        <v>0</v>
      </c>
      <c r="F54" s="4871"/>
      <c r="G54" s="439"/>
      <c r="H54" s="4896"/>
      <c r="I54" s="4897"/>
      <c r="J54" s="4897"/>
      <c r="K54" s="4897"/>
      <c r="L54" s="4898"/>
    </row>
    <row r="55" spans="1:13" s="432" customFormat="1" ht="13.2"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70">
        <f>'Part V-Revenues &amp; Expenses'!H34</f>
        <v>0</v>
      </c>
      <c r="F55" s="4871"/>
      <c r="G55" s="439"/>
      <c r="H55" s="4896"/>
      <c r="I55" s="4897"/>
      <c r="J55" s="4897"/>
      <c r="K55" s="4897"/>
      <c r="L55" s="4898"/>
    </row>
    <row r="56" spans="1:13" s="432" customFormat="1" ht="13.2"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70">
        <f>'Part V-Revenues &amp; Expenses'!H35</f>
        <v>0</v>
      </c>
      <c r="F56" s="4871"/>
      <c r="G56" s="439"/>
      <c r="H56" s="4896"/>
      <c r="I56" s="4897"/>
      <c r="J56" s="4897"/>
      <c r="K56" s="4897"/>
      <c r="L56" s="4898"/>
    </row>
    <row r="57" spans="1:13" s="432" customFormat="1" ht="13.2"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70">
        <f>'Part V-Revenues &amp; Expenses'!H36</f>
        <v>0</v>
      </c>
      <c r="F57" s="4871"/>
      <c r="G57" s="439"/>
      <c r="H57" s="4896"/>
      <c r="I57" s="4897"/>
      <c r="J57" s="4897"/>
      <c r="K57" s="4897"/>
      <c r="L57" s="4898"/>
    </row>
    <row r="58" spans="1:13" s="432" customFormat="1" ht="13.2"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70">
        <f>'Part V-Revenues &amp; Expenses'!H37</f>
        <v>0</v>
      </c>
      <c r="F58" s="4871"/>
      <c r="G58" s="439"/>
      <c r="H58" s="4896"/>
      <c r="I58" s="4897"/>
      <c r="J58" s="4897"/>
      <c r="K58" s="4897"/>
      <c r="L58" s="4898"/>
    </row>
    <row r="59" spans="1:13" s="432" customFormat="1" ht="13.2"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70">
        <f>'Part V-Revenues &amp; Expenses'!H38</f>
        <v>0</v>
      </c>
      <c r="F59" s="4871"/>
      <c r="G59" s="439"/>
      <c r="H59" s="4896"/>
      <c r="I59" s="4897"/>
      <c r="J59" s="4897"/>
      <c r="K59" s="4897"/>
      <c r="L59" s="4898"/>
    </row>
    <row r="60" spans="1:13" s="432" customFormat="1" ht="13.2"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70">
        <f>'Part V-Revenues &amp; Expenses'!H39</f>
        <v>0</v>
      </c>
      <c r="F60" s="4871"/>
      <c r="G60" s="439"/>
      <c r="H60" s="4896"/>
      <c r="I60" s="4897"/>
      <c r="J60" s="4897"/>
      <c r="K60" s="4897"/>
      <c r="L60" s="4898"/>
      <c r="M60" s="616"/>
    </row>
    <row r="61" spans="1:13" s="432" customFormat="1" ht="13.2"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70">
        <f>'Part V-Revenues &amp; Expenses'!H40</f>
        <v>0</v>
      </c>
      <c r="F61" s="4871"/>
      <c r="G61" s="439"/>
      <c r="H61" s="4896"/>
      <c r="I61" s="4897"/>
      <c r="J61" s="4897"/>
      <c r="K61" s="4897"/>
      <c r="L61" s="4898"/>
      <c r="M61" s="616"/>
    </row>
    <row r="62" spans="1:13" s="432" customFormat="1" ht="13.2"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70">
        <f>'Part V-Revenues &amp; Expenses'!H41</f>
        <v>0</v>
      </c>
      <c r="F62" s="4871"/>
      <c r="G62" s="439"/>
      <c r="H62" s="4896"/>
      <c r="I62" s="4897"/>
      <c r="J62" s="4897"/>
      <c r="K62" s="4897"/>
      <c r="L62" s="4898"/>
      <c r="M62" s="616"/>
    </row>
    <row r="63" spans="1:13" s="432" customFormat="1" ht="13.2"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70">
        <f>'Part V-Revenues &amp; Expenses'!H42</f>
        <v>0</v>
      </c>
      <c r="F63" s="4871"/>
      <c r="G63" s="439"/>
      <c r="H63" s="4896"/>
      <c r="I63" s="4897"/>
      <c r="J63" s="4897"/>
      <c r="K63" s="4897"/>
      <c r="L63" s="4898"/>
      <c r="M63" s="616"/>
    </row>
    <row r="64" spans="1:13" s="432" customFormat="1" ht="13.2"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70">
        <f>'Part V-Revenues &amp; Expenses'!H43</f>
        <v>0</v>
      </c>
      <c r="F64" s="4871"/>
      <c r="G64" s="439"/>
      <c r="H64" s="4896"/>
      <c r="I64" s="4897"/>
      <c r="J64" s="4897"/>
      <c r="K64" s="4897"/>
      <c r="L64" s="4898"/>
      <c r="M64" s="616"/>
    </row>
    <row r="65" spans="1:19" ht="13.2"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70">
        <f>'Part V-Revenues &amp; Expenses'!H44</f>
        <v>0</v>
      </c>
      <c r="F65" s="4871"/>
      <c r="G65" s="439"/>
      <c r="H65" s="4896"/>
      <c r="I65" s="4897"/>
      <c r="J65" s="4897"/>
      <c r="K65" s="4897"/>
      <c r="L65" s="4898"/>
      <c r="M65" s="616"/>
      <c r="S65" s="432"/>
    </row>
    <row r="66" spans="1:19" ht="13.2"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70">
        <f>'Part V-Revenues &amp; Expenses'!H45</f>
        <v>0</v>
      </c>
      <c r="F66" s="4871"/>
      <c r="G66" s="439"/>
      <c r="H66" s="4896"/>
      <c r="I66" s="4897"/>
      <c r="J66" s="4897"/>
      <c r="K66" s="4897"/>
      <c r="L66" s="4898"/>
      <c r="M66" s="616"/>
      <c r="S66" s="432"/>
    </row>
    <row r="67" spans="1:19" ht="13.2"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70">
        <f>'Part V-Revenues &amp; Expenses'!H46</f>
        <v>0</v>
      </c>
      <c r="F67" s="4871"/>
      <c r="G67" s="439"/>
      <c r="H67" s="4896"/>
      <c r="I67" s="4897"/>
      <c r="J67" s="4897"/>
      <c r="K67" s="4897"/>
      <c r="L67" s="4898"/>
      <c r="M67" s="616"/>
      <c r="S67" s="432"/>
    </row>
    <row r="68" spans="1:19" ht="13.2"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70">
        <f>'Part V-Revenues &amp; Expenses'!H47</f>
        <v>0</v>
      </c>
      <c r="F68" s="4871"/>
      <c r="G68" s="439"/>
      <c r="H68" s="4896"/>
      <c r="I68" s="4897"/>
      <c r="J68" s="4897"/>
      <c r="K68" s="4897"/>
      <c r="L68" s="4898"/>
      <c r="M68" s="616"/>
      <c r="S68" s="432"/>
    </row>
    <row r="69" spans="1:19" ht="13.2"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8">
        <f>'Part V-Revenues &amp; Expenses'!H48</f>
        <v>0</v>
      </c>
      <c r="F69" s="4869"/>
      <c r="G69" s="1580"/>
      <c r="H69" s="4902"/>
      <c r="I69" s="4903"/>
      <c r="J69" s="4903"/>
      <c r="K69" s="4903"/>
      <c r="L69" s="4904"/>
      <c r="M69" s="616"/>
      <c r="S69" s="432"/>
    </row>
    <row r="70" spans="1:19" ht="13.2" customHeight="1">
      <c r="C70" s="1492"/>
      <c r="F70" s="616"/>
      <c r="G70" s="616"/>
      <c r="H70" s="616"/>
      <c r="I70" s="616"/>
      <c r="J70" s="616"/>
      <c r="K70" s="1491"/>
      <c r="L70" s="616"/>
      <c r="M70" s="616"/>
      <c r="S70" s="432"/>
    </row>
    <row r="71" spans="1:19" ht="13.2" customHeight="1">
      <c r="C71" s="1492"/>
      <c r="F71" s="616"/>
      <c r="G71" s="616"/>
      <c r="H71" s="616"/>
      <c r="I71" s="616"/>
      <c r="J71" s="616"/>
      <c r="K71" s="1491"/>
      <c r="L71" s="616"/>
      <c r="M71" s="616"/>
      <c r="S71" s="432"/>
    </row>
    <row r="72" spans="1:19" ht="13.2" customHeight="1">
      <c r="C72" s="1492"/>
      <c r="F72" s="616"/>
      <c r="G72" s="616"/>
      <c r="H72" s="616"/>
      <c r="I72" s="616"/>
      <c r="J72" s="616"/>
      <c r="K72" s="1491"/>
      <c r="L72" s="616"/>
      <c r="M72" s="616"/>
      <c r="S72" s="432"/>
    </row>
    <row r="73" spans="1:19" ht="13.2" customHeight="1">
      <c r="C73" s="1492"/>
      <c r="F73" s="616"/>
      <c r="G73" s="616"/>
      <c r="H73" s="616"/>
      <c r="I73" s="616"/>
      <c r="J73" s="616"/>
      <c r="K73" s="1491"/>
      <c r="L73" s="616"/>
      <c r="M73" s="616"/>
      <c r="S73" s="432"/>
    </row>
    <row r="74" spans="1:19" ht="13.2" customHeight="1">
      <c r="C74" s="1492"/>
      <c r="F74" s="616"/>
      <c r="G74" s="616"/>
      <c r="H74" s="616"/>
      <c r="I74" s="616"/>
      <c r="J74" s="616"/>
      <c r="K74" s="1491"/>
      <c r="L74" s="616"/>
      <c r="M74" s="616"/>
      <c r="S74" s="432"/>
    </row>
    <row r="75" spans="1:19" ht="13.2" customHeight="1">
      <c r="C75" s="1492"/>
      <c r="F75" s="616"/>
      <c r="G75" s="616"/>
      <c r="H75" s="616"/>
      <c r="I75" s="616"/>
      <c r="J75" s="616"/>
      <c r="K75" s="1491"/>
      <c r="L75" s="616"/>
      <c r="M75" s="616"/>
      <c r="S75" s="432"/>
    </row>
    <row r="76" spans="1:19" ht="13.2" customHeight="1">
      <c r="C76" s="1492"/>
      <c r="F76" s="616"/>
      <c r="G76" s="616"/>
      <c r="H76" s="616"/>
      <c r="I76" s="616"/>
      <c r="J76" s="616"/>
      <c r="K76" s="1491"/>
      <c r="L76" s="616"/>
      <c r="M76" s="616"/>
      <c r="S76" s="432"/>
    </row>
    <row r="77" spans="1:19" ht="13.2" customHeight="1">
      <c r="C77" s="1492"/>
      <c r="F77" s="616"/>
      <c r="G77" s="616"/>
      <c r="H77" s="616"/>
      <c r="I77" s="616"/>
      <c r="J77" s="616"/>
      <c r="K77" s="1491"/>
      <c r="L77" s="616"/>
      <c r="M77" s="616"/>
      <c r="S77" s="432"/>
    </row>
    <row r="78" spans="1:19" ht="13.2" customHeight="1">
      <c r="C78" s="1492"/>
      <c r="F78" s="616"/>
      <c r="G78" s="616"/>
      <c r="H78" s="616"/>
      <c r="I78" s="616"/>
      <c r="J78" s="616"/>
      <c r="K78" s="1491"/>
      <c r="L78" s="616"/>
      <c r="M78" s="616"/>
      <c r="S78" s="432"/>
    </row>
    <row r="79" spans="1:19" ht="13.2" customHeight="1">
      <c r="C79" s="1492"/>
      <c r="F79" s="616"/>
      <c r="G79" s="616"/>
      <c r="H79" s="616"/>
      <c r="I79" s="616"/>
      <c r="J79" s="616"/>
      <c r="K79" s="1491"/>
      <c r="L79" s="616"/>
      <c r="M79" s="616"/>
      <c r="S79" s="432"/>
    </row>
    <row r="80" spans="1:19" ht="13.2" customHeight="1">
      <c r="C80" s="1492"/>
      <c r="F80" s="616"/>
      <c r="G80" s="616"/>
      <c r="H80" s="616"/>
      <c r="I80" s="616"/>
      <c r="J80" s="616"/>
      <c r="K80" s="1491"/>
      <c r="L80" s="616"/>
      <c r="M80" s="616"/>
      <c r="S80" s="432"/>
    </row>
    <row r="81" spans="3:19" ht="13.2" customHeight="1">
      <c r="C81" s="1492"/>
      <c r="F81" s="616"/>
      <c r="G81" s="616"/>
      <c r="H81" s="616"/>
      <c r="I81" s="616"/>
      <c r="J81" s="616"/>
      <c r="K81" s="1491"/>
      <c r="L81" s="616"/>
      <c r="M81" s="616"/>
      <c r="S81" s="432"/>
    </row>
    <row r="82" spans="3:19" ht="13.2" customHeight="1">
      <c r="C82" s="1492"/>
      <c r="F82" s="616"/>
      <c r="G82" s="616"/>
      <c r="H82" s="616"/>
      <c r="I82" s="616"/>
      <c r="J82" s="616"/>
      <c r="K82" s="1491"/>
      <c r="L82" s="616"/>
      <c r="M82" s="616"/>
      <c r="S82" s="432"/>
    </row>
    <row r="83" spans="3:19" ht="13.2" customHeight="1">
      <c r="C83" s="1492"/>
      <c r="F83" s="616"/>
      <c r="G83" s="616"/>
      <c r="H83" s="616"/>
      <c r="I83" s="616"/>
      <c r="J83" s="616"/>
      <c r="K83" s="1491"/>
      <c r="L83" s="616"/>
      <c r="M83" s="616"/>
      <c r="S83" s="432"/>
    </row>
    <row r="84" spans="3:19" ht="13.2" customHeight="1">
      <c r="C84" s="1492"/>
      <c r="F84" s="616"/>
      <c r="G84" s="616"/>
      <c r="H84" s="616"/>
      <c r="I84" s="616"/>
      <c r="J84" s="616"/>
      <c r="K84" s="1491"/>
      <c r="L84" s="616"/>
      <c r="M84" s="616"/>
      <c r="S84" s="432"/>
    </row>
    <row r="85" spans="3:19" ht="13.2" customHeight="1">
      <c r="C85" s="1492"/>
      <c r="F85" s="616"/>
      <c r="G85" s="616"/>
      <c r="H85" s="616"/>
      <c r="I85" s="616"/>
      <c r="J85" s="616"/>
      <c r="K85" s="1491"/>
      <c r="L85" s="616"/>
      <c r="M85" s="616"/>
      <c r="S85" s="432"/>
    </row>
    <row r="86" spans="3:19" ht="13.2" customHeight="1">
      <c r="C86" s="1492"/>
      <c r="F86" s="616"/>
      <c r="G86" s="616"/>
      <c r="H86" s="616"/>
      <c r="I86" s="616"/>
      <c r="J86" s="616"/>
      <c r="K86" s="1491"/>
      <c r="L86" s="616"/>
      <c r="M86" s="616"/>
      <c r="S86" s="432"/>
    </row>
    <row r="87" spans="3:19" ht="13.2" customHeight="1">
      <c r="C87" s="1492"/>
      <c r="F87" s="616"/>
      <c r="G87" s="616"/>
      <c r="H87" s="616"/>
      <c r="I87" s="616"/>
      <c r="J87" s="616"/>
      <c r="K87" s="1491"/>
      <c r="L87" s="616"/>
      <c r="M87" s="616"/>
      <c r="S87" s="432"/>
    </row>
    <row r="88" spans="3:19" ht="13.2" customHeight="1">
      <c r="C88" s="1492"/>
      <c r="F88" s="616"/>
      <c r="G88" s="616"/>
      <c r="H88" s="616"/>
      <c r="I88" s="616"/>
      <c r="J88" s="616"/>
      <c r="K88" s="1491"/>
      <c r="L88" s="616"/>
      <c r="M88" s="616"/>
      <c r="S88" s="432"/>
    </row>
    <row r="89" spans="3:19" ht="13.2" customHeight="1">
      <c r="C89" s="1492"/>
      <c r="F89" s="616"/>
      <c r="G89" s="616"/>
      <c r="H89" s="616"/>
      <c r="I89" s="616"/>
      <c r="J89" s="616"/>
      <c r="K89" s="1491"/>
      <c r="L89" s="616"/>
      <c r="M89" s="616"/>
      <c r="S89" s="432"/>
    </row>
    <row r="90" spans="3:19" ht="13.2" customHeight="1">
      <c r="C90" s="1492"/>
      <c r="F90" s="616"/>
      <c r="G90" s="616"/>
      <c r="H90" s="616"/>
      <c r="I90" s="616"/>
      <c r="J90" s="616"/>
      <c r="K90" s="1491"/>
      <c r="L90" s="616"/>
      <c r="M90" s="616"/>
      <c r="S90" s="432"/>
    </row>
    <row r="91" spans="3:19" ht="13.2" customHeight="1">
      <c r="C91" s="1492"/>
      <c r="F91" s="616"/>
      <c r="G91" s="616"/>
      <c r="H91" s="616"/>
      <c r="I91" s="616"/>
      <c r="J91" s="616"/>
      <c r="K91" s="1491"/>
      <c r="L91" s="616"/>
      <c r="M91" s="616"/>
      <c r="S91" s="432"/>
    </row>
    <row r="92" spans="3:19" ht="13.2" customHeight="1">
      <c r="C92" s="1492"/>
      <c r="F92" s="616"/>
      <c r="G92" s="616"/>
      <c r="H92" s="616"/>
      <c r="I92" s="616"/>
      <c r="J92" s="616"/>
      <c r="K92" s="1491"/>
      <c r="L92" s="616"/>
      <c r="M92" s="616"/>
      <c r="S92" s="432"/>
    </row>
    <row r="93" spans="3:19" ht="13.2" customHeight="1">
      <c r="C93" s="1492"/>
      <c r="F93" s="616"/>
      <c r="G93" s="616"/>
      <c r="H93" s="616"/>
      <c r="I93" s="616"/>
      <c r="J93" s="616"/>
      <c r="K93" s="1491"/>
      <c r="L93" s="616"/>
      <c r="M93" s="616"/>
      <c r="S93" s="432"/>
    </row>
    <row r="94" spans="3:19" ht="13.2" customHeight="1">
      <c r="C94" s="1492"/>
      <c r="F94" s="616"/>
      <c r="G94" s="616"/>
      <c r="H94" s="616"/>
      <c r="I94" s="616"/>
      <c r="J94" s="616"/>
      <c r="K94" s="1491"/>
      <c r="L94" s="616"/>
      <c r="M94" s="616"/>
      <c r="S94" s="432"/>
    </row>
    <row r="95" spans="3:19" ht="13.2" customHeight="1">
      <c r="C95" s="1492"/>
      <c r="F95" s="616"/>
      <c r="G95" s="616"/>
      <c r="H95" s="616"/>
      <c r="I95" s="616"/>
      <c r="J95" s="616"/>
      <c r="K95" s="1491"/>
      <c r="L95" s="616"/>
      <c r="M95" s="616"/>
      <c r="S95" s="432"/>
    </row>
    <row r="96" spans="3:19" ht="13.2" customHeight="1">
      <c r="C96" s="1492"/>
      <c r="F96" s="616"/>
      <c r="G96" s="616"/>
      <c r="H96" s="616"/>
      <c r="I96" s="616"/>
      <c r="J96" s="616"/>
      <c r="K96" s="1491"/>
      <c r="L96" s="616"/>
      <c r="M96" s="616"/>
      <c r="S96" s="432"/>
    </row>
    <row r="97" spans="3:19" ht="13.2" customHeight="1">
      <c r="C97" s="1492"/>
      <c r="F97" s="616"/>
      <c r="G97" s="616"/>
      <c r="H97" s="616"/>
      <c r="I97" s="616"/>
      <c r="J97" s="616"/>
      <c r="K97" s="1491"/>
      <c r="L97" s="616"/>
      <c r="M97" s="616"/>
      <c r="S97" s="432"/>
    </row>
    <row r="98" spans="3:19" ht="13.2" customHeight="1">
      <c r="C98" s="1492"/>
      <c r="F98" s="616"/>
      <c r="G98" s="616"/>
      <c r="H98" s="616"/>
      <c r="I98" s="616"/>
      <c r="J98" s="616"/>
      <c r="K98" s="1491"/>
      <c r="L98" s="616"/>
      <c r="M98" s="616"/>
      <c r="S98" s="432"/>
    </row>
    <row r="99" spans="3:19" ht="13.2" customHeight="1">
      <c r="C99" s="1492"/>
      <c r="F99" s="616"/>
      <c r="G99" s="616"/>
      <c r="H99" s="616"/>
      <c r="I99" s="616"/>
      <c r="J99" s="616"/>
      <c r="K99" s="1491"/>
      <c r="L99" s="616"/>
      <c r="M99" s="616"/>
      <c r="S99" s="432"/>
    </row>
    <row r="100" spans="3:19" ht="13.2" customHeight="1">
      <c r="C100" s="1492"/>
      <c r="F100" s="616"/>
      <c r="G100" s="616"/>
      <c r="H100" s="616"/>
      <c r="I100" s="616"/>
      <c r="J100" s="616"/>
      <c r="K100" s="1491"/>
      <c r="L100" s="616"/>
      <c r="M100" s="616"/>
      <c r="S100" s="432"/>
    </row>
    <row r="101" spans="3:19" ht="13.2" customHeight="1">
      <c r="C101" s="1492"/>
      <c r="F101" s="616"/>
      <c r="G101" s="616"/>
      <c r="H101" s="616"/>
      <c r="I101" s="616"/>
      <c r="J101" s="616"/>
      <c r="K101" s="1491"/>
      <c r="L101" s="616"/>
      <c r="M101" s="616"/>
      <c r="S101" s="432"/>
    </row>
    <row r="102" spans="3:19" ht="13.2" customHeight="1">
      <c r="C102" s="1492"/>
      <c r="F102" s="616"/>
      <c r="G102" s="616"/>
      <c r="H102" s="616"/>
      <c r="I102" s="616"/>
      <c r="J102" s="616"/>
      <c r="K102" s="1491"/>
      <c r="L102" s="616"/>
      <c r="M102" s="616"/>
      <c r="S102" s="432"/>
    </row>
    <row r="103" spans="3:19" ht="13.2" customHeight="1">
      <c r="C103" s="1492"/>
      <c r="F103" s="616"/>
      <c r="G103" s="616"/>
      <c r="H103" s="616"/>
      <c r="I103" s="616"/>
      <c r="J103" s="616"/>
      <c r="K103" s="1491"/>
      <c r="L103" s="616"/>
      <c r="M103" s="616"/>
      <c r="S103" s="432"/>
    </row>
    <row r="104" spans="3:19" ht="13.2" customHeight="1">
      <c r="C104" s="1492"/>
      <c r="F104" s="616"/>
      <c r="G104" s="616"/>
      <c r="H104" s="616"/>
      <c r="I104" s="616"/>
      <c r="J104" s="616"/>
      <c r="K104" s="1491"/>
      <c r="L104" s="616"/>
      <c r="M104" s="616"/>
      <c r="S104" s="432"/>
    </row>
    <row r="105" spans="3:19" ht="13.2" customHeight="1">
      <c r="C105" s="1492"/>
      <c r="F105" s="616"/>
      <c r="G105" s="616"/>
      <c r="H105" s="616"/>
      <c r="I105" s="616"/>
      <c r="J105" s="616"/>
      <c r="K105" s="1491"/>
      <c r="L105" s="616"/>
      <c r="M105" s="616"/>
      <c r="S105" s="432"/>
    </row>
    <row r="106" spans="3:19" ht="13.2" customHeight="1">
      <c r="C106" s="1492"/>
      <c r="F106" s="616"/>
      <c r="G106" s="616"/>
      <c r="H106" s="616"/>
      <c r="I106" s="616"/>
      <c r="J106" s="616"/>
      <c r="K106" s="1491"/>
      <c r="L106" s="616"/>
      <c r="M106" s="616"/>
      <c r="S106" s="432"/>
    </row>
    <row r="107" spans="3:19" ht="13.2" customHeight="1">
      <c r="C107" s="1492"/>
      <c r="F107" s="616"/>
      <c r="G107" s="616"/>
      <c r="H107" s="616"/>
      <c r="I107" s="616"/>
      <c r="J107" s="616"/>
      <c r="K107" s="1491"/>
      <c r="L107" s="616"/>
      <c r="M107" s="616"/>
      <c r="S107" s="432"/>
    </row>
    <row r="108" spans="3:19" ht="13.2" customHeight="1">
      <c r="C108" s="1492" t="s">
        <v>233</v>
      </c>
      <c r="F108" s="616"/>
      <c r="G108" s="616"/>
      <c r="H108" s="616"/>
      <c r="I108" s="616"/>
      <c r="J108" s="616"/>
      <c r="K108" s="1491"/>
      <c r="L108" s="616"/>
      <c r="M108" s="616"/>
      <c r="S108" s="432"/>
    </row>
    <row r="109" spans="3:19" ht="13.2" customHeight="1">
      <c r="C109" s="1492"/>
      <c r="F109" s="616"/>
      <c r="G109" s="616"/>
      <c r="H109" s="616"/>
      <c r="I109" s="616"/>
      <c r="J109" s="616"/>
      <c r="K109" s="1491"/>
      <c r="L109" s="616"/>
      <c r="M109" s="616"/>
      <c r="S109" s="432"/>
    </row>
    <row r="110" spans="3:19" ht="13.2" customHeight="1">
      <c r="C110" s="1492"/>
      <c r="F110" s="616"/>
      <c r="G110" s="616"/>
      <c r="H110" s="616"/>
      <c r="I110" s="616"/>
      <c r="J110" s="616"/>
      <c r="K110" s="1491"/>
      <c r="L110" s="616"/>
      <c r="M110" s="616"/>
      <c r="S110" s="432"/>
    </row>
    <row r="111" spans="3:19" ht="13.2" customHeight="1">
      <c r="C111" s="1492"/>
      <c r="F111" s="616"/>
      <c r="G111" s="616"/>
      <c r="H111" s="616"/>
      <c r="I111" s="616"/>
      <c r="J111" s="616"/>
      <c r="K111" s="1491"/>
      <c r="L111" s="616"/>
      <c r="M111" s="616"/>
      <c r="S111" s="432"/>
    </row>
    <row r="112" spans="3:19" ht="13.2" customHeight="1">
      <c r="C112" s="1492"/>
      <c r="F112" s="616"/>
      <c r="G112" s="616"/>
      <c r="H112" s="616"/>
      <c r="I112" s="616"/>
      <c r="J112" s="616"/>
      <c r="K112" s="1491"/>
      <c r="L112" s="616"/>
      <c r="M112" s="616"/>
      <c r="S112" s="432"/>
    </row>
    <row r="113" spans="3:19" ht="13.2" customHeight="1">
      <c r="C113" s="1492"/>
      <c r="F113" s="616"/>
      <c r="G113" s="616"/>
      <c r="H113" s="616"/>
      <c r="I113" s="616"/>
      <c r="J113" s="616"/>
      <c r="K113" s="1491"/>
      <c r="L113" s="616"/>
      <c r="M113" s="616"/>
      <c r="S113" s="432"/>
    </row>
    <row r="114" spans="3:19" ht="13.2" customHeight="1">
      <c r="C114" s="1492"/>
      <c r="F114" s="616"/>
      <c r="G114" s="616"/>
      <c r="H114" s="616"/>
      <c r="I114" s="616"/>
      <c r="J114" s="616"/>
      <c r="K114" s="1491"/>
      <c r="L114" s="616"/>
      <c r="M114" s="616"/>
      <c r="S114" s="432"/>
    </row>
    <row r="115" spans="3:19" ht="13.2" customHeight="1">
      <c r="C115" s="1492"/>
      <c r="F115" s="616"/>
      <c r="G115" s="616"/>
      <c r="H115" s="616"/>
      <c r="I115" s="616"/>
      <c r="J115" s="616"/>
      <c r="K115" s="1491"/>
      <c r="L115" s="616"/>
      <c r="M115" s="616"/>
      <c r="S115" s="432"/>
    </row>
    <row r="116" spans="3:19" ht="13.2" customHeight="1">
      <c r="C116" s="1492"/>
      <c r="F116" s="616"/>
      <c r="G116" s="616"/>
      <c r="H116" s="616"/>
      <c r="I116" s="616"/>
      <c r="J116" s="616"/>
      <c r="K116" s="1491"/>
      <c r="L116" s="616"/>
      <c r="M116" s="616"/>
      <c r="S116" s="432"/>
    </row>
    <row r="117" spans="3:19" ht="13.2" customHeight="1">
      <c r="C117" s="1492"/>
      <c r="F117" s="616"/>
      <c r="G117" s="616"/>
      <c r="H117" s="616"/>
      <c r="I117" s="616"/>
      <c r="J117" s="616"/>
      <c r="K117" s="1491"/>
      <c r="L117" s="616"/>
      <c r="M117" s="616"/>
      <c r="S117" s="432"/>
    </row>
    <row r="118" spans="3:19" ht="13.2" customHeight="1">
      <c r="C118" s="1492"/>
      <c r="F118" s="616"/>
      <c r="G118" s="616"/>
      <c r="H118" s="616"/>
      <c r="I118" s="616"/>
      <c r="J118" s="616"/>
      <c r="K118" s="1491"/>
      <c r="L118" s="616"/>
      <c r="M118" s="616"/>
      <c r="S118" s="432"/>
    </row>
    <row r="119" spans="3:19" ht="13.2" customHeight="1">
      <c r="C119" s="1492"/>
      <c r="F119" s="616"/>
      <c r="G119" s="616"/>
      <c r="H119" s="616"/>
      <c r="I119" s="616"/>
      <c r="J119" s="616"/>
      <c r="K119" s="1491"/>
      <c r="L119" s="616"/>
      <c r="M119" s="616"/>
      <c r="S119" s="432"/>
    </row>
    <row r="120" spans="3:19" ht="13.2" customHeight="1">
      <c r="C120" s="1492"/>
      <c r="F120" s="616"/>
      <c r="G120" s="616"/>
      <c r="H120" s="616"/>
      <c r="I120" s="616"/>
      <c r="J120" s="616"/>
      <c r="K120" s="1491"/>
      <c r="L120" s="616"/>
      <c r="M120" s="616"/>
      <c r="S120" s="432"/>
    </row>
    <row r="121" spans="3:19" ht="13.2" customHeight="1">
      <c r="C121" s="1492"/>
      <c r="F121" s="616"/>
      <c r="G121" s="616"/>
      <c r="H121" s="616"/>
      <c r="I121" s="616"/>
      <c r="J121" s="616"/>
      <c r="K121" s="1491"/>
      <c r="L121" s="616"/>
      <c r="M121" s="616"/>
      <c r="S121" s="432"/>
    </row>
    <row r="122" spans="3:19" ht="13.2" customHeight="1">
      <c r="C122" s="1492"/>
      <c r="F122" s="616"/>
      <c r="G122" s="616"/>
      <c r="H122" s="616"/>
      <c r="I122" s="616"/>
      <c r="J122" s="616"/>
      <c r="K122" s="1491"/>
      <c r="L122" s="616"/>
      <c r="M122" s="616"/>
      <c r="S122" s="432"/>
    </row>
    <row r="123" spans="3:19" ht="13.2" customHeight="1">
      <c r="C123" s="1492"/>
      <c r="F123" s="616"/>
      <c r="G123" s="616"/>
      <c r="H123" s="616"/>
      <c r="I123" s="616"/>
      <c r="J123" s="616"/>
      <c r="K123" s="1491"/>
      <c r="L123" s="616"/>
      <c r="M123" s="616"/>
      <c r="S123" s="432"/>
    </row>
    <row r="124" spans="3:19" ht="13.2" customHeight="1">
      <c r="C124" s="1492"/>
      <c r="F124" s="616"/>
      <c r="G124" s="616"/>
      <c r="H124" s="616"/>
      <c r="I124" s="616"/>
      <c r="J124" s="616"/>
      <c r="K124" s="1491"/>
      <c r="L124" s="616"/>
      <c r="M124" s="616"/>
      <c r="S124" s="432"/>
    </row>
    <row r="125" spans="3:19" ht="13.2" customHeight="1">
      <c r="C125" s="1492"/>
      <c r="F125" s="616"/>
      <c r="G125" s="616"/>
      <c r="H125" s="616"/>
      <c r="I125" s="616"/>
      <c r="J125" s="616"/>
      <c r="K125" s="1491"/>
      <c r="L125" s="616"/>
      <c r="M125" s="616"/>
      <c r="S125" s="432"/>
    </row>
    <row r="126" spans="3:19" ht="13.2" customHeight="1">
      <c r="C126" s="1492"/>
      <c r="F126" s="616"/>
      <c r="G126" s="616"/>
      <c r="H126" s="616"/>
      <c r="I126" s="616"/>
      <c r="J126" s="616"/>
      <c r="K126" s="1491"/>
      <c r="L126" s="616"/>
      <c r="M126" s="616"/>
      <c r="S126" s="432"/>
    </row>
    <row r="127" spans="3:19" ht="13.2" customHeight="1">
      <c r="C127" s="1492"/>
      <c r="F127" s="616"/>
      <c r="G127" s="616"/>
      <c r="H127" s="616"/>
      <c r="I127" s="616"/>
      <c r="J127" s="616"/>
      <c r="K127" s="1491"/>
      <c r="L127" s="616"/>
      <c r="M127" s="616"/>
      <c r="S127" s="432"/>
    </row>
    <row r="128" spans="3:19" ht="13.2" customHeight="1">
      <c r="C128" s="1492"/>
      <c r="F128" s="616"/>
      <c r="G128" s="616"/>
      <c r="H128" s="616"/>
      <c r="I128" s="616"/>
      <c r="J128" s="616"/>
      <c r="K128" s="1491"/>
      <c r="L128" s="616"/>
      <c r="M128" s="616"/>
      <c r="S128" s="432"/>
    </row>
    <row r="129" spans="3:19" ht="13.2" customHeight="1">
      <c r="C129" s="1492"/>
      <c r="F129" s="616"/>
      <c r="G129" s="616"/>
      <c r="H129" s="616"/>
      <c r="I129" s="616"/>
      <c r="J129" s="616"/>
      <c r="K129" s="1491"/>
      <c r="L129" s="616"/>
      <c r="M129" s="616"/>
      <c r="S129" s="432"/>
    </row>
    <row r="130" spans="3:19" ht="13.2" customHeight="1">
      <c r="C130" s="1492"/>
      <c r="F130" s="616"/>
      <c r="G130" s="616"/>
      <c r="H130" s="616"/>
      <c r="I130" s="616"/>
      <c r="J130" s="616"/>
      <c r="K130" s="1491"/>
      <c r="L130" s="616"/>
      <c r="M130" s="616"/>
      <c r="S130" s="432"/>
    </row>
    <row r="131" spans="3:19" ht="13.2" customHeight="1">
      <c r="C131" s="1492"/>
      <c r="F131" s="616"/>
      <c r="G131" s="616"/>
      <c r="H131" s="616"/>
      <c r="I131" s="616"/>
      <c r="J131" s="616"/>
      <c r="K131" s="1491"/>
      <c r="L131" s="616"/>
      <c r="M131" s="616"/>
      <c r="S131" s="432"/>
    </row>
    <row r="132" spans="3:19" ht="13.2" customHeight="1">
      <c r="C132" s="1492"/>
      <c r="F132" s="616"/>
      <c r="G132" s="616"/>
      <c r="H132" s="616"/>
      <c r="I132" s="616"/>
      <c r="J132" s="616"/>
      <c r="K132" s="1491"/>
      <c r="L132" s="616"/>
      <c r="M132" s="616"/>
      <c r="S132" s="432"/>
    </row>
    <row r="133" spans="3:19" ht="13.2" customHeight="1">
      <c r="C133" s="1492"/>
      <c r="F133" s="616"/>
      <c r="G133" s="616"/>
      <c r="H133" s="616"/>
      <c r="I133" s="616"/>
      <c r="J133" s="616"/>
      <c r="K133" s="1491"/>
      <c r="L133" s="616"/>
      <c r="M133" s="616"/>
      <c r="S133" s="432"/>
    </row>
    <row r="134" spans="3:19" ht="13.2" customHeight="1">
      <c r="C134" s="1492"/>
      <c r="F134" s="616"/>
      <c r="G134" s="616"/>
      <c r="H134" s="616"/>
      <c r="I134" s="616"/>
      <c r="J134" s="616"/>
      <c r="K134" s="1491"/>
      <c r="L134" s="616"/>
      <c r="M134" s="616"/>
      <c r="S134" s="432"/>
    </row>
    <row r="135" spans="3:19" ht="13.2" customHeight="1">
      <c r="C135" s="1492"/>
      <c r="F135" s="616"/>
      <c r="G135" s="616"/>
      <c r="H135" s="616"/>
      <c r="I135" s="616"/>
      <c r="J135" s="616"/>
      <c r="K135" s="1491"/>
      <c r="L135" s="616"/>
      <c r="M135" s="616"/>
      <c r="S135" s="432"/>
    </row>
    <row r="136" spans="3:19" ht="13.2" customHeight="1">
      <c r="C136" s="1492"/>
      <c r="F136" s="616"/>
      <c r="G136" s="616"/>
      <c r="H136" s="616"/>
      <c r="I136" s="616"/>
      <c r="J136" s="616"/>
      <c r="K136" s="1491"/>
      <c r="L136" s="616"/>
      <c r="M136" s="616"/>
      <c r="S136" s="432"/>
    </row>
    <row r="137" spans="3:19" ht="13.2" customHeight="1">
      <c r="C137" s="1492"/>
      <c r="F137" s="616"/>
      <c r="G137" s="616"/>
      <c r="H137" s="616"/>
      <c r="I137" s="616"/>
      <c r="J137" s="616"/>
      <c r="K137" s="1491"/>
      <c r="L137" s="616"/>
      <c r="M137" s="616"/>
      <c r="S137" s="432"/>
    </row>
    <row r="138" spans="3:19" ht="13.2" customHeight="1">
      <c r="C138" s="1492"/>
      <c r="F138" s="616"/>
      <c r="G138" s="616"/>
      <c r="H138" s="616"/>
      <c r="I138" s="616"/>
      <c r="J138" s="616"/>
      <c r="K138" s="1491"/>
      <c r="L138" s="616"/>
      <c r="M138" s="616"/>
      <c r="S138" s="432"/>
    </row>
    <row r="139" spans="3:19" ht="13.2" customHeight="1">
      <c r="C139" s="1492"/>
      <c r="F139" s="616"/>
      <c r="G139" s="616"/>
      <c r="H139" s="616"/>
      <c r="I139" s="616"/>
      <c r="J139" s="616"/>
      <c r="K139" s="1491"/>
      <c r="L139" s="616"/>
      <c r="M139" s="616"/>
      <c r="S139" s="432"/>
    </row>
    <row r="140" spans="3:19" ht="13.2" customHeight="1">
      <c r="C140" s="1492"/>
      <c r="F140" s="616"/>
      <c r="G140" s="616"/>
      <c r="H140" s="616"/>
      <c r="I140" s="616"/>
      <c r="J140" s="616"/>
      <c r="K140" s="1491"/>
      <c r="L140" s="616"/>
      <c r="M140" s="616"/>
      <c r="S140" s="432"/>
    </row>
    <row r="141" spans="3:19" ht="13.2" customHeight="1">
      <c r="C141" s="1492"/>
      <c r="F141" s="616"/>
      <c r="G141" s="616"/>
      <c r="H141" s="616"/>
      <c r="I141" s="616"/>
      <c r="J141" s="616"/>
      <c r="K141" s="1491"/>
      <c r="L141" s="616"/>
      <c r="M141" s="616"/>
      <c r="S141" s="432"/>
    </row>
    <row r="142" spans="3:19" ht="13.2" customHeight="1">
      <c r="C142" s="1492"/>
      <c r="F142" s="616"/>
      <c r="G142" s="616"/>
      <c r="H142" s="616"/>
      <c r="I142" s="616"/>
      <c r="J142" s="616"/>
      <c r="K142" s="1491"/>
      <c r="L142" s="616"/>
      <c r="M142" s="616"/>
      <c r="S142" s="432"/>
    </row>
    <row r="143" spans="3:19" ht="13.2" customHeight="1">
      <c r="C143" s="1492"/>
      <c r="F143" s="616"/>
      <c r="G143" s="616"/>
      <c r="H143" s="616"/>
      <c r="I143" s="616"/>
      <c r="J143" s="616"/>
      <c r="K143" s="1491"/>
      <c r="L143" s="616"/>
      <c r="M143" s="616"/>
      <c r="S143" s="432"/>
    </row>
    <row r="144" spans="3:19" ht="13.2" customHeight="1">
      <c r="C144" s="1492"/>
      <c r="F144" s="616"/>
      <c r="G144" s="616"/>
      <c r="H144" s="616"/>
      <c r="I144" s="616"/>
      <c r="J144" s="616"/>
      <c r="K144" s="1491"/>
      <c r="L144" s="616"/>
      <c r="M144" s="616"/>
      <c r="S144" s="432"/>
    </row>
    <row r="145" spans="3:19" ht="13.2" customHeight="1">
      <c r="C145" s="1492"/>
      <c r="F145" s="616"/>
      <c r="G145" s="616"/>
      <c r="H145" s="616"/>
      <c r="I145" s="616"/>
      <c r="J145" s="616"/>
      <c r="K145" s="1491"/>
      <c r="L145" s="616"/>
      <c r="M145" s="616"/>
      <c r="S145" s="432"/>
    </row>
    <row r="146" spans="3:19" ht="13.2" customHeight="1">
      <c r="C146" s="1492"/>
      <c r="F146" s="616"/>
      <c r="G146" s="616"/>
      <c r="H146" s="616"/>
      <c r="I146" s="616"/>
      <c r="J146" s="616"/>
      <c r="K146" s="1491"/>
      <c r="L146" s="616"/>
      <c r="M146" s="616"/>
      <c r="S146" s="432"/>
    </row>
    <row r="147" spans="3:19" ht="13.2" customHeight="1">
      <c r="C147" s="1492"/>
      <c r="F147" s="616"/>
      <c r="G147" s="616"/>
      <c r="H147" s="616"/>
      <c r="I147" s="616"/>
      <c r="J147" s="616"/>
      <c r="K147" s="1491"/>
      <c r="L147" s="616"/>
      <c r="M147" s="616"/>
      <c r="S147" s="432"/>
    </row>
    <row r="148" spans="3:19" ht="13.2" customHeight="1">
      <c r="C148" s="1492"/>
      <c r="F148" s="616"/>
      <c r="G148" s="616"/>
      <c r="H148" s="616"/>
      <c r="I148" s="616"/>
      <c r="J148" s="616"/>
      <c r="K148" s="1491"/>
      <c r="L148" s="616"/>
      <c r="M148" s="616"/>
      <c r="S148" s="432"/>
    </row>
    <row r="149" spans="3:19" ht="13.2" customHeight="1">
      <c r="C149" s="1492"/>
      <c r="F149" s="616"/>
      <c r="G149" s="616"/>
      <c r="H149" s="616"/>
      <c r="I149" s="616"/>
      <c r="J149" s="616"/>
      <c r="K149" s="1491"/>
      <c r="L149" s="616"/>
      <c r="M149" s="616"/>
      <c r="S149" s="432"/>
    </row>
    <row r="150" spans="3:19" ht="13.2" customHeight="1">
      <c r="C150" s="1492"/>
      <c r="F150" s="616"/>
      <c r="G150" s="616"/>
      <c r="H150" s="616"/>
      <c r="I150" s="616"/>
      <c r="J150" s="616"/>
      <c r="K150" s="1491"/>
      <c r="L150" s="616"/>
      <c r="M150" s="616"/>
      <c r="S150" s="432"/>
    </row>
    <row r="151" spans="3:19" ht="13.2" customHeight="1">
      <c r="C151" s="1492"/>
      <c r="F151" s="616"/>
      <c r="G151" s="616"/>
      <c r="H151" s="616"/>
      <c r="I151" s="616"/>
      <c r="J151" s="616"/>
      <c r="K151" s="1491"/>
      <c r="L151" s="616"/>
      <c r="M151" s="616"/>
      <c r="S151" s="432"/>
    </row>
    <row r="152" spans="3:19" ht="13.2" customHeight="1">
      <c r="C152" s="1492"/>
      <c r="F152" s="616"/>
      <c r="G152" s="616"/>
      <c r="H152" s="616"/>
      <c r="I152" s="616"/>
      <c r="J152" s="616"/>
      <c r="K152" s="1491"/>
      <c r="L152" s="616"/>
      <c r="M152" s="616"/>
      <c r="S152" s="432"/>
    </row>
    <row r="153" spans="3:19" ht="13.2" customHeight="1">
      <c r="C153" s="1492"/>
      <c r="F153" s="616"/>
      <c r="G153" s="616"/>
      <c r="H153" s="616"/>
      <c r="I153" s="616"/>
      <c r="J153" s="616"/>
      <c r="K153" s="1491"/>
      <c r="L153" s="616"/>
      <c r="M153" s="616"/>
      <c r="S153" s="432"/>
    </row>
    <row r="154" spans="3:19" ht="13.2" customHeight="1">
      <c r="C154" s="1492"/>
      <c r="F154" s="616"/>
      <c r="G154" s="616"/>
      <c r="H154" s="616"/>
      <c r="I154" s="616"/>
      <c r="J154" s="616"/>
      <c r="K154" s="1491"/>
      <c r="L154" s="616"/>
      <c r="M154" s="616"/>
      <c r="S154" s="432"/>
    </row>
    <row r="155" spans="3:19" ht="13.2" customHeight="1">
      <c r="C155" s="1492"/>
      <c r="F155" s="616"/>
      <c r="G155" s="616"/>
      <c r="H155" s="616"/>
      <c r="I155" s="616"/>
      <c r="J155" s="616"/>
      <c r="K155" s="1491"/>
      <c r="L155" s="616"/>
      <c r="M155" s="616"/>
      <c r="S155" s="432"/>
    </row>
    <row r="156" spans="3:19" ht="13.2" customHeight="1">
      <c r="C156" s="1492"/>
      <c r="F156" s="616"/>
      <c r="G156" s="616"/>
      <c r="H156" s="616"/>
      <c r="I156" s="616"/>
      <c r="J156" s="616"/>
      <c r="K156" s="1491"/>
      <c r="L156" s="616"/>
      <c r="M156" s="616"/>
      <c r="S156" s="432"/>
    </row>
    <row r="157" spans="3:19" ht="13.2" customHeight="1">
      <c r="C157" s="1492"/>
      <c r="F157" s="616"/>
      <c r="G157" s="616"/>
      <c r="H157" s="616"/>
      <c r="I157" s="616"/>
      <c r="J157" s="616"/>
      <c r="K157" s="1491"/>
      <c r="L157" s="616"/>
      <c r="M157" s="616"/>
      <c r="S157" s="432"/>
    </row>
    <row r="158" spans="3:19" ht="13.2" customHeight="1">
      <c r="C158" s="1492"/>
      <c r="F158" s="616"/>
      <c r="G158" s="616"/>
      <c r="H158" s="616"/>
      <c r="I158" s="616"/>
      <c r="J158" s="616"/>
      <c r="K158" s="1491"/>
      <c r="L158" s="616"/>
      <c r="M158" s="616"/>
      <c r="S158" s="432"/>
    </row>
    <row r="159" spans="3:19" ht="13.2" customHeight="1">
      <c r="C159" s="1492"/>
      <c r="F159" s="616"/>
      <c r="G159" s="616"/>
      <c r="H159" s="616"/>
      <c r="I159" s="616"/>
      <c r="J159" s="616"/>
      <c r="K159" s="1491"/>
      <c r="L159" s="616"/>
      <c r="M159" s="616"/>
      <c r="S159" s="432"/>
    </row>
    <row r="160" spans="3:19" ht="13.2" customHeight="1">
      <c r="C160" s="1492"/>
      <c r="F160" s="616"/>
      <c r="G160" s="616"/>
      <c r="H160" s="616"/>
      <c r="I160" s="616"/>
      <c r="J160" s="616"/>
      <c r="K160" s="1491"/>
      <c r="L160" s="616"/>
      <c r="M160" s="616"/>
      <c r="S160" s="432"/>
    </row>
    <row r="161" spans="3:19" ht="13.2" customHeight="1">
      <c r="C161" s="1492"/>
      <c r="F161" s="616"/>
      <c r="G161" s="616"/>
      <c r="H161" s="616"/>
      <c r="I161" s="616"/>
      <c r="J161" s="616"/>
      <c r="K161" s="1491"/>
      <c r="L161" s="616"/>
      <c r="M161" s="616"/>
      <c r="S161" s="432"/>
    </row>
    <row r="162" spans="3:19" ht="13.2" customHeight="1">
      <c r="C162" s="1492"/>
      <c r="F162" s="616"/>
      <c r="G162" s="616"/>
      <c r="H162" s="616"/>
      <c r="I162" s="616"/>
      <c r="J162" s="616"/>
      <c r="K162" s="1491"/>
      <c r="L162" s="616"/>
      <c r="M162" s="616"/>
      <c r="S162" s="432"/>
    </row>
    <row r="163" spans="3:19" ht="13.2" customHeight="1">
      <c r="C163" s="1492"/>
      <c r="F163" s="616"/>
      <c r="G163" s="616"/>
      <c r="H163" s="616"/>
      <c r="I163" s="616"/>
      <c r="J163" s="616"/>
      <c r="K163" s="1491"/>
      <c r="L163" s="616"/>
      <c r="M163" s="616"/>
      <c r="S163" s="432"/>
    </row>
    <row r="164" spans="3:19" ht="13.2" customHeight="1">
      <c r="C164" s="1492"/>
      <c r="F164" s="616"/>
      <c r="G164" s="616"/>
      <c r="H164" s="616"/>
      <c r="I164" s="616"/>
      <c r="J164" s="616"/>
      <c r="K164" s="1491"/>
      <c r="L164" s="616"/>
      <c r="M164" s="616"/>
      <c r="S164" s="432"/>
    </row>
    <row r="165" spans="3:19" ht="13.2" customHeight="1">
      <c r="C165" s="1492"/>
      <c r="F165" s="616"/>
      <c r="G165" s="616"/>
      <c r="H165" s="616"/>
      <c r="I165" s="616"/>
      <c r="J165" s="616"/>
      <c r="K165" s="1491"/>
      <c r="L165" s="616"/>
      <c r="M165" s="616"/>
      <c r="S165" s="432"/>
    </row>
    <row r="166" spans="3:19" ht="13.2" customHeight="1">
      <c r="C166" s="1492"/>
      <c r="F166" s="616"/>
      <c r="G166" s="616"/>
      <c r="H166" s="616"/>
      <c r="I166" s="616"/>
      <c r="J166" s="616"/>
      <c r="K166" s="1491"/>
      <c r="L166" s="616"/>
      <c r="M166" s="616"/>
      <c r="S166" s="432"/>
    </row>
    <row r="167" spans="3:19" ht="13.2" customHeight="1">
      <c r="C167" s="1492"/>
      <c r="F167" s="616"/>
      <c r="G167" s="616"/>
      <c r="H167" s="616"/>
      <c r="I167" s="616"/>
      <c r="J167" s="616"/>
      <c r="K167" s="1491"/>
      <c r="L167" s="616"/>
      <c r="M167" s="616"/>
      <c r="S167" s="432"/>
    </row>
    <row r="168" spans="3:19" ht="13.2" customHeight="1">
      <c r="C168" s="1492"/>
      <c r="F168" s="616"/>
      <c r="G168" s="616"/>
      <c r="H168" s="616"/>
      <c r="I168" s="616"/>
      <c r="J168" s="616"/>
      <c r="K168" s="1491"/>
      <c r="L168" s="616"/>
      <c r="M168" s="616"/>
      <c r="S168" s="432"/>
    </row>
    <row r="169" spans="3:19" ht="13.2" customHeight="1">
      <c r="C169" s="1492"/>
      <c r="F169" s="616"/>
      <c r="G169" s="616"/>
      <c r="H169" s="616"/>
      <c r="I169" s="616"/>
      <c r="J169" s="616"/>
      <c r="K169" s="1491"/>
      <c r="L169" s="616"/>
      <c r="M169" s="616"/>
      <c r="S169" s="432"/>
    </row>
    <row r="170" spans="3:19" ht="13.2" customHeight="1">
      <c r="C170" s="1492"/>
      <c r="F170" s="616"/>
      <c r="G170" s="616"/>
      <c r="H170" s="616"/>
      <c r="I170" s="616"/>
      <c r="J170" s="616"/>
      <c r="K170" s="1491"/>
      <c r="L170" s="616"/>
      <c r="M170" s="616"/>
      <c r="S170" s="432"/>
    </row>
    <row r="171" spans="3:19" ht="13.2" customHeight="1">
      <c r="C171" s="1492"/>
      <c r="F171" s="616"/>
      <c r="G171" s="616"/>
      <c r="H171" s="616"/>
      <c r="I171" s="616"/>
      <c r="J171" s="616"/>
      <c r="K171" s="1491"/>
      <c r="L171" s="616"/>
      <c r="M171" s="616"/>
      <c r="S171" s="432"/>
    </row>
    <row r="172" spans="3:19" ht="13.2" customHeight="1">
      <c r="C172" s="1492"/>
      <c r="F172" s="616"/>
      <c r="G172" s="616"/>
      <c r="H172" s="616"/>
      <c r="I172" s="616"/>
      <c r="J172" s="616"/>
      <c r="K172" s="1491"/>
      <c r="L172" s="616"/>
      <c r="M172" s="616"/>
      <c r="S172" s="432"/>
    </row>
    <row r="173" spans="3:19" ht="13.2" customHeight="1">
      <c r="C173" s="1492"/>
      <c r="F173" s="616"/>
      <c r="G173" s="616"/>
      <c r="H173" s="616"/>
      <c r="I173" s="616"/>
      <c r="J173" s="616"/>
      <c r="K173" s="1491"/>
      <c r="L173" s="616"/>
      <c r="M173" s="616"/>
      <c r="S173" s="432"/>
    </row>
    <row r="174" spans="3:19" ht="13.2" customHeight="1">
      <c r="C174" s="1492"/>
      <c r="F174" s="616"/>
      <c r="G174" s="616"/>
      <c r="H174" s="616"/>
      <c r="I174" s="616"/>
      <c r="J174" s="616"/>
      <c r="K174" s="1491"/>
      <c r="L174" s="616"/>
      <c r="M174" s="616"/>
      <c r="S174" s="432"/>
    </row>
    <row r="175" spans="3:19" ht="13.2" customHeight="1">
      <c r="C175" s="1492"/>
      <c r="F175" s="616"/>
      <c r="G175" s="616"/>
      <c r="H175" s="616"/>
      <c r="I175" s="616"/>
      <c r="J175" s="616"/>
      <c r="K175" s="1491"/>
      <c r="L175" s="616"/>
      <c r="M175" s="616"/>
      <c r="S175" s="432"/>
    </row>
    <row r="176" spans="3:19" ht="13.2" customHeight="1">
      <c r="C176" s="1492"/>
      <c r="F176" s="616"/>
      <c r="G176" s="616"/>
      <c r="H176" s="616"/>
      <c r="I176" s="616"/>
      <c r="J176" s="616"/>
      <c r="K176" s="1491"/>
      <c r="L176" s="616"/>
      <c r="M176" s="616"/>
      <c r="S176" s="432"/>
    </row>
    <row r="177" spans="3:19" ht="13.2" customHeight="1">
      <c r="C177" s="1492"/>
      <c r="F177" s="616"/>
      <c r="G177" s="616"/>
      <c r="H177" s="616"/>
      <c r="I177" s="616"/>
      <c r="J177" s="616"/>
      <c r="K177" s="1491"/>
      <c r="L177" s="616"/>
      <c r="M177" s="616"/>
      <c r="S177" s="432"/>
    </row>
    <row r="178" spans="3:19" ht="13.2" customHeight="1">
      <c r="C178" s="1492"/>
      <c r="F178" s="616"/>
      <c r="G178" s="616"/>
      <c r="H178" s="616"/>
      <c r="I178" s="616"/>
      <c r="J178" s="616"/>
      <c r="K178" s="1491"/>
      <c r="L178" s="616"/>
      <c r="M178" s="616"/>
      <c r="S178" s="432"/>
    </row>
    <row r="179" spans="3:19" ht="13.2" customHeight="1">
      <c r="C179" s="1492"/>
      <c r="F179" s="616"/>
      <c r="G179" s="616"/>
      <c r="H179" s="616"/>
      <c r="I179" s="616"/>
      <c r="J179" s="616"/>
      <c r="K179" s="1491"/>
      <c r="L179" s="616"/>
      <c r="M179" s="616"/>
      <c r="S179" s="432"/>
    </row>
    <row r="180" spans="3:19" ht="13.2" customHeight="1">
      <c r="C180" s="1492"/>
      <c r="F180" s="616"/>
      <c r="G180" s="616"/>
      <c r="H180" s="616"/>
      <c r="I180" s="616"/>
      <c r="J180" s="616"/>
      <c r="K180" s="1491"/>
      <c r="L180" s="616"/>
      <c r="M180" s="616"/>
      <c r="S180" s="432"/>
    </row>
    <row r="181" spans="3:19" ht="13.2" customHeight="1">
      <c r="C181" s="1492"/>
      <c r="F181" s="616"/>
      <c r="G181" s="616"/>
      <c r="H181" s="616"/>
      <c r="I181" s="616"/>
      <c r="J181" s="616"/>
      <c r="K181" s="1491"/>
      <c r="L181" s="616"/>
      <c r="M181" s="616"/>
      <c r="S181" s="432"/>
    </row>
    <row r="182" spans="3:19" ht="13.2" customHeight="1">
      <c r="C182" s="1492"/>
      <c r="F182" s="616"/>
      <c r="G182" s="616"/>
      <c r="H182" s="616"/>
      <c r="I182" s="616"/>
      <c r="J182" s="616"/>
      <c r="K182" s="1491"/>
      <c r="L182" s="616"/>
      <c r="M182" s="616"/>
      <c r="S182" s="432"/>
    </row>
    <row r="183" spans="3:19" ht="13.2" customHeight="1">
      <c r="C183" s="1492"/>
      <c r="F183" s="616"/>
      <c r="G183" s="616"/>
      <c r="H183" s="616"/>
      <c r="I183" s="616"/>
      <c r="J183" s="616"/>
      <c r="K183" s="1491"/>
      <c r="L183" s="616"/>
      <c r="M183" s="616"/>
      <c r="S183" s="432"/>
    </row>
    <row r="184" spans="3:19" ht="13.2" customHeight="1">
      <c r="C184" s="1492"/>
      <c r="F184" s="616"/>
      <c r="G184" s="616"/>
      <c r="H184" s="616"/>
      <c r="I184" s="616"/>
      <c r="J184" s="616"/>
      <c r="K184" s="1491"/>
      <c r="L184" s="616"/>
      <c r="M184" s="616"/>
      <c r="S184" s="432"/>
    </row>
    <row r="185" spans="3:19" ht="13.2" customHeight="1">
      <c r="C185" s="1492"/>
      <c r="F185" s="616"/>
      <c r="G185" s="616"/>
      <c r="H185" s="616"/>
      <c r="I185" s="616"/>
      <c r="J185" s="616"/>
      <c r="K185" s="1491"/>
      <c r="L185" s="616"/>
      <c r="M185" s="616"/>
      <c r="S185" s="432"/>
    </row>
    <row r="186" spans="3:19" ht="13.2" customHeight="1">
      <c r="C186" s="1492"/>
      <c r="F186" s="616"/>
      <c r="G186" s="616"/>
      <c r="H186" s="616"/>
      <c r="I186" s="616"/>
      <c r="J186" s="616"/>
      <c r="K186" s="1491"/>
      <c r="L186" s="616"/>
      <c r="M186" s="616"/>
      <c r="S186" s="432"/>
    </row>
    <row r="187" spans="3:19" ht="13.2" customHeight="1">
      <c r="C187" s="1492" t="s">
        <v>233</v>
      </c>
      <c r="F187" s="616"/>
      <c r="G187" s="616"/>
      <c r="H187" s="616"/>
      <c r="I187" s="616"/>
      <c r="J187" s="616"/>
      <c r="K187" s="1491"/>
      <c r="L187" s="616"/>
      <c r="M187" s="616"/>
      <c r="S187" s="432"/>
    </row>
    <row r="188" spans="3:19" ht="13.2" customHeight="1">
      <c r="C188" s="1492"/>
      <c r="F188" s="616"/>
      <c r="G188" s="616"/>
      <c r="H188" s="616"/>
      <c r="I188" s="616"/>
      <c r="J188" s="616"/>
      <c r="K188" s="1491"/>
      <c r="L188" s="616"/>
      <c r="M188" s="616"/>
      <c r="S188" s="432"/>
    </row>
    <row r="189" spans="3:19" ht="13.2" customHeight="1">
      <c r="C189" s="1492"/>
      <c r="F189" s="616"/>
      <c r="G189" s="616"/>
      <c r="H189" s="616"/>
      <c r="I189" s="616"/>
      <c r="J189" s="616"/>
      <c r="K189" s="1491"/>
      <c r="L189" s="616"/>
      <c r="M189" s="616"/>
      <c r="S189" s="432"/>
    </row>
    <row r="190" spans="3:19" ht="13.2" customHeight="1">
      <c r="C190" s="1492"/>
      <c r="F190" s="616"/>
      <c r="G190" s="616"/>
      <c r="H190" s="616"/>
      <c r="I190" s="616"/>
      <c r="J190" s="616"/>
      <c r="K190" s="1491"/>
      <c r="L190" s="616"/>
      <c r="M190" s="616"/>
      <c r="S190" s="432"/>
    </row>
    <row r="191" spans="3:19" ht="13.2" customHeight="1">
      <c r="C191" s="1492"/>
      <c r="F191" s="616"/>
      <c r="G191" s="616"/>
      <c r="H191" s="616"/>
      <c r="I191" s="616"/>
      <c r="J191" s="616"/>
      <c r="K191" s="1491"/>
      <c r="L191" s="616"/>
      <c r="M191" s="616"/>
      <c r="S191" s="432"/>
    </row>
    <row r="192" spans="3:19" ht="13.2" customHeight="1">
      <c r="C192" s="1492"/>
      <c r="F192" s="616"/>
      <c r="G192" s="616"/>
      <c r="H192" s="616"/>
      <c r="I192" s="616"/>
      <c r="J192" s="616"/>
      <c r="K192" s="1491"/>
      <c r="L192" s="616"/>
      <c r="M192" s="616"/>
      <c r="S192" s="432"/>
    </row>
    <row r="193" spans="3:19" ht="13.2" customHeight="1">
      <c r="C193" s="1492"/>
      <c r="F193" s="560"/>
      <c r="G193" s="560"/>
      <c r="H193" s="560"/>
      <c r="I193" s="560"/>
      <c r="J193" s="560"/>
      <c r="K193" s="1491"/>
      <c r="L193" s="560"/>
      <c r="M193" s="560"/>
      <c r="S193" s="432"/>
    </row>
    <row r="194" spans="3:19" ht="13.2" customHeight="1">
      <c r="C194" s="1492"/>
      <c r="F194" s="560"/>
      <c r="G194" s="560"/>
      <c r="H194" s="560"/>
      <c r="I194" s="560"/>
      <c r="J194" s="560"/>
      <c r="K194" s="1491"/>
      <c r="L194" s="560"/>
      <c r="M194" s="560"/>
      <c r="S194" s="432"/>
    </row>
    <row r="195" spans="3:19" ht="13.2" customHeight="1">
      <c r="C195" s="1492"/>
      <c r="F195" s="560"/>
      <c r="G195" s="560"/>
      <c r="H195" s="560"/>
      <c r="I195" s="560"/>
      <c r="J195" s="560"/>
      <c r="K195" s="1491"/>
      <c r="L195" s="560"/>
      <c r="M195" s="560"/>
      <c r="S195" s="432"/>
    </row>
    <row r="196" spans="3:19" ht="13.2" customHeight="1">
      <c r="C196" s="1492"/>
      <c r="F196" s="560"/>
      <c r="G196" s="560"/>
      <c r="H196" s="560"/>
      <c r="I196" s="560"/>
      <c r="J196" s="560"/>
      <c r="K196" s="1491"/>
      <c r="L196" s="560"/>
      <c r="M196" s="560"/>
      <c r="S196" s="432"/>
    </row>
    <row r="197" spans="3:19" ht="13.2" customHeight="1">
      <c r="C197" s="1492"/>
      <c r="F197" s="560"/>
      <c r="G197" s="560"/>
      <c r="H197" s="560"/>
      <c r="I197" s="560"/>
      <c r="J197" s="560"/>
      <c r="K197" s="1491"/>
      <c r="L197" s="560"/>
      <c r="M197" s="560"/>
      <c r="S197" s="432"/>
    </row>
    <row r="198" spans="3:19" ht="13.2" customHeight="1">
      <c r="C198" s="1492"/>
      <c r="F198" s="560"/>
      <c r="G198" s="560"/>
      <c r="H198" s="560"/>
      <c r="I198" s="560"/>
      <c r="J198" s="560"/>
      <c r="K198" s="1491"/>
      <c r="L198" s="560"/>
      <c r="M198" s="560"/>
      <c r="S198" s="432"/>
    </row>
    <row r="199" spans="3:19" ht="13.2" customHeight="1">
      <c r="C199" s="1492"/>
      <c r="F199" s="560"/>
      <c r="G199" s="560"/>
      <c r="H199" s="560"/>
      <c r="I199" s="560"/>
      <c r="J199" s="560"/>
      <c r="K199" s="1491"/>
      <c r="L199" s="560"/>
      <c r="M199" s="560"/>
      <c r="S199" s="432"/>
    </row>
    <row r="200" spans="3:19" ht="13.2" customHeight="1">
      <c r="C200" s="1492"/>
      <c r="F200" s="560"/>
      <c r="G200" s="560"/>
      <c r="H200" s="560"/>
      <c r="I200" s="560"/>
      <c r="J200" s="560"/>
      <c r="K200" s="1491"/>
      <c r="L200" s="560"/>
      <c r="M200" s="560"/>
      <c r="S200" s="432"/>
    </row>
    <row r="201" spans="3:19" ht="13.2" customHeight="1">
      <c r="C201" s="1492"/>
      <c r="F201" s="560"/>
      <c r="G201" s="560"/>
      <c r="H201" s="560"/>
      <c r="I201" s="560"/>
      <c r="J201" s="560"/>
      <c r="K201" s="1491"/>
      <c r="L201" s="560"/>
      <c r="M201" s="560"/>
      <c r="S201" s="432"/>
    </row>
    <row r="202" spans="3:19" ht="13.2" customHeight="1">
      <c r="C202" s="1492"/>
      <c r="F202" s="560"/>
      <c r="G202" s="560"/>
      <c r="H202" s="560"/>
      <c r="I202" s="560"/>
      <c r="J202" s="560"/>
      <c r="K202" s="1491"/>
      <c r="L202" s="560"/>
      <c r="M202" s="560"/>
      <c r="S202" s="432"/>
    </row>
    <row r="203" spans="3:19" ht="13.2" customHeight="1">
      <c r="C203" s="1492"/>
      <c r="F203" s="560"/>
      <c r="G203" s="560"/>
      <c r="H203" s="560"/>
      <c r="I203" s="560"/>
      <c r="J203" s="560"/>
      <c r="K203" s="1491"/>
      <c r="L203" s="560"/>
      <c r="M203" s="560"/>
      <c r="S203" s="432"/>
    </row>
    <row r="204" spans="3:19" ht="13.2" customHeight="1">
      <c r="C204" s="1492"/>
      <c r="F204" s="560"/>
      <c r="G204" s="560"/>
      <c r="H204" s="560"/>
      <c r="I204" s="560"/>
      <c r="J204" s="560"/>
      <c r="K204" s="1491"/>
      <c r="L204" s="560"/>
      <c r="M204" s="560"/>
      <c r="S204" s="432"/>
    </row>
    <row r="205" spans="3:19" ht="13.2" customHeight="1">
      <c r="C205" s="1492"/>
      <c r="F205" s="560"/>
      <c r="G205" s="560"/>
      <c r="H205" s="560"/>
      <c r="I205" s="560"/>
      <c r="J205" s="560"/>
      <c r="K205" s="1491"/>
      <c r="L205" s="560"/>
      <c r="M205" s="560"/>
      <c r="S205" s="432"/>
    </row>
    <row r="206" spans="3:19" ht="13.2" customHeight="1">
      <c r="C206" s="1492"/>
      <c r="F206" s="560"/>
      <c r="G206" s="560"/>
      <c r="H206" s="560"/>
      <c r="I206" s="560"/>
      <c r="J206" s="560"/>
      <c r="K206" s="1491"/>
      <c r="L206" s="560"/>
      <c r="M206" s="560"/>
      <c r="S206" s="432"/>
    </row>
    <row r="207" spans="3:19" ht="13.2" customHeight="1">
      <c r="C207" s="1492"/>
      <c r="F207" s="560"/>
      <c r="G207" s="560"/>
      <c r="H207" s="560"/>
      <c r="I207" s="560"/>
      <c r="J207" s="560"/>
      <c r="K207" s="1491"/>
      <c r="L207" s="560"/>
      <c r="M207" s="560"/>
      <c r="S207" s="432"/>
    </row>
    <row r="208" spans="3:19" ht="13.2" customHeight="1">
      <c r="C208" s="1492"/>
      <c r="F208" s="560"/>
      <c r="G208" s="560"/>
      <c r="H208" s="560"/>
      <c r="I208" s="560"/>
      <c r="J208" s="560"/>
      <c r="K208" s="1491"/>
      <c r="L208" s="560"/>
      <c r="M208" s="560"/>
      <c r="S208" s="432"/>
    </row>
    <row r="209" spans="3:19" ht="13.2" customHeight="1">
      <c r="C209" s="1492"/>
      <c r="F209" s="560"/>
      <c r="G209" s="560"/>
      <c r="H209" s="560"/>
      <c r="I209" s="560"/>
      <c r="J209" s="560"/>
      <c r="K209" s="1491"/>
      <c r="L209" s="560"/>
      <c r="M209" s="560"/>
      <c r="S209" s="432"/>
    </row>
    <row r="210" spans="3:19" ht="13.2" customHeight="1">
      <c r="C210" s="1492"/>
      <c r="F210" s="560"/>
      <c r="G210" s="560"/>
      <c r="H210" s="560"/>
      <c r="I210" s="560"/>
      <c r="J210" s="560"/>
      <c r="K210" s="1491"/>
      <c r="L210" s="560"/>
      <c r="M210" s="560"/>
      <c r="S210" s="432"/>
    </row>
    <row r="211" spans="3:19" ht="13.2" customHeight="1">
      <c r="C211" s="1492"/>
      <c r="F211" s="560"/>
      <c r="G211" s="560"/>
      <c r="H211" s="560"/>
      <c r="I211" s="560"/>
      <c r="J211" s="560"/>
      <c r="K211" s="1491"/>
      <c r="L211" s="560"/>
      <c r="M211" s="560"/>
      <c r="S211" s="432"/>
    </row>
    <row r="212" spans="3:19" ht="13.2" customHeight="1">
      <c r="C212" s="1492"/>
      <c r="F212" s="560"/>
      <c r="G212" s="560"/>
      <c r="H212" s="560"/>
      <c r="I212" s="560"/>
      <c r="J212" s="560"/>
      <c r="K212" s="1491"/>
      <c r="L212" s="560"/>
      <c r="M212" s="560"/>
      <c r="S212" s="432"/>
    </row>
    <row r="213" spans="3:19" ht="13.2" customHeight="1">
      <c r="C213" s="1492"/>
      <c r="F213" s="560"/>
      <c r="G213" s="560"/>
      <c r="H213" s="560"/>
      <c r="I213" s="560"/>
      <c r="J213" s="560"/>
      <c r="K213" s="1491"/>
      <c r="L213" s="560"/>
      <c r="M213" s="560"/>
      <c r="S213" s="432"/>
    </row>
    <row r="214" spans="3:19" ht="13.2" customHeight="1">
      <c r="C214" s="1492"/>
      <c r="F214" s="560"/>
      <c r="G214" s="560"/>
      <c r="H214" s="560"/>
      <c r="I214" s="560"/>
      <c r="J214" s="560"/>
      <c r="K214" s="1491"/>
      <c r="L214" s="560"/>
      <c r="M214" s="560"/>
      <c r="S214" s="432"/>
    </row>
    <row r="215" spans="3:19" ht="13.2" customHeight="1">
      <c r="C215" s="1492"/>
      <c r="F215" s="560"/>
      <c r="G215" s="560"/>
      <c r="H215" s="560"/>
      <c r="I215" s="560"/>
      <c r="J215" s="560"/>
      <c r="K215" s="1491"/>
      <c r="L215" s="560"/>
      <c r="M215" s="560"/>
      <c r="S215" s="432"/>
    </row>
    <row r="216" spans="3:19" ht="13.2" customHeight="1">
      <c r="C216" s="1492"/>
      <c r="F216" s="560"/>
      <c r="G216" s="560"/>
      <c r="H216" s="560"/>
      <c r="I216" s="560"/>
      <c r="J216" s="560"/>
      <c r="K216" s="1491"/>
      <c r="L216" s="560"/>
      <c r="M216" s="560"/>
      <c r="S216" s="432"/>
    </row>
    <row r="217" spans="3:19" ht="13.2" customHeight="1">
      <c r="C217" s="1492"/>
      <c r="F217" s="560"/>
      <c r="G217" s="560"/>
      <c r="H217" s="560"/>
      <c r="I217" s="560"/>
      <c r="J217" s="560"/>
      <c r="K217" s="1491"/>
      <c r="L217" s="560"/>
      <c r="M217" s="560"/>
      <c r="S217" s="432"/>
    </row>
    <row r="218" spans="3:19" ht="13.2" customHeight="1">
      <c r="C218" s="1492"/>
      <c r="F218" s="560"/>
      <c r="G218" s="560"/>
      <c r="H218" s="560"/>
      <c r="I218" s="560"/>
      <c r="J218" s="560"/>
      <c r="K218" s="1491"/>
      <c r="L218" s="560"/>
      <c r="M218" s="560"/>
      <c r="S218" s="432"/>
    </row>
    <row r="219" spans="3:19" ht="13.2" customHeight="1">
      <c r="C219" s="1492"/>
      <c r="F219" s="560"/>
      <c r="G219" s="560"/>
      <c r="H219" s="560"/>
      <c r="I219" s="560"/>
      <c r="J219" s="560"/>
      <c r="K219" s="1491"/>
      <c r="L219" s="560"/>
      <c r="M219" s="560"/>
      <c r="S219" s="432"/>
    </row>
    <row r="220" spans="3:19" ht="13.2" customHeight="1">
      <c r="C220" s="1492"/>
      <c r="F220" s="560"/>
      <c r="G220" s="560"/>
      <c r="H220" s="560"/>
      <c r="I220" s="560"/>
      <c r="J220" s="560"/>
      <c r="K220" s="1491"/>
      <c r="L220" s="560"/>
      <c r="M220" s="560"/>
      <c r="S220" s="432"/>
    </row>
    <row r="221" spans="3:19" ht="13.2" customHeight="1">
      <c r="C221" s="1492"/>
      <c r="F221" s="560"/>
      <c r="G221" s="560"/>
      <c r="H221" s="560"/>
      <c r="I221" s="560"/>
      <c r="J221" s="560"/>
      <c r="K221" s="1491"/>
      <c r="L221" s="560"/>
      <c r="M221" s="560"/>
      <c r="S221" s="432"/>
    </row>
    <row r="222" spans="3:19" ht="13.2" customHeight="1">
      <c r="C222" s="1492"/>
      <c r="F222" s="560"/>
      <c r="G222" s="560"/>
      <c r="H222" s="560"/>
      <c r="I222" s="560"/>
      <c r="J222" s="560"/>
      <c r="K222" s="1491"/>
      <c r="L222" s="560"/>
      <c r="M222" s="560"/>
      <c r="S222" s="432"/>
    </row>
    <row r="223" spans="3:19" ht="13.2" customHeight="1">
      <c r="C223" s="1492"/>
      <c r="F223" s="560"/>
      <c r="G223" s="560"/>
      <c r="H223" s="560"/>
      <c r="I223" s="560"/>
      <c r="J223" s="560"/>
      <c r="K223" s="1491"/>
      <c r="L223" s="560"/>
      <c r="M223" s="560"/>
      <c r="S223" s="432"/>
    </row>
    <row r="224" spans="3:19" ht="13.2" customHeight="1">
      <c r="C224" s="1492"/>
      <c r="F224" s="560"/>
      <c r="G224" s="560"/>
      <c r="H224" s="560"/>
      <c r="I224" s="560"/>
      <c r="J224" s="560"/>
      <c r="K224" s="1491"/>
      <c r="L224" s="560"/>
      <c r="M224" s="560"/>
      <c r="S224" s="432"/>
    </row>
    <row r="225" spans="3:19" ht="13.2" customHeight="1">
      <c r="C225" s="1492"/>
      <c r="F225" s="560"/>
      <c r="G225" s="560"/>
      <c r="H225" s="560"/>
      <c r="I225" s="560"/>
      <c r="J225" s="560"/>
      <c r="K225" s="1491"/>
      <c r="L225" s="560"/>
      <c r="M225" s="560"/>
      <c r="S225" s="432"/>
    </row>
    <row r="226" spans="3:19" ht="13.2" customHeight="1">
      <c r="C226" s="1492"/>
      <c r="F226" s="560"/>
      <c r="G226" s="560"/>
      <c r="H226" s="560"/>
      <c r="I226" s="560"/>
      <c r="J226" s="560"/>
      <c r="K226" s="1491"/>
      <c r="L226" s="560"/>
      <c r="M226" s="560"/>
      <c r="S226" s="432"/>
    </row>
    <row r="227" spans="3:19" ht="13.2" customHeight="1">
      <c r="C227" s="1492"/>
      <c r="F227" s="560"/>
      <c r="G227" s="560"/>
      <c r="H227" s="560"/>
      <c r="I227" s="560"/>
      <c r="J227" s="560"/>
      <c r="K227" s="1491"/>
      <c r="L227" s="560"/>
      <c r="M227" s="560"/>
      <c r="S227" s="432"/>
    </row>
    <row r="228" spans="3:19" ht="13.2" customHeight="1">
      <c r="C228" s="1492"/>
      <c r="F228" s="560"/>
      <c r="G228" s="560"/>
      <c r="H228" s="560"/>
      <c r="I228" s="560"/>
      <c r="J228" s="560"/>
      <c r="K228" s="1491"/>
      <c r="L228" s="560"/>
      <c r="M228" s="560"/>
      <c r="S228" s="432"/>
    </row>
    <row r="229" spans="3:19" ht="13.2" customHeight="1">
      <c r="C229" s="1492"/>
      <c r="F229" s="560"/>
      <c r="G229" s="560"/>
      <c r="H229" s="560"/>
      <c r="I229" s="560"/>
      <c r="J229" s="560"/>
      <c r="K229" s="1491"/>
      <c r="L229" s="560"/>
      <c r="M229" s="560"/>
      <c r="S229" s="432"/>
    </row>
    <row r="230" spans="3:19" ht="13.2" customHeight="1">
      <c r="C230" s="1492"/>
      <c r="F230" s="560"/>
      <c r="G230" s="560"/>
      <c r="H230" s="560"/>
      <c r="I230" s="560"/>
      <c r="J230" s="560"/>
      <c r="K230" s="1491"/>
      <c r="L230" s="560"/>
      <c r="M230" s="560"/>
      <c r="S230" s="432"/>
    </row>
    <row r="231" spans="3:19" ht="13.2" customHeight="1">
      <c r="C231" s="1492"/>
      <c r="F231" s="560"/>
      <c r="G231" s="560"/>
      <c r="H231" s="560"/>
      <c r="I231" s="560"/>
      <c r="J231" s="560"/>
      <c r="K231" s="1491"/>
      <c r="L231" s="560"/>
      <c r="M231" s="560"/>
      <c r="S231" s="432"/>
    </row>
    <row r="232" spans="3:19" ht="13.2" customHeight="1">
      <c r="C232" s="1492"/>
      <c r="F232" s="560"/>
      <c r="G232" s="560"/>
      <c r="H232" s="560"/>
      <c r="I232" s="560"/>
      <c r="J232" s="560"/>
      <c r="K232" s="1491"/>
      <c r="L232" s="560"/>
      <c r="M232" s="560"/>
      <c r="S232" s="432"/>
    </row>
    <row r="233" spans="3:19" ht="13.2" customHeight="1">
      <c r="C233" s="1492"/>
      <c r="F233" s="560"/>
      <c r="G233" s="560"/>
      <c r="H233" s="560"/>
      <c r="I233" s="560"/>
      <c r="J233" s="560"/>
      <c r="K233" s="1491"/>
      <c r="L233" s="560"/>
      <c r="M233" s="560"/>
      <c r="S233" s="432"/>
    </row>
    <row r="234" spans="3:19" ht="13.2" customHeight="1">
      <c r="C234" s="1492"/>
      <c r="F234" s="560"/>
      <c r="G234" s="560"/>
      <c r="H234" s="560"/>
      <c r="I234" s="560"/>
      <c r="J234" s="560"/>
      <c r="K234" s="1491"/>
      <c r="L234" s="560"/>
      <c r="M234" s="560"/>
      <c r="S234" s="432"/>
    </row>
    <row r="235" spans="3:19" ht="13.2" customHeight="1">
      <c r="C235" s="1492"/>
      <c r="F235" s="560"/>
      <c r="G235" s="560"/>
      <c r="H235" s="560"/>
      <c r="I235" s="560"/>
      <c r="J235" s="560"/>
      <c r="K235" s="1491"/>
      <c r="L235" s="560"/>
      <c r="M235" s="560"/>
      <c r="S235" s="432"/>
    </row>
    <row r="236" spans="3:19" ht="13.2" customHeight="1">
      <c r="C236" s="1492"/>
      <c r="F236" s="560"/>
      <c r="G236" s="560"/>
      <c r="H236" s="560"/>
      <c r="I236" s="560"/>
      <c r="J236" s="560"/>
      <c r="K236" s="1491"/>
      <c r="L236" s="560"/>
      <c r="M236" s="560"/>
      <c r="S236" s="432"/>
    </row>
    <row r="237" spans="3:19" ht="13.2" customHeight="1">
      <c r="C237" s="1492"/>
      <c r="F237" s="560"/>
      <c r="G237" s="560"/>
      <c r="H237" s="560"/>
      <c r="I237" s="560"/>
      <c r="J237" s="560"/>
      <c r="K237" s="1491"/>
      <c r="L237" s="560"/>
      <c r="M237" s="560"/>
      <c r="S237" s="432"/>
    </row>
    <row r="238" spans="3:19" ht="13.2" customHeight="1">
      <c r="C238" s="1492"/>
      <c r="F238" s="560"/>
      <c r="G238" s="560"/>
      <c r="H238" s="560"/>
      <c r="I238" s="560"/>
      <c r="J238" s="560"/>
      <c r="K238" s="1491"/>
      <c r="L238" s="560"/>
      <c r="M238" s="560"/>
      <c r="S238" s="432"/>
    </row>
    <row r="239" spans="3:19" ht="13.2" customHeight="1">
      <c r="C239" s="1492"/>
      <c r="F239" s="560"/>
      <c r="G239" s="560"/>
      <c r="H239" s="560"/>
      <c r="I239" s="560"/>
      <c r="J239" s="560"/>
      <c r="K239" s="1491"/>
      <c r="L239" s="560"/>
      <c r="M239" s="560"/>
      <c r="S239" s="432"/>
    </row>
    <row r="240" spans="3:19" ht="13.2" customHeight="1">
      <c r="C240" s="1492"/>
      <c r="F240" s="560"/>
      <c r="G240" s="560"/>
      <c r="H240" s="560"/>
      <c r="I240" s="560"/>
      <c r="J240" s="560"/>
      <c r="K240" s="1491"/>
      <c r="L240" s="560"/>
      <c r="M240" s="560"/>
      <c r="S240" s="432"/>
    </row>
    <row r="241" spans="3:19" ht="13.2" customHeight="1">
      <c r="C241" s="1492"/>
      <c r="F241" s="560"/>
      <c r="G241" s="560"/>
      <c r="H241" s="560"/>
      <c r="I241" s="560"/>
      <c r="J241" s="560"/>
      <c r="K241" s="1491"/>
      <c r="L241" s="560"/>
      <c r="M241" s="560"/>
      <c r="S241" s="432"/>
    </row>
    <row r="242" spans="3:19" ht="13.2" customHeight="1">
      <c r="C242" s="1492"/>
      <c r="F242" s="560"/>
      <c r="G242" s="560"/>
      <c r="H242" s="560"/>
      <c r="I242" s="560"/>
      <c r="J242" s="560"/>
      <c r="K242" s="1491"/>
      <c r="L242" s="560"/>
      <c r="M242" s="560"/>
      <c r="S242" s="432"/>
    </row>
    <row r="243" spans="3:19" ht="13.2" customHeight="1">
      <c r="C243" s="1492"/>
      <c r="F243" s="560"/>
      <c r="G243" s="560"/>
      <c r="H243" s="560"/>
      <c r="I243" s="560"/>
      <c r="J243" s="560"/>
      <c r="K243" s="1491"/>
      <c r="L243" s="560"/>
      <c r="M243" s="560"/>
      <c r="S243" s="432"/>
    </row>
    <row r="244" spans="3:19" ht="13.2" customHeight="1">
      <c r="C244" s="1492"/>
      <c r="F244" s="560"/>
      <c r="G244" s="560"/>
      <c r="H244" s="560"/>
      <c r="I244" s="560"/>
      <c r="J244" s="560"/>
      <c r="K244" s="1491"/>
      <c r="L244" s="560"/>
      <c r="M244" s="560"/>
      <c r="S244" s="432"/>
    </row>
    <row r="245" spans="3:19" ht="13.2" customHeight="1">
      <c r="C245" s="1492"/>
      <c r="F245" s="560"/>
      <c r="G245" s="560"/>
      <c r="H245" s="560"/>
      <c r="I245" s="560"/>
      <c r="J245" s="560"/>
      <c r="K245" s="1491"/>
      <c r="L245" s="560"/>
      <c r="M245" s="560"/>
      <c r="S245" s="432"/>
    </row>
    <row r="246" spans="3:19" ht="13.2" customHeight="1">
      <c r="C246" s="1492"/>
      <c r="K246" s="609"/>
      <c r="S246" s="432"/>
    </row>
    <row r="247" spans="3:19" ht="13.2" customHeight="1">
      <c r="C247" s="1492"/>
      <c r="K247" s="609"/>
      <c r="S247" s="432"/>
    </row>
    <row r="248" spans="3:19" ht="13.2" customHeight="1">
      <c r="C248" s="1492"/>
      <c r="K248" s="609"/>
      <c r="S248" s="432"/>
    </row>
    <row r="249" spans="3:19" ht="13.2" customHeight="1">
      <c r="C249" s="1492"/>
      <c r="K249" s="609"/>
      <c r="S249" s="432"/>
    </row>
    <row r="250" spans="3:19" ht="13.2" customHeight="1">
      <c r="C250" s="1492"/>
      <c r="K250" s="609"/>
      <c r="S250" s="432"/>
    </row>
    <row r="251" spans="3:19" ht="13.2" customHeight="1">
      <c r="C251" s="1492"/>
      <c r="K251" s="609"/>
      <c r="S251" s="432"/>
    </row>
    <row r="252" spans="3:19" ht="13.2" customHeight="1">
      <c r="C252" s="1492"/>
      <c r="K252" s="609"/>
      <c r="S252" s="432"/>
    </row>
    <row r="253" spans="3:19" ht="13.2" customHeight="1">
      <c r="C253" s="1492"/>
      <c r="K253" s="609"/>
      <c r="S253" s="432"/>
    </row>
    <row r="254" spans="3:19" ht="13.2" customHeight="1">
      <c r="C254" s="1492"/>
      <c r="K254" s="609"/>
      <c r="S254" s="432"/>
    </row>
    <row r="255" spans="3:19" ht="13.2" customHeight="1">
      <c r="C255" s="1492"/>
      <c r="K255" s="609"/>
      <c r="S255" s="432"/>
    </row>
    <row r="256" spans="3:19" ht="13.2" customHeight="1">
      <c r="C256" s="1492"/>
      <c r="K256" s="609"/>
      <c r="S256" s="432"/>
    </row>
    <row r="257" spans="3:19" ht="13.2" customHeight="1">
      <c r="C257" s="1492"/>
      <c r="K257" s="609"/>
      <c r="S257" s="432"/>
    </row>
    <row r="258" spans="3:19" ht="13.2" customHeight="1">
      <c r="C258" s="1492"/>
      <c r="K258" s="609"/>
      <c r="S258" s="432"/>
    </row>
    <row r="259" spans="3:19" ht="13.2" customHeight="1">
      <c r="C259" s="1492"/>
      <c r="K259" s="609"/>
      <c r="S259" s="432"/>
    </row>
    <row r="260" spans="3:19" ht="13.2" customHeight="1">
      <c r="C260" s="1492"/>
      <c r="K260" s="609"/>
      <c r="S260" s="432"/>
    </row>
    <row r="261" spans="3:19" ht="13.2" customHeight="1">
      <c r="C261" s="1492"/>
      <c r="K261" s="609"/>
      <c r="S261" s="432"/>
    </row>
    <row r="262" spans="3:19" ht="13.2" customHeight="1">
      <c r="C262" s="1492"/>
      <c r="K262" s="609"/>
      <c r="S262" s="432"/>
    </row>
    <row r="263" spans="3:19" ht="13.2" customHeight="1">
      <c r="C263" s="1492"/>
      <c r="K263" s="609"/>
      <c r="S263" s="432"/>
    </row>
    <row r="264" spans="3:19" ht="13.2" customHeight="1">
      <c r="C264" s="1492"/>
      <c r="K264" s="609"/>
      <c r="S264" s="432"/>
    </row>
    <row r="265" spans="3:19" ht="13.2" customHeight="1">
      <c r="C265" s="1492"/>
      <c r="K265" s="609"/>
      <c r="S265" s="432"/>
    </row>
    <row r="266" spans="3:19" ht="13.2" customHeight="1">
      <c r="C266" s="1492"/>
      <c r="K266" s="609"/>
      <c r="S266" s="432"/>
    </row>
    <row r="267" spans="3:19" ht="13.2" customHeight="1">
      <c r="C267" s="1492" t="s">
        <v>233</v>
      </c>
      <c r="K267" s="609"/>
      <c r="S267" s="432"/>
    </row>
    <row r="268" spans="3:19" ht="13.2" customHeight="1">
      <c r="C268" s="1492"/>
      <c r="K268" s="609"/>
      <c r="S268" s="432"/>
    </row>
    <row r="269" spans="3:19" ht="13.2" customHeight="1">
      <c r="C269" s="1492"/>
      <c r="K269" s="609"/>
      <c r="S269" s="432"/>
    </row>
    <row r="270" spans="3:19" ht="13.2" customHeight="1">
      <c r="C270" s="1492"/>
      <c r="K270" s="609"/>
      <c r="S270" s="432"/>
    </row>
    <row r="271" spans="3:19" ht="13.2" customHeight="1">
      <c r="C271" s="1492"/>
      <c r="K271" s="609"/>
      <c r="S271" s="432"/>
    </row>
    <row r="272" spans="3:19" ht="13.2" customHeight="1">
      <c r="C272" s="1492"/>
      <c r="K272" s="609"/>
      <c r="S272" s="432"/>
    </row>
    <row r="273" spans="3:19" ht="13.2" customHeight="1">
      <c r="C273" s="1492"/>
      <c r="K273" s="609"/>
      <c r="S273" s="432"/>
    </row>
    <row r="274" spans="3:19" ht="13.2" customHeight="1">
      <c r="C274" s="1492"/>
      <c r="K274" s="609"/>
      <c r="S274" s="432"/>
    </row>
    <row r="275" spans="3:19" ht="13.2" customHeight="1">
      <c r="C275" s="1492"/>
      <c r="K275" s="609"/>
      <c r="S275" s="432"/>
    </row>
    <row r="276" spans="3:19" ht="13.2" customHeight="1">
      <c r="C276" s="1492"/>
      <c r="K276" s="609"/>
      <c r="S276" s="432"/>
    </row>
    <row r="277" spans="3:19" ht="13.2" customHeight="1">
      <c r="C277" s="1492"/>
      <c r="K277" s="609"/>
      <c r="S277" s="432"/>
    </row>
    <row r="278" spans="3:19" ht="13.2" customHeight="1">
      <c r="C278" s="1492"/>
      <c r="K278" s="609"/>
      <c r="S278" s="432"/>
    </row>
    <row r="279" spans="3:19" ht="13.2" customHeight="1">
      <c r="C279" s="1492"/>
      <c r="K279" s="609"/>
      <c r="S279" s="432"/>
    </row>
    <row r="280" spans="3:19" ht="13.2" customHeight="1">
      <c r="C280" s="1492"/>
      <c r="K280" s="609"/>
      <c r="S280" s="432"/>
    </row>
    <row r="281" spans="3:19" ht="13.2" customHeight="1">
      <c r="C281" s="1492"/>
      <c r="K281" s="609"/>
      <c r="S281" s="432"/>
    </row>
    <row r="282" spans="3:19" ht="13.2" customHeight="1">
      <c r="C282" s="1492"/>
      <c r="K282" s="609"/>
      <c r="S282" s="432"/>
    </row>
    <row r="283" spans="3:19" ht="13.2" customHeight="1">
      <c r="C283" s="1492"/>
      <c r="K283" s="609"/>
      <c r="S283" s="432"/>
    </row>
    <row r="284" spans="3:19" ht="13.2" customHeight="1">
      <c r="C284" s="1492"/>
      <c r="K284" s="609"/>
      <c r="S284" s="432"/>
    </row>
    <row r="285" spans="3:19" ht="13.2" customHeight="1">
      <c r="C285" s="1492"/>
      <c r="K285" s="609"/>
      <c r="S285" s="432"/>
    </row>
    <row r="286" spans="3:19" ht="13.2" customHeight="1">
      <c r="C286" s="1492"/>
      <c r="K286" s="609"/>
      <c r="S286" s="432"/>
    </row>
    <row r="287" spans="3:19" ht="13.2" customHeight="1">
      <c r="C287" s="1492"/>
      <c r="K287" s="609"/>
      <c r="S287" s="432"/>
    </row>
    <row r="288" spans="3:19" ht="13.2" customHeight="1">
      <c r="C288" s="1492"/>
      <c r="K288" s="609"/>
      <c r="S288" s="432"/>
    </row>
    <row r="289" spans="3:19" ht="13.2" customHeight="1">
      <c r="C289" s="1492"/>
      <c r="K289" s="609"/>
      <c r="S289" s="432"/>
    </row>
    <row r="290" spans="3:19" ht="13.2" customHeight="1">
      <c r="C290" s="1492"/>
      <c r="K290" s="609"/>
      <c r="S290" s="432"/>
    </row>
    <row r="291" spans="3:19" ht="13.2" customHeight="1">
      <c r="C291" s="1492"/>
      <c r="K291" s="609"/>
      <c r="S291" s="432"/>
    </row>
    <row r="292" spans="3:19" ht="13.2" customHeight="1">
      <c r="C292" s="1492"/>
      <c r="K292" s="609"/>
      <c r="S292" s="432"/>
    </row>
    <row r="293" spans="3:19" ht="13.2" customHeight="1">
      <c r="C293" s="1492"/>
      <c r="K293" s="609"/>
      <c r="S293" s="432"/>
    </row>
    <row r="294" spans="3:19" ht="13.2" customHeight="1">
      <c r="C294" s="1492"/>
      <c r="K294" s="609"/>
      <c r="S294" s="432"/>
    </row>
    <row r="295" spans="3:19" ht="13.2" customHeight="1">
      <c r="C295" s="1492"/>
      <c r="K295" s="609"/>
      <c r="S295" s="432"/>
    </row>
    <row r="296" spans="3:19" ht="13.2" customHeight="1">
      <c r="C296" s="1492"/>
      <c r="K296" s="609"/>
      <c r="S296" s="432"/>
    </row>
    <row r="297" spans="3:19" ht="13.2" customHeight="1">
      <c r="C297" s="1492"/>
      <c r="K297" s="609"/>
      <c r="S297" s="432"/>
    </row>
    <row r="298" spans="3:19" ht="13.2" customHeight="1">
      <c r="C298" s="1492"/>
      <c r="K298" s="609"/>
      <c r="S298" s="432"/>
    </row>
    <row r="299" spans="3:19" ht="13.2" customHeight="1">
      <c r="C299" s="1492"/>
      <c r="K299" s="609"/>
      <c r="S299" s="432"/>
    </row>
    <row r="300" spans="3:19" ht="13.2" customHeight="1">
      <c r="C300" s="1492"/>
      <c r="K300" s="609"/>
      <c r="S300" s="432"/>
    </row>
    <row r="301" spans="3:19" ht="13.2" customHeight="1">
      <c r="C301" s="1492"/>
      <c r="K301" s="609"/>
      <c r="S301" s="432"/>
    </row>
    <row r="302" spans="3:19" ht="13.2" customHeight="1">
      <c r="C302" s="1492"/>
      <c r="K302" s="609"/>
      <c r="S302" s="432"/>
    </row>
    <row r="303" spans="3:19" ht="13.2" customHeight="1">
      <c r="C303" s="1492"/>
      <c r="K303" s="609"/>
      <c r="S303" s="432"/>
    </row>
    <row r="304" spans="3:19" ht="13.2" customHeight="1">
      <c r="C304" s="1492"/>
      <c r="K304" s="609"/>
      <c r="S304" s="432"/>
    </row>
    <row r="305" spans="3:19" ht="13.2" customHeight="1">
      <c r="C305" s="1492"/>
      <c r="K305" s="609"/>
      <c r="S305" s="432"/>
    </row>
    <row r="306" spans="3:19" ht="13.2" customHeight="1">
      <c r="C306" s="1492"/>
      <c r="K306" s="609"/>
      <c r="S306" s="432"/>
    </row>
    <row r="307" spans="3:19" ht="13.2" customHeight="1">
      <c r="C307" s="1492"/>
      <c r="K307" s="609"/>
      <c r="S307" s="432"/>
    </row>
    <row r="308" spans="3:19" ht="13.2" customHeight="1">
      <c r="C308" s="1492"/>
      <c r="K308" s="609"/>
      <c r="S308" s="432"/>
    </row>
    <row r="309" spans="3:19" ht="13.2" customHeight="1">
      <c r="C309" s="1492"/>
      <c r="K309" s="609"/>
      <c r="S309" s="432"/>
    </row>
    <row r="310" spans="3:19" ht="13.2" customHeight="1">
      <c r="C310" s="1492"/>
      <c r="K310" s="609"/>
      <c r="S310" s="432"/>
    </row>
    <row r="311" spans="3:19" ht="13.2" customHeight="1">
      <c r="C311" s="1492"/>
      <c r="K311" s="609"/>
      <c r="S311" s="432"/>
    </row>
    <row r="312" spans="3:19" ht="13.2" customHeight="1">
      <c r="C312" s="1492"/>
      <c r="K312" s="609"/>
      <c r="S312" s="432"/>
    </row>
    <row r="313" spans="3:19" ht="13.2" customHeight="1">
      <c r="C313" s="1492"/>
      <c r="K313" s="609"/>
      <c r="S313" s="432"/>
    </row>
    <row r="314" spans="3:19" ht="13.2" customHeight="1">
      <c r="C314" s="1492"/>
      <c r="K314" s="609"/>
      <c r="S314" s="432"/>
    </row>
    <row r="315" spans="3:19" ht="13.2" customHeight="1">
      <c r="C315" s="1492"/>
      <c r="K315" s="609"/>
      <c r="S315" s="432"/>
    </row>
    <row r="316" spans="3:19" ht="13.2" customHeight="1">
      <c r="C316" s="1492"/>
      <c r="K316" s="609"/>
      <c r="S316" s="432"/>
    </row>
    <row r="317" spans="3:19" ht="13.2" customHeight="1">
      <c r="C317" s="1492"/>
      <c r="K317" s="609"/>
      <c r="S317" s="432"/>
    </row>
    <row r="318" spans="3:19" ht="13.2" customHeight="1">
      <c r="C318" s="1492"/>
      <c r="K318" s="609"/>
      <c r="S318" s="432"/>
    </row>
    <row r="319" spans="3:19" ht="13.2" customHeight="1">
      <c r="C319" s="1492"/>
      <c r="K319" s="609"/>
      <c r="S319" s="432"/>
    </row>
    <row r="320" spans="3:19" ht="13.2" customHeight="1">
      <c r="C320" s="1492"/>
      <c r="K320" s="609"/>
      <c r="S320" s="432"/>
    </row>
    <row r="321" spans="3:19" ht="13.2" customHeight="1">
      <c r="C321" s="1492"/>
      <c r="K321" s="609"/>
      <c r="S321" s="432"/>
    </row>
    <row r="322" spans="3:19" ht="13.2" customHeight="1">
      <c r="C322" s="1492"/>
      <c r="K322" s="609"/>
      <c r="S322" s="432"/>
    </row>
    <row r="323" spans="3:19" ht="13.2" customHeight="1">
      <c r="C323" s="1492"/>
      <c r="K323" s="609"/>
      <c r="S323" s="432"/>
    </row>
    <row r="324" spans="3:19" ht="13.2" customHeight="1">
      <c r="C324" s="1492"/>
      <c r="K324" s="609"/>
      <c r="S324" s="432"/>
    </row>
    <row r="325" spans="3:19" ht="13.2" customHeight="1">
      <c r="C325" s="1492"/>
      <c r="K325" s="609"/>
      <c r="S325" s="432"/>
    </row>
    <row r="326" spans="3:19" ht="13.2" customHeight="1">
      <c r="C326" s="1492"/>
      <c r="K326" s="609"/>
      <c r="S326" s="432"/>
    </row>
    <row r="327" spans="3:19" ht="13.2" customHeight="1">
      <c r="C327" s="1492"/>
      <c r="K327" s="609"/>
      <c r="S327" s="432"/>
    </row>
    <row r="328" spans="3:19" ht="13.2" customHeight="1">
      <c r="C328" s="1492"/>
      <c r="K328" s="609"/>
      <c r="S328" s="432"/>
    </row>
    <row r="329" spans="3:19" ht="13.2" customHeight="1">
      <c r="C329" s="1492"/>
      <c r="K329" s="609"/>
      <c r="S329" s="432"/>
    </row>
    <row r="330" spans="3:19" ht="13.2" customHeight="1">
      <c r="C330" s="1492"/>
      <c r="K330" s="609"/>
      <c r="S330" s="432"/>
    </row>
    <row r="331" spans="3:19" ht="13.2" customHeight="1">
      <c r="C331" s="1492"/>
      <c r="K331" s="609"/>
      <c r="S331" s="432"/>
    </row>
    <row r="332" spans="3:19" ht="13.2" customHeight="1">
      <c r="C332" s="1492"/>
      <c r="K332" s="609"/>
      <c r="S332" s="432"/>
    </row>
    <row r="333" spans="3:19" ht="13.2" customHeight="1">
      <c r="C333" s="1492"/>
      <c r="K333" s="609"/>
      <c r="S333" s="432"/>
    </row>
    <row r="334" spans="3:19" ht="13.2" customHeight="1">
      <c r="C334" s="1492"/>
      <c r="K334" s="609"/>
      <c r="S334" s="432"/>
    </row>
    <row r="335" spans="3:19" ht="13.2" customHeight="1">
      <c r="C335" s="1492"/>
      <c r="K335" s="609"/>
      <c r="S335" s="432"/>
    </row>
    <row r="336" spans="3:19" ht="13.2" customHeight="1">
      <c r="C336" s="1492"/>
      <c r="K336" s="609"/>
      <c r="S336" s="432"/>
    </row>
    <row r="337" spans="3:19" ht="13.2" customHeight="1">
      <c r="C337" s="1492"/>
      <c r="K337" s="609"/>
      <c r="S337" s="432"/>
    </row>
    <row r="338" spans="3:19" ht="13.2" customHeight="1">
      <c r="C338" s="1492"/>
      <c r="K338" s="609"/>
      <c r="S338" s="432"/>
    </row>
    <row r="339" spans="3:19" ht="13.2" customHeight="1">
      <c r="C339" s="1492"/>
      <c r="K339" s="609"/>
      <c r="S339" s="432"/>
    </row>
    <row r="340" spans="3:19" ht="13.2" customHeight="1">
      <c r="C340" s="1492"/>
      <c r="K340" s="609"/>
      <c r="S340" s="432"/>
    </row>
    <row r="341" spans="3:19" ht="13.2" customHeight="1">
      <c r="C341" s="1492"/>
      <c r="K341" s="609"/>
      <c r="S341" s="432"/>
    </row>
    <row r="342" spans="3:19" ht="13.2" customHeight="1">
      <c r="C342" s="1492"/>
      <c r="K342" s="609"/>
      <c r="S342" s="432"/>
    </row>
    <row r="343" spans="3:19" ht="13.2" customHeight="1">
      <c r="C343" s="1492"/>
      <c r="K343" s="609"/>
      <c r="S343" s="432"/>
    </row>
    <row r="344" spans="3:19" ht="13.2" customHeight="1">
      <c r="C344" s="1492"/>
      <c r="K344" s="609"/>
      <c r="S344" s="432"/>
    </row>
    <row r="345" spans="3:19" ht="13.2" customHeight="1">
      <c r="C345" s="1492"/>
      <c r="K345" s="609"/>
      <c r="S345" s="432"/>
    </row>
    <row r="346" spans="3:19" ht="13.2" customHeight="1">
      <c r="C346" s="1492" t="s">
        <v>233</v>
      </c>
      <c r="K346" s="609"/>
      <c r="S346" s="432"/>
    </row>
    <row r="347" spans="3:19" ht="13.2" customHeight="1">
      <c r="C347" s="1492"/>
      <c r="K347" s="609"/>
      <c r="S347" s="432"/>
    </row>
    <row r="348" spans="3:19" ht="13.2" customHeight="1">
      <c r="C348" s="1492"/>
      <c r="K348" s="609"/>
      <c r="S348" s="432"/>
    </row>
    <row r="349" spans="3:19" ht="13.2" customHeight="1">
      <c r="C349" s="1492"/>
      <c r="K349" s="609"/>
      <c r="S349" s="432"/>
    </row>
    <row r="350" spans="3:19" ht="13.2" customHeight="1">
      <c r="C350" s="1492"/>
      <c r="K350" s="609"/>
      <c r="S350" s="432"/>
    </row>
    <row r="351" spans="3:19" ht="13.2" customHeight="1">
      <c r="C351" s="1492"/>
      <c r="K351" s="609"/>
      <c r="S351" s="432"/>
    </row>
    <row r="352" spans="3:19" ht="13.2" customHeight="1">
      <c r="C352" s="1492"/>
      <c r="K352" s="609"/>
      <c r="S352" s="432"/>
    </row>
    <row r="353" spans="3:19" ht="13.2" customHeight="1">
      <c r="C353" s="1492"/>
      <c r="K353" s="609"/>
      <c r="S353" s="432"/>
    </row>
    <row r="354" spans="3:19" ht="13.2" customHeight="1">
      <c r="C354" s="1492"/>
      <c r="K354" s="609"/>
      <c r="S354" s="432"/>
    </row>
    <row r="355" spans="3:19" ht="13.2" customHeight="1">
      <c r="C355" s="1492"/>
      <c r="K355" s="609"/>
      <c r="S355" s="432"/>
    </row>
    <row r="356" spans="3:19" ht="13.2" customHeight="1">
      <c r="C356" s="1492"/>
      <c r="K356" s="609"/>
      <c r="S356" s="432"/>
    </row>
    <row r="357" spans="3:19" ht="13.2" customHeight="1">
      <c r="C357" s="1492"/>
      <c r="K357" s="609"/>
      <c r="S357" s="432"/>
    </row>
    <row r="358" spans="3:19" ht="13.2" customHeight="1">
      <c r="C358" s="1492"/>
      <c r="K358" s="609"/>
      <c r="S358" s="432"/>
    </row>
    <row r="359" spans="3:19" ht="13.2" customHeight="1">
      <c r="C359" s="1492"/>
      <c r="K359" s="609"/>
      <c r="S359" s="432"/>
    </row>
    <row r="360" spans="3:19" ht="13.2" customHeight="1">
      <c r="C360" s="1492"/>
      <c r="K360" s="609"/>
      <c r="S360" s="432"/>
    </row>
    <row r="361" spans="3:19" ht="13.2" customHeight="1">
      <c r="C361" s="1492"/>
      <c r="K361" s="609"/>
      <c r="S361" s="432"/>
    </row>
    <row r="362" spans="3:19" ht="13.2" customHeight="1">
      <c r="C362" s="1492"/>
      <c r="K362" s="609"/>
      <c r="S362" s="432"/>
    </row>
    <row r="363" spans="3:19" ht="13.2" customHeight="1">
      <c r="C363" s="1492"/>
      <c r="K363" s="609"/>
      <c r="S363" s="432"/>
    </row>
    <row r="364" spans="3:19" ht="13.2" customHeight="1">
      <c r="C364" s="1492"/>
      <c r="K364" s="609"/>
      <c r="S364" s="432"/>
    </row>
    <row r="365" spans="3:19" ht="13.2" customHeight="1">
      <c r="C365" s="1492"/>
      <c r="K365" s="609"/>
      <c r="S365" s="432"/>
    </row>
    <row r="366" spans="3:19" ht="13.2" customHeight="1">
      <c r="C366" s="1492"/>
      <c r="K366" s="609"/>
      <c r="S366" s="432"/>
    </row>
    <row r="367" spans="3:19" ht="13.2" customHeight="1">
      <c r="C367" s="1492"/>
      <c r="K367" s="609"/>
      <c r="S367" s="432"/>
    </row>
    <row r="368" spans="3:19" ht="13.2" customHeight="1">
      <c r="C368" s="1492"/>
      <c r="K368" s="609"/>
      <c r="S368" s="432"/>
    </row>
    <row r="369" spans="3:19" ht="13.2" customHeight="1">
      <c r="C369" s="1492"/>
      <c r="K369" s="609"/>
      <c r="S369" s="432"/>
    </row>
    <row r="370" spans="3:19" ht="13.2" customHeight="1">
      <c r="C370" s="1492"/>
      <c r="K370" s="609"/>
      <c r="S370" s="432"/>
    </row>
    <row r="371" spans="3:19" ht="13.2" customHeight="1">
      <c r="C371" s="1492"/>
      <c r="K371" s="609"/>
      <c r="S371" s="432"/>
    </row>
    <row r="372" spans="3:19" ht="13.2" customHeight="1">
      <c r="C372" s="1492"/>
      <c r="K372" s="609"/>
      <c r="S372" s="432"/>
    </row>
    <row r="373" spans="3:19" ht="13.2" customHeight="1">
      <c r="C373" s="1492"/>
      <c r="K373" s="609"/>
      <c r="S373" s="432"/>
    </row>
    <row r="374" spans="3:19" ht="13.2" customHeight="1">
      <c r="C374" s="1492"/>
      <c r="K374" s="609"/>
      <c r="S374" s="432"/>
    </row>
    <row r="375" spans="3:19" ht="13.2" customHeight="1">
      <c r="C375" s="1492"/>
      <c r="K375" s="609"/>
      <c r="S375" s="432"/>
    </row>
    <row r="376" spans="3:19" ht="13.2" customHeight="1">
      <c r="C376" s="1492"/>
      <c r="K376" s="609"/>
      <c r="S376" s="432"/>
    </row>
    <row r="377" spans="3:19" ht="13.2" customHeight="1">
      <c r="C377" s="1492"/>
      <c r="K377" s="609"/>
      <c r="S377" s="432"/>
    </row>
    <row r="378" spans="3:19" ht="13.2" customHeight="1">
      <c r="C378" s="1492"/>
      <c r="K378" s="609"/>
      <c r="S378" s="432"/>
    </row>
    <row r="379" spans="3:19" ht="13.2" customHeight="1">
      <c r="C379" s="1492"/>
      <c r="K379" s="609"/>
      <c r="S379" s="432"/>
    </row>
    <row r="380" spans="3:19" ht="13.2" customHeight="1">
      <c r="C380" s="1492"/>
      <c r="K380" s="609"/>
      <c r="S380" s="432"/>
    </row>
    <row r="381" spans="3:19" ht="13.2" customHeight="1">
      <c r="C381" s="1492"/>
      <c r="K381" s="609"/>
      <c r="S381" s="432"/>
    </row>
    <row r="382" spans="3:19" ht="13.2" customHeight="1">
      <c r="C382" s="1492"/>
      <c r="K382" s="609"/>
      <c r="S382" s="432"/>
    </row>
    <row r="383" spans="3:19" ht="13.2" customHeight="1">
      <c r="C383" s="1492"/>
      <c r="K383" s="609"/>
      <c r="S383" s="432"/>
    </row>
    <row r="384" spans="3:19" ht="13.2" customHeight="1">
      <c r="C384" s="1492"/>
      <c r="K384" s="609"/>
      <c r="S384" s="432"/>
    </row>
    <row r="385" spans="3:19" ht="13.2" customHeight="1">
      <c r="C385" s="1492"/>
      <c r="K385" s="609"/>
      <c r="S385" s="432"/>
    </row>
    <row r="386" spans="3:19" ht="13.2" customHeight="1">
      <c r="C386" s="1492"/>
      <c r="K386" s="609"/>
      <c r="S386" s="432"/>
    </row>
    <row r="387" spans="3:19" ht="13.2" customHeight="1">
      <c r="C387" s="1492"/>
      <c r="K387" s="609"/>
      <c r="S387" s="432"/>
    </row>
    <row r="388" spans="3:19" ht="13.2" customHeight="1">
      <c r="C388" s="1492"/>
      <c r="K388" s="609"/>
      <c r="S388" s="432"/>
    </row>
    <row r="389" spans="3:19" ht="13.2" customHeight="1">
      <c r="C389" s="1492"/>
      <c r="K389" s="609"/>
      <c r="S389" s="432"/>
    </row>
    <row r="390" spans="3:19" ht="13.2" customHeight="1">
      <c r="C390" s="1492"/>
      <c r="K390" s="609"/>
      <c r="S390" s="432"/>
    </row>
    <row r="391" spans="3:19" ht="13.2" customHeight="1">
      <c r="C391" s="1492"/>
      <c r="K391" s="609"/>
      <c r="S391" s="432"/>
    </row>
    <row r="392" spans="3:19" ht="13.2" customHeight="1">
      <c r="C392" s="1492"/>
      <c r="K392" s="609"/>
      <c r="S392" s="432"/>
    </row>
    <row r="393" spans="3:19" ht="13.2" customHeight="1">
      <c r="C393" s="1492"/>
      <c r="K393" s="609"/>
      <c r="S393" s="432"/>
    </row>
    <row r="394" spans="3:19" ht="13.2" customHeight="1">
      <c r="C394" s="1492"/>
      <c r="K394" s="609"/>
      <c r="S394" s="432"/>
    </row>
    <row r="395" spans="3:19" ht="13.2" customHeight="1">
      <c r="C395" s="1492"/>
      <c r="K395" s="609"/>
      <c r="S395" s="432"/>
    </row>
    <row r="396" spans="3:19" ht="13.2" customHeight="1">
      <c r="C396" s="1492"/>
      <c r="K396" s="609"/>
      <c r="S396" s="432"/>
    </row>
    <row r="397" spans="3:19" ht="13.2" customHeight="1">
      <c r="C397" s="1492"/>
      <c r="K397" s="609"/>
      <c r="S397" s="432"/>
    </row>
    <row r="398" spans="3:19" ht="13.2" customHeight="1">
      <c r="C398" s="1492"/>
      <c r="K398" s="609"/>
      <c r="S398" s="432"/>
    </row>
    <row r="399" spans="3:19" ht="13.2" customHeight="1">
      <c r="C399" s="1492"/>
      <c r="K399" s="609"/>
      <c r="S399" s="432"/>
    </row>
    <row r="400" spans="3:19" ht="13.2" customHeight="1">
      <c r="C400" s="1492"/>
      <c r="K400" s="609"/>
      <c r="S400" s="432"/>
    </row>
    <row r="401" spans="3:19" ht="13.2" customHeight="1">
      <c r="C401" s="1492"/>
      <c r="K401" s="609"/>
      <c r="S401" s="432"/>
    </row>
    <row r="402" spans="3:19" ht="13.2" customHeight="1">
      <c r="C402" s="1492"/>
      <c r="K402" s="609"/>
      <c r="S402" s="432"/>
    </row>
    <row r="403" spans="3:19" ht="13.2" customHeight="1">
      <c r="C403" s="1492"/>
      <c r="K403" s="609"/>
      <c r="S403" s="432"/>
    </row>
    <row r="404" spans="3:19" ht="13.2" customHeight="1">
      <c r="C404" s="1492"/>
      <c r="K404" s="609"/>
      <c r="S404" s="432"/>
    </row>
    <row r="405" spans="3:19" ht="13.2" customHeight="1">
      <c r="C405" s="1492"/>
      <c r="K405" s="609"/>
      <c r="S405" s="432"/>
    </row>
    <row r="406" spans="3:19" ht="13.2" customHeight="1">
      <c r="C406" s="1492"/>
      <c r="K406" s="609"/>
      <c r="S406" s="432"/>
    </row>
    <row r="407" spans="3:19" ht="13.2" customHeight="1">
      <c r="C407" s="1492"/>
      <c r="K407" s="609"/>
      <c r="S407" s="432"/>
    </row>
    <row r="408" spans="3:19" ht="13.2" customHeight="1">
      <c r="C408" s="1492"/>
      <c r="K408" s="609"/>
      <c r="S408" s="432"/>
    </row>
    <row r="409" spans="3:19" ht="13.2" customHeight="1">
      <c r="C409" s="1492"/>
      <c r="K409" s="609"/>
      <c r="S409" s="432"/>
    </row>
    <row r="410" spans="3:19" ht="13.2" customHeight="1">
      <c r="C410" s="1492"/>
      <c r="K410" s="609"/>
      <c r="S410" s="432"/>
    </row>
    <row r="411" spans="3:19" ht="13.2" customHeight="1">
      <c r="C411" s="1492"/>
      <c r="K411" s="609"/>
      <c r="S411" s="432"/>
    </row>
    <row r="412" spans="3:19" ht="13.2" customHeight="1">
      <c r="C412" s="1492"/>
      <c r="K412" s="609"/>
      <c r="S412" s="432"/>
    </row>
    <row r="413" spans="3:19" ht="13.2" customHeight="1">
      <c r="C413" s="1492"/>
      <c r="K413" s="609"/>
      <c r="S413" s="432"/>
    </row>
    <row r="414" spans="3:19" ht="13.2" customHeight="1">
      <c r="C414" s="1492"/>
      <c r="K414" s="609"/>
      <c r="S414" s="432"/>
    </row>
    <row r="415" spans="3:19" ht="13.2" customHeight="1">
      <c r="C415" s="1492"/>
      <c r="K415" s="609"/>
      <c r="S415" s="432"/>
    </row>
    <row r="416" spans="3:19" ht="13.2" customHeight="1">
      <c r="C416" s="1492"/>
      <c r="K416" s="609"/>
      <c r="S416" s="432"/>
    </row>
    <row r="417" spans="3:19" ht="13.2" customHeight="1">
      <c r="C417" s="1492"/>
      <c r="K417" s="609"/>
      <c r="S417" s="432"/>
    </row>
    <row r="418" spans="3:19" ht="13.2" customHeight="1">
      <c r="C418" s="1492"/>
      <c r="K418" s="609"/>
      <c r="S418" s="432"/>
    </row>
    <row r="419" spans="3:19" ht="13.2" customHeight="1">
      <c r="C419" s="1492"/>
      <c r="K419" s="609"/>
      <c r="S419" s="432"/>
    </row>
    <row r="420" spans="3:19" ht="13.2" customHeight="1">
      <c r="C420" s="1492"/>
      <c r="K420" s="609"/>
      <c r="S420" s="432"/>
    </row>
    <row r="421" spans="3:19" ht="13.2" customHeight="1">
      <c r="C421" s="1492"/>
      <c r="K421" s="609"/>
      <c r="S421" s="432"/>
    </row>
    <row r="422" spans="3:19" ht="13.2" customHeight="1">
      <c r="C422" s="1492"/>
      <c r="K422" s="609"/>
      <c r="S422" s="432"/>
    </row>
    <row r="423" spans="3:19" ht="13.2" customHeight="1">
      <c r="C423" s="1492"/>
      <c r="K423" s="609"/>
      <c r="S423" s="432"/>
    </row>
    <row r="424" spans="3:19" ht="13.2" customHeight="1">
      <c r="C424" s="1492"/>
      <c r="K424" s="609"/>
      <c r="S424" s="432"/>
    </row>
    <row r="425" spans="3:19" ht="13.2" customHeight="1">
      <c r="C425" s="1492" t="s">
        <v>233</v>
      </c>
      <c r="K425" s="609"/>
      <c r="S425" s="432"/>
    </row>
    <row r="426" spans="3:19" ht="13.2" customHeight="1">
      <c r="C426" s="1492"/>
      <c r="K426" s="609"/>
      <c r="S426" s="432"/>
    </row>
    <row r="427" spans="3:19" ht="13.2" customHeight="1">
      <c r="C427" s="1492"/>
      <c r="K427" s="609"/>
      <c r="S427" s="432"/>
    </row>
    <row r="428" spans="3:19" ht="13.2"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432" customWidth="1"/>
    <col min="2" max="2" width="12.44140625" style="432" customWidth="1"/>
    <col min="3" max="3" width="12.33203125" style="432" customWidth="1"/>
    <col min="4" max="4" width="9.6640625" style="432" customWidth="1"/>
    <col min="5" max="5" width="10.44140625" style="432" customWidth="1"/>
    <col min="6" max="6" width="9.33203125" style="432"/>
    <col min="7" max="7" width="11" style="432" customWidth="1"/>
    <col min="8" max="8" width="14.44140625" style="432" customWidth="1"/>
    <col min="9" max="9" width="10.33203125" style="432" customWidth="1"/>
    <col min="10" max="16384" width="9.33203125" style="432"/>
  </cols>
  <sheetData>
    <row r="1" spans="2:13" ht="15.6">
      <c r="B1" s="4768" t="s">
        <v>3480</v>
      </c>
      <c r="C1" s="4768"/>
      <c r="D1" s="4768"/>
      <c r="E1" s="4768"/>
      <c r="F1" s="4768"/>
      <c r="G1" s="4768"/>
      <c r="H1" s="4768"/>
      <c r="I1" s="4768"/>
    </row>
    <row r="2" spans="2:13" ht="13.8">
      <c r="B2" s="1040" t="s">
        <v>3468</v>
      </c>
      <c r="C2" s="616"/>
      <c r="D2" s="616"/>
      <c r="E2" s="616"/>
      <c r="F2" s="616"/>
      <c r="G2" s="616"/>
      <c r="H2" s="616"/>
      <c r="I2" s="616"/>
    </row>
    <row r="3" spans="2:13" ht="13.8">
      <c r="B3" s="1041" t="s">
        <v>3475</v>
      </c>
      <c r="C3" s="616"/>
      <c r="D3" s="616"/>
      <c r="E3" s="616"/>
      <c r="F3" s="616"/>
      <c r="G3" s="616"/>
      <c r="H3" s="616"/>
      <c r="I3" s="616"/>
    </row>
    <row r="4" spans="2:13">
      <c r="B4" s="4918" t="s">
        <v>2889</v>
      </c>
      <c r="C4" s="4918"/>
      <c r="D4" s="4918"/>
      <c r="E4" s="4924" t="s">
        <v>2890</v>
      </c>
      <c r="F4" s="4926"/>
      <c r="G4" s="4924" t="s">
        <v>574</v>
      </c>
      <c r="H4" s="4925"/>
      <c r="I4" s="4926"/>
      <c r="J4" s="1036" t="s">
        <v>2738</v>
      </c>
      <c r="K4" s="1036"/>
      <c r="L4" s="1036"/>
      <c r="M4" s="1036"/>
    </row>
    <row r="5" spans="2:13">
      <c r="B5" s="4919">
        <f>'Closing term sheet'!C8</f>
        <v>0</v>
      </c>
      <c r="C5" s="4920"/>
      <c r="D5" s="4920"/>
      <c r="E5" s="4930"/>
      <c r="F5" s="4931"/>
      <c r="G5" s="4927" t="str">
        <f>'Closing term sheet'!C28</f>
        <v>Brightwood Lane Apartments</v>
      </c>
      <c r="H5" s="4928"/>
      <c r="I5" s="4929"/>
    </row>
    <row r="6" spans="2:13" ht="4.5" customHeight="1">
      <c r="D6" s="1042"/>
      <c r="E6" s="1042"/>
      <c r="F6" s="1042"/>
      <c r="G6" s="1042"/>
      <c r="H6" s="1042"/>
      <c r="I6" s="1042"/>
    </row>
    <row r="7" spans="2:13">
      <c r="B7" s="4921" t="s">
        <v>2891</v>
      </c>
      <c r="C7" s="4921"/>
      <c r="H7" s="4922">
        <f>'Preview term'!E9</f>
        <v>0</v>
      </c>
      <c r="I7" s="4923"/>
    </row>
    <row r="8" spans="2:13" ht="4.5" customHeight="1"/>
    <row r="9" spans="2:13">
      <c r="B9" s="432" t="s">
        <v>2892</v>
      </c>
      <c r="E9" s="560" t="s">
        <v>3470</v>
      </c>
      <c r="I9" s="1043" t="str">
        <f>'Closing term sheet'!D12</f>
        <v>&lt;&lt;Select&gt;&gt;</v>
      </c>
    </row>
    <row r="10" spans="2:13" ht="7.5" customHeight="1"/>
    <row r="11" spans="2:13" ht="13.8">
      <c r="B11" s="605" t="s">
        <v>3467</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3471</v>
      </c>
      <c r="E16" s="523" t="s">
        <v>3057</v>
      </c>
      <c r="I16" s="1050"/>
    </row>
    <row r="17" spans="2:9" ht="7.5" customHeight="1">
      <c r="B17" s="1047"/>
      <c r="I17" s="1049"/>
    </row>
    <row r="18" spans="2:9">
      <c r="B18" s="1047" t="s">
        <v>2895</v>
      </c>
      <c r="I18" s="1052" t="s">
        <v>1646</v>
      </c>
    </row>
    <row r="19" spans="2:9">
      <c r="B19" s="1051" t="s">
        <v>3472</v>
      </c>
      <c r="I19" s="1053"/>
    </row>
    <row r="20" spans="2:9" ht="7.5" customHeight="1">
      <c r="B20" s="1047"/>
      <c r="I20" s="1053"/>
    </row>
    <row r="21" spans="2:9">
      <c r="B21" s="1047" t="s">
        <v>3469</v>
      </c>
      <c r="I21" s="1050"/>
    </row>
    <row r="22" spans="2:9">
      <c r="B22" s="1051" t="s">
        <v>3473</v>
      </c>
      <c r="I22" s="1053"/>
    </row>
    <row r="23" spans="2:9" ht="3" customHeight="1">
      <c r="B23" s="1054"/>
      <c r="C23" s="1055"/>
      <c r="D23" s="1055"/>
      <c r="E23" s="1055"/>
      <c r="F23" s="1055"/>
      <c r="G23" s="1055"/>
      <c r="H23" s="1055"/>
      <c r="I23" s="1056"/>
    </row>
    <row r="24" spans="2:9" ht="7.5" customHeight="1"/>
    <row r="25" spans="2:9" ht="15" customHeight="1">
      <c r="B25" s="605" t="s">
        <v>3474</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3476</v>
      </c>
    </row>
    <row r="34" spans="2:9" ht="3" customHeight="1">
      <c r="B34" s="1044"/>
      <c r="C34" s="1045"/>
      <c r="D34" s="1045"/>
      <c r="E34" s="1045"/>
      <c r="F34" s="1045"/>
      <c r="G34" s="1045"/>
      <c r="H34" s="1045"/>
      <c r="I34" s="1057"/>
    </row>
    <row r="35" spans="2:9">
      <c r="B35" s="1047" t="s">
        <v>3479</v>
      </c>
      <c r="F35" s="736"/>
      <c r="H35" s="4860" t="s">
        <v>3488</v>
      </c>
      <c r="I35" s="4905"/>
    </row>
    <row r="36" spans="2:9">
      <c r="B36" s="1059" t="s">
        <v>3487</v>
      </c>
      <c r="C36" s="523"/>
      <c r="D36" s="523"/>
      <c r="F36" s="1258"/>
      <c r="G36" s="617"/>
      <c r="H36" s="4860"/>
      <c r="I36" s="4905"/>
    </row>
    <row r="37" spans="2:9">
      <c r="B37" s="1059" t="s">
        <v>3485</v>
      </c>
      <c r="D37" s="523"/>
      <c r="F37" s="1259"/>
      <c r="G37" s="617"/>
      <c r="H37" s="4860"/>
      <c r="I37" s="4905"/>
    </row>
    <row r="38" spans="2:9">
      <c r="B38" s="1059" t="s">
        <v>3486</v>
      </c>
      <c r="F38" s="1259"/>
      <c r="G38" s="617"/>
      <c r="H38" s="617"/>
      <c r="I38" s="1060"/>
    </row>
    <row r="39" spans="2:9" ht="12.75" customHeight="1">
      <c r="B39" s="1059" t="s">
        <v>3484</v>
      </c>
      <c r="F39" s="1259"/>
      <c r="G39" s="617"/>
      <c r="H39" s="617"/>
      <c r="I39" s="1060"/>
    </row>
    <row r="40" spans="2:9">
      <c r="B40" s="1061" t="s">
        <v>3483</v>
      </c>
      <c r="E40" s="614"/>
      <c r="F40" s="1259"/>
      <c r="G40" s="614"/>
      <c r="H40" s="1257"/>
      <c r="I40" s="1049"/>
    </row>
    <row r="41" spans="2:9">
      <c r="B41" s="1061" t="s">
        <v>3482</v>
      </c>
      <c r="F41" s="1259"/>
      <c r="I41" s="1049"/>
    </row>
    <row r="42" spans="2:9">
      <c r="B42" s="1061" t="s">
        <v>3481</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3478</v>
      </c>
    </row>
    <row r="46" spans="2:9" ht="3" customHeight="1">
      <c r="B46" s="1044"/>
      <c r="C46" s="1045"/>
      <c r="D46" s="1045"/>
      <c r="E46" s="1045"/>
      <c r="F46" s="1045"/>
      <c r="G46" s="1045"/>
      <c r="H46" s="1045"/>
      <c r="I46" s="1057"/>
    </row>
    <row r="47" spans="2:9">
      <c r="B47" s="1047" t="s">
        <v>3477</v>
      </c>
      <c r="D47" s="1063"/>
      <c r="E47" s="1064" t="e">
        <f>'Sensitivity Analysis Reversed'!H7</f>
        <v>#REF!</v>
      </c>
      <c r="F47" s="439" t="s">
        <v>3489</v>
      </c>
      <c r="I47" s="1049"/>
    </row>
    <row r="48" spans="2:9">
      <c r="B48" s="1051" t="s">
        <v>2904</v>
      </c>
      <c r="C48" s="523"/>
      <c r="D48" s="523" t="s">
        <v>2905</v>
      </c>
      <c r="F48" s="4912">
        <f>'Closing term sheet'!$C$30</f>
        <v>0</v>
      </c>
      <c r="G48" s="4913"/>
      <c r="H48" s="4913"/>
      <c r="I48" s="4914"/>
    </row>
    <row r="49" spans="2:9">
      <c r="B49" s="1051" t="s">
        <v>2906</v>
      </c>
      <c r="D49" s="523" t="s">
        <v>2907</v>
      </c>
      <c r="F49" s="4915"/>
      <c r="G49" s="4916"/>
      <c r="H49" s="4916"/>
      <c r="I49" s="4917"/>
    </row>
    <row r="50" spans="2:9">
      <c r="B50" s="1051" t="s">
        <v>2908</v>
      </c>
      <c r="F50" s="1042"/>
      <c r="G50" s="1042"/>
      <c r="H50" s="1042"/>
      <c r="I50" s="1065"/>
    </row>
    <row r="51" spans="2:9" ht="7.5" customHeight="1">
      <c r="B51" s="1047"/>
      <c r="I51" s="1049"/>
    </row>
    <row r="52" spans="2:9">
      <c r="B52" s="1066" t="s">
        <v>3490</v>
      </c>
      <c r="C52" s="4934" t="str">
        <f>'Part I-Project Identification'!F26</f>
        <v>Washington</v>
      </c>
      <c r="D52" s="4935"/>
      <c r="E52" s="610" t="s">
        <v>3491</v>
      </c>
      <c r="F52" s="1043" t="s">
        <v>791</v>
      </c>
      <c r="G52" s="610" t="s">
        <v>3492</v>
      </c>
      <c r="H52" s="1067" t="e">
        <f>'Part I-Project Identification'!#REF!</f>
        <v>#REF!</v>
      </c>
      <c r="I52" s="1049"/>
    </row>
    <row r="53" spans="2:9">
      <c r="B53" s="1066" t="s">
        <v>3654</v>
      </c>
      <c r="D53" s="1068" t="e">
        <f>VLOOKUP("='Part I-Project Information'!$J$39",'DCA Underwriting Assumptions'!$G$141:$O$300,9)</f>
        <v>#N/A</v>
      </c>
      <c r="I53" s="1049"/>
    </row>
    <row r="54" spans="2:9">
      <c r="B54" s="1066" t="s">
        <v>3655</v>
      </c>
      <c r="I54" s="1049"/>
    </row>
    <row r="55" spans="2:9">
      <c r="B55" s="1061" t="s">
        <v>3656</v>
      </c>
      <c r="D55" s="1058" t="e">
        <f>'Closing term sheet'!$D$33</f>
        <v>#VALUE!</v>
      </c>
      <c r="E55" s="1062"/>
      <c r="F55" s="560" t="s">
        <v>2909</v>
      </c>
      <c r="I55" s="1049"/>
    </row>
    <row r="56" spans="2:9">
      <c r="B56" s="1061" t="s">
        <v>3658</v>
      </c>
      <c r="D56" s="1069">
        <f>'Closing term sheet'!$D$63</f>
        <v>769000</v>
      </c>
      <c r="E56" s="1070"/>
      <c r="F56" s="560" t="s">
        <v>2910</v>
      </c>
      <c r="I56" s="1049"/>
    </row>
    <row r="57" spans="2:9">
      <c r="B57" s="1059" t="s">
        <v>3657</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38" t="s">
        <v>2912</v>
      </c>
      <c r="C61" s="4812"/>
      <c r="D61" s="4812"/>
      <c r="E61" s="4812"/>
      <c r="F61" s="4812"/>
      <c r="G61" s="4812"/>
      <c r="H61" s="4812"/>
      <c r="I61" s="4939"/>
    </row>
    <row r="62" spans="2:9" ht="7.5" customHeight="1">
      <c r="B62" s="4936"/>
      <c r="C62" s="4811"/>
      <c r="D62" s="4811"/>
      <c r="G62" s="1072"/>
      <c r="I62" s="1049"/>
    </row>
    <row r="63" spans="2:9">
      <c r="B63" s="1066" t="s">
        <v>2914</v>
      </c>
      <c r="D63" s="1058">
        <v>4</v>
      </c>
      <c r="G63" s="4921" t="s">
        <v>2913</v>
      </c>
      <c r="H63" s="4921"/>
      <c r="I63" s="4937"/>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38" t="s">
        <v>2925</v>
      </c>
      <c r="C81" s="4812"/>
      <c r="D81" s="4812"/>
      <c r="E81" s="4812"/>
      <c r="F81" s="4812"/>
      <c r="G81" s="4812"/>
      <c r="H81" s="4812"/>
      <c r="I81" s="4939"/>
    </row>
    <row r="82" spans="2:9">
      <c r="B82" s="1047"/>
      <c r="I82" s="1049"/>
    </row>
    <row r="83" spans="2:9">
      <c r="B83" s="1047" t="s">
        <v>2926</v>
      </c>
      <c r="I83" s="1049"/>
    </row>
    <row r="84" spans="2:9">
      <c r="B84" s="1047"/>
      <c r="C84" s="432" t="s">
        <v>2927</v>
      </c>
      <c r="F84" s="4909">
        <f>'Closing term sheet'!D63</f>
        <v>769000</v>
      </c>
      <c r="G84" s="4909"/>
      <c r="I84" s="1049"/>
    </row>
    <row r="85" spans="2:9">
      <c r="B85" s="1047"/>
      <c r="C85" s="432" t="s">
        <v>2928</v>
      </c>
      <c r="F85" s="4933">
        <f>'Part II-Sources of Funds'!I47+'Part II-Sources of Funds'!L47</f>
        <v>35421.189408628998</v>
      </c>
      <c r="G85" s="4933"/>
      <c r="I85" s="1049"/>
    </row>
    <row r="86" spans="2:9">
      <c r="B86" s="1047"/>
      <c r="C86" s="432" t="s">
        <v>2929</v>
      </c>
      <c r="F86" s="4932"/>
      <c r="G86" s="4932"/>
      <c r="I86" s="1049"/>
    </row>
    <row r="87" spans="2:9">
      <c r="B87" s="1047"/>
      <c r="C87" s="523" t="s">
        <v>2930</v>
      </c>
      <c r="F87" s="4933">
        <v>11000</v>
      </c>
      <c r="G87" s="4933"/>
      <c r="I87" s="1049"/>
    </row>
    <row r="88" spans="2:9">
      <c r="B88" s="1047"/>
      <c r="C88" s="432" t="s">
        <v>2931</v>
      </c>
      <c r="F88" s="4911"/>
      <c r="G88" s="4911"/>
      <c r="I88" s="1049"/>
    </row>
    <row r="89" spans="2:9">
      <c r="B89" s="1047"/>
      <c r="C89" s="560" t="s">
        <v>2932</v>
      </c>
      <c r="F89" s="4907">
        <f>SUM(F84:G88)</f>
        <v>815421.18940862897</v>
      </c>
      <c r="G89" s="4907"/>
      <c r="I89" s="1049"/>
    </row>
    <row r="90" spans="2:9">
      <c r="B90" s="1047"/>
      <c r="F90" s="4908"/>
      <c r="G90" s="4908"/>
      <c r="I90" s="1049"/>
    </row>
    <row r="91" spans="2:9">
      <c r="B91" s="1047" t="s">
        <v>2933</v>
      </c>
      <c r="I91" s="1049"/>
    </row>
    <row r="92" spans="2:9">
      <c r="B92" s="1047"/>
      <c r="C92" s="432" t="s">
        <v>2934</v>
      </c>
      <c r="F92" s="4909"/>
      <c r="G92" s="4909"/>
      <c r="I92" s="1049"/>
    </row>
    <row r="93" spans="2:9">
      <c r="B93" s="1047"/>
      <c r="C93" s="432" t="s">
        <v>2935</v>
      </c>
      <c r="F93" s="4910"/>
      <c r="G93" s="4910"/>
      <c r="I93" s="1049"/>
    </row>
    <row r="94" spans="2:9">
      <c r="B94" s="1047"/>
      <c r="C94" s="432" t="s">
        <v>2936</v>
      </c>
      <c r="F94" s="4906" t="s">
        <v>2813</v>
      </c>
      <c r="G94" s="4906"/>
      <c r="I94" s="1049"/>
    </row>
    <row r="95" spans="2:9">
      <c r="B95" s="1047"/>
      <c r="C95" s="560" t="s">
        <v>2937</v>
      </c>
      <c r="F95" s="4907">
        <f>+SUM(F92:G94)</f>
        <v>0</v>
      </c>
      <c r="G95" s="4907"/>
      <c r="I95" s="1049"/>
    </row>
    <row r="96" spans="2:9">
      <c r="B96" s="1047"/>
      <c r="I96" s="1049"/>
    </row>
    <row r="97" spans="2:9">
      <c r="B97" s="1047" t="s">
        <v>2938</v>
      </c>
      <c r="I97" s="1049"/>
    </row>
    <row r="98" spans="2:9">
      <c r="B98" s="1047"/>
      <c r="C98" s="432" t="s">
        <v>2939</v>
      </c>
      <c r="F98" s="4909"/>
      <c r="G98" s="4909"/>
      <c r="I98" s="1049"/>
    </row>
    <row r="99" spans="2:9">
      <c r="B99" s="1047"/>
      <c r="C99" s="432" t="s">
        <v>2940</v>
      </c>
      <c r="F99" s="4910"/>
      <c r="G99" s="4910"/>
      <c r="I99" s="1049"/>
    </row>
    <row r="100" spans="2:9">
      <c r="B100" s="1047"/>
      <c r="C100" s="432" t="s">
        <v>2941</v>
      </c>
      <c r="F100" s="4911"/>
      <c r="G100" s="4911"/>
      <c r="I100" s="1049"/>
    </row>
    <row r="101" spans="2:9">
      <c r="B101" s="1047"/>
      <c r="C101" s="560" t="s">
        <v>2942</v>
      </c>
      <c r="F101" s="4907">
        <f>+SUM(F98:G100)</f>
        <v>0</v>
      </c>
      <c r="G101" s="4907"/>
      <c r="I101" s="1049"/>
    </row>
    <row r="102" spans="2:9">
      <c r="B102" s="1047"/>
      <c r="I102" s="1049"/>
    </row>
    <row r="103" spans="2:9">
      <c r="B103" s="1066" t="s">
        <v>2943</v>
      </c>
      <c r="F103" s="4906">
        <f>'Part II-Sources of Funds'!I48+'Part II-Sources of Funds'!I49</f>
        <v>0</v>
      </c>
      <c r="G103" s="4906"/>
      <c r="I103" s="1049"/>
    </row>
    <row r="104" spans="2:9">
      <c r="B104" s="1047"/>
      <c r="I104" s="1076" t="s">
        <v>2944</v>
      </c>
    </row>
    <row r="105" spans="2:9">
      <c r="B105" s="1047" t="s">
        <v>2945</v>
      </c>
      <c r="F105" s="4906">
        <f>+F103+F101+F95+F89</f>
        <v>815421.18940862897</v>
      </c>
      <c r="G105" s="4906"/>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92" t="s">
        <v>674</v>
      </c>
      <c r="B2" s="4993"/>
      <c r="C2" s="4993"/>
      <c r="D2" s="4993"/>
      <c r="E2" s="4993"/>
      <c r="F2" s="4993"/>
      <c r="G2" s="4993"/>
      <c r="H2" s="4993"/>
      <c r="I2" s="4993"/>
      <c r="J2" s="4993"/>
      <c r="K2" s="4993"/>
      <c r="L2" s="4993"/>
      <c r="M2" s="4993"/>
      <c r="N2" s="4993"/>
      <c r="O2" s="4993"/>
      <c r="P2" s="4993"/>
      <c r="Q2" s="4993"/>
      <c r="R2" s="4994"/>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7" customHeight="1">
      <c r="A6" s="229" t="s">
        <v>1609</v>
      </c>
      <c r="B6" s="147"/>
      <c r="C6" s="147"/>
      <c r="D6" s="144"/>
      <c r="E6" s="144"/>
      <c r="F6" s="147" t="s">
        <v>478</v>
      </c>
      <c r="G6" s="147"/>
      <c r="H6" s="144"/>
      <c r="I6" s="144"/>
      <c r="J6" s="147" t="s">
        <v>6247</v>
      </c>
      <c r="K6" s="147"/>
      <c r="L6" s="147" t="s">
        <v>6150</v>
      </c>
      <c r="M6" s="147"/>
      <c r="N6" s="147"/>
      <c r="O6" s="147"/>
      <c r="P6" s="144"/>
      <c r="Q6" s="837" t="s">
        <v>1610</v>
      </c>
      <c r="R6" s="837">
        <v>1225000</v>
      </c>
      <c r="S6" s="144"/>
      <c r="U6" s="144"/>
      <c r="V6" s="715"/>
      <c r="W6" s="715"/>
      <c r="X6" s="148"/>
      <c r="AA6" s="68"/>
      <c r="AB6" s="68"/>
    </row>
    <row r="7" spans="1:28" s="145" customFormat="1" ht="11.7" customHeight="1">
      <c r="A7" s="229"/>
      <c r="B7" s="147"/>
      <c r="C7" s="147"/>
      <c r="D7" s="144"/>
      <c r="E7" s="144"/>
      <c r="F7" s="147"/>
      <c r="G7" s="147"/>
      <c r="H7" s="144"/>
      <c r="I7" s="144"/>
      <c r="J7" s="147"/>
      <c r="K7" s="147"/>
      <c r="L7" s="147" t="s">
        <v>6840</v>
      </c>
      <c r="M7" s="147"/>
      <c r="N7" s="147"/>
      <c r="O7" s="147"/>
      <c r="P7" s="144"/>
      <c r="Q7" s="837" t="s">
        <v>1610</v>
      </c>
      <c r="R7" s="505">
        <v>1105000</v>
      </c>
      <c r="S7" s="144"/>
      <c r="U7" s="144"/>
      <c r="V7" s="715"/>
      <c r="W7" s="715"/>
      <c r="X7" s="148"/>
      <c r="AA7" s="68"/>
      <c r="AB7" s="68"/>
    </row>
    <row r="8" spans="1:28" s="145" customFormat="1" ht="11.7"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7"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7"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95" t="s">
        <v>6618</v>
      </c>
      <c r="R11" s="4995"/>
      <c r="S11" s="241"/>
      <c r="T11" s="144"/>
      <c r="U11" s="144"/>
      <c r="V11" s="322"/>
      <c r="W11" s="322"/>
      <c r="X11" s="322"/>
      <c r="AA11" s="68"/>
      <c r="AB11" s="68"/>
    </row>
    <row r="12" spans="1:28" s="145" customFormat="1" ht="11.25" hidden="1" customHeight="1">
      <c r="A12" s="147"/>
      <c r="B12" s="147"/>
      <c r="C12" s="147"/>
      <c r="D12" s="144"/>
      <c r="E12" s="144"/>
      <c r="F12" s="147" t="s">
        <v>3917</v>
      </c>
      <c r="G12" s="147"/>
      <c r="H12" s="144"/>
      <c r="I12" s="144"/>
      <c r="J12" s="442" t="s">
        <v>3141</v>
      </c>
      <c r="K12" s="234"/>
      <c r="M12" s="234"/>
      <c r="N12" s="234"/>
      <c r="O12" s="147"/>
      <c r="Q12" s="5003">
        <v>0.1</v>
      </c>
      <c r="R12" s="5004"/>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5002" t="s">
        <v>3908</v>
      </c>
      <c r="R13" s="5002"/>
      <c r="S13" s="144"/>
      <c r="T13" s="144"/>
      <c r="U13" s="144"/>
      <c r="AA13" s="68"/>
      <c r="AB13" s="68"/>
    </row>
    <row r="14" spans="1:28" s="145" customFormat="1" ht="12.75" hidden="1" customHeight="1">
      <c r="A14" s="147"/>
      <c r="B14" s="147"/>
      <c r="C14" s="147"/>
      <c r="K14" s="236" t="s">
        <v>3909</v>
      </c>
      <c r="L14" s="236"/>
      <c r="N14" s="234"/>
      <c r="O14" s="147"/>
      <c r="P14" s="144"/>
      <c r="Q14" s="5000">
        <v>0.2</v>
      </c>
      <c r="R14" s="5001"/>
      <c r="S14" s="144"/>
      <c r="T14" s="144"/>
      <c r="U14" s="144"/>
      <c r="AA14" s="68"/>
      <c r="AB14" s="68"/>
    </row>
    <row r="15" spans="1:28" s="145" customFormat="1" ht="12.75" hidden="1" customHeight="1">
      <c r="A15" s="147"/>
      <c r="B15" s="147"/>
      <c r="C15" s="147"/>
      <c r="K15" s="236" t="s">
        <v>3910</v>
      </c>
      <c r="L15" s="236"/>
      <c r="N15" s="234"/>
      <c r="O15" s="147"/>
      <c r="P15" s="144"/>
      <c r="Q15" s="4998">
        <v>0.15</v>
      </c>
      <c r="R15" s="4999"/>
      <c r="S15" s="144"/>
      <c r="T15" s="144"/>
      <c r="U15" s="144"/>
      <c r="AA15" s="68"/>
      <c r="AB15" s="68"/>
    </row>
    <row r="16" spans="1:28" s="145" customFormat="1" ht="12.75" hidden="1" customHeight="1">
      <c r="A16" s="147"/>
      <c r="B16" s="147"/>
      <c r="C16" s="147"/>
      <c r="K16" s="236" t="s">
        <v>3911</v>
      </c>
      <c r="L16" s="236"/>
      <c r="N16" s="234"/>
      <c r="O16" s="147"/>
      <c r="P16" s="144"/>
      <c r="Q16" s="4998">
        <v>0.15</v>
      </c>
      <c r="R16" s="4999"/>
      <c r="S16" s="144"/>
      <c r="T16" s="144"/>
      <c r="U16" s="144"/>
      <c r="AA16" s="68"/>
      <c r="AB16" s="68"/>
    </row>
    <row r="17" spans="1:28" s="145" customFormat="1" ht="12.75" hidden="1" customHeight="1">
      <c r="A17" s="147"/>
      <c r="B17" s="147"/>
      <c r="C17" s="147"/>
      <c r="K17" s="236" t="s">
        <v>3912</v>
      </c>
      <c r="L17" s="236"/>
      <c r="N17" s="234"/>
      <c r="O17" s="147"/>
      <c r="P17" s="144"/>
      <c r="Q17" s="4998">
        <v>0.1</v>
      </c>
      <c r="R17" s="4999"/>
      <c r="S17" s="144"/>
      <c r="T17" s="144"/>
      <c r="U17" s="144"/>
      <c r="AA17" s="68"/>
      <c r="AB17" s="68"/>
    </row>
    <row r="18" spans="1:28" s="145" customFormat="1" ht="12.75" hidden="1" customHeight="1">
      <c r="A18" s="147"/>
      <c r="B18" s="147"/>
      <c r="C18" s="147"/>
      <c r="K18" s="236" t="s">
        <v>3913</v>
      </c>
      <c r="L18" s="236"/>
      <c r="N18" s="234"/>
      <c r="O18" s="147"/>
      <c r="P18" s="144"/>
      <c r="Q18" s="4996">
        <v>0.1</v>
      </c>
      <c r="R18" s="4997"/>
      <c r="S18" s="144"/>
      <c r="T18" s="144"/>
      <c r="U18" s="144"/>
      <c r="AA18" s="68"/>
      <c r="AB18" s="68"/>
    </row>
    <row r="19" spans="1:28" s="145" customFormat="1" ht="11.7" customHeight="1">
      <c r="A19" s="147"/>
      <c r="B19" s="147"/>
      <c r="C19" s="147"/>
      <c r="D19" s="144"/>
      <c r="E19" s="144"/>
      <c r="O19" s="147"/>
      <c r="T19" s="230"/>
      <c r="U19" s="144"/>
      <c r="V19" s="322"/>
      <c r="W19" s="322"/>
      <c r="X19" s="322"/>
      <c r="AA19" s="68"/>
      <c r="AB19" s="68"/>
    </row>
    <row r="20" spans="1:28" s="145" customFormat="1" ht="11.7"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7" customHeight="1">
      <c r="A23" s="144"/>
      <c r="B23" s="147" t="s">
        <v>1121</v>
      </c>
      <c r="C23" s="147"/>
      <c r="D23" s="144"/>
      <c r="E23" s="144"/>
      <c r="F23" s="147" t="s">
        <v>1122</v>
      </c>
      <c r="G23" s="147" t="s">
        <v>3181</v>
      </c>
      <c r="H23" s="144"/>
      <c r="I23" s="144"/>
      <c r="J23" s="147" t="s">
        <v>1432</v>
      </c>
      <c r="K23" s="147"/>
      <c r="L23" s="147"/>
      <c r="M23" s="147"/>
      <c r="N23" s="147"/>
      <c r="O23" s="147"/>
      <c r="P23" s="144"/>
      <c r="Q23" s="2005">
        <v>5000</v>
      </c>
      <c r="R23" s="235" t="s">
        <v>1610</v>
      </c>
      <c r="S23" s="236"/>
      <c r="AA23" s="68"/>
      <c r="AB23" s="68"/>
    </row>
    <row r="24" spans="1:28" s="145" customFormat="1" ht="11.7" customHeight="1">
      <c r="A24" s="144"/>
      <c r="B24" s="147"/>
      <c r="C24" s="147"/>
      <c r="D24" s="144"/>
      <c r="E24" s="144"/>
      <c r="F24" s="147"/>
      <c r="G24" s="147" t="s">
        <v>3180</v>
      </c>
      <c r="H24" s="144"/>
      <c r="I24" s="144"/>
      <c r="J24" s="147" t="s">
        <v>1432</v>
      </c>
      <c r="K24" s="147"/>
      <c r="L24" s="147"/>
      <c r="M24" s="147"/>
      <c r="N24" s="147"/>
      <c r="O24" s="147"/>
      <c r="P24" s="144"/>
      <c r="Q24" s="2005">
        <v>4500</v>
      </c>
      <c r="R24" s="235" t="s">
        <v>1610</v>
      </c>
      <c r="S24" s="236"/>
      <c r="AA24" s="68"/>
      <c r="AB24" s="68"/>
    </row>
    <row r="25" spans="1:28" s="145" customFormat="1" ht="11.7"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7"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7" customHeight="1">
      <c r="A27" s="147"/>
      <c r="B27" s="147"/>
      <c r="C27" s="147"/>
      <c r="D27" s="144"/>
      <c r="E27" s="144"/>
      <c r="G27" s="147" t="s">
        <v>3315</v>
      </c>
      <c r="H27" s="144"/>
      <c r="I27" s="144"/>
      <c r="J27" s="147" t="s">
        <v>1432</v>
      </c>
      <c r="K27" s="147"/>
      <c r="L27" s="147"/>
      <c r="M27" s="147"/>
      <c r="N27" s="147"/>
      <c r="O27" s="147"/>
      <c r="P27" s="144"/>
      <c r="Q27" s="2005" t="s">
        <v>2852</v>
      </c>
      <c r="R27" s="235" t="s">
        <v>1610</v>
      </c>
      <c r="S27" s="236"/>
      <c r="T27" s="236"/>
      <c r="U27" s="236"/>
      <c r="AA27" s="68"/>
      <c r="AB27" s="68"/>
    </row>
    <row r="28" spans="1:28" s="145" customFormat="1" ht="11.7"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7"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7"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7"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7" customHeight="1">
      <c r="A34" s="147"/>
      <c r="B34" s="147" t="s">
        <v>709</v>
      </c>
      <c r="C34" s="147"/>
      <c r="D34" s="144"/>
      <c r="E34" s="144"/>
      <c r="F34" s="147" t="s">
        <v>264</v>
      </c>
      <c r="G34" s="147"/>
      <c r="H34" s="144"/>
      <c r="I34" s="144"/>
      <c r="J34" s="147" t="s">
        <v>3289</v>
      </c>
      <c r="K34" s="147"/>
      <c r="L34" s="147"/>
      <c r="M34" s="147"/>
      <c r="N34" s="147"/>
      <c r="O34" s="147"/>
      <c r="P34" s="144"/>
      <c r="Q34" s="2007">
        <v>35000</v>
      </c>
      <c r="R34" s="235" t="s">
        <v>477</v>
      </c>
      <c r="S34" s="236"/>
      <c r="T34" s="236"/>
      <c r="U34" s="236"/>
      <c r="AA34" s="68"/>
      <c r="AB34" s="68"/>
    </row>
    <row r="35" spans="1:28" s="145" customFormat="1" ht="11.7" customHeight="1">
      <c r="A35" s="147"/>
      <c r="B35" s="147"/>
      <c r="C35" s="147"/>
      <c r="D35" s="144"/>
      <c r="E35" s="144"/>
      <c r="F35" s="147" t="s">
        <v>6103</v>
      </c>
      <c r="G35" s="147"/>
      <c r="H35" s="144"/>
      <c r="I35" s="144"/>
      <c r="J35" s="147" t="s">
        <v>6104</v>
      </c>
      <c r="K35" s="147"/>
      <c r="L35" s="147"/>
      <c r="M35" s="147"/>
      <c r="N35" s="147"/>
      <c r="O35" s="147"/>
      <c r="P35" s="144"/>
      <c r="Q35" s="836" t="s">
        <v>906</v>
      </c>
      <c r="R35" s="2007">
        <v>1250000</v>
      </c>
      <c r="S35" s="236"/>
      <c r="T35" s="236"/>
      <c r="U35" s="236"/>
      <c r="AA35" s="68"/>
      <c r="AB35" s="68"/>
    </row>
    <row r="36" spans="1:28" s="145" customFormat="1" ht="11.7" customHeight="1">
      <c r="A36" s="147"/>
      <c r="B36" s="147" t="s">
        <v>1821</v>
      </c>
      <c r="C36" s="147"/>
      <c r="D36" s="144"/>
      <c r="E36" s="144"/>
      <c r="F36" s="147" t="s">
        <v>1124</v>
      </c>
      <c r="G36" s="147"/>
      <c r="H36" s="144"/>
      <c r="I36" s="144"/>
      <c r="J36" s="147" t="s">
        <v>3316</v>
      </c>
      <c r="K36" s="147"/>
      <c r="L36" s="147"/>
      <c r="M36" s="147"/>
      <c r="N36" s="147"/>
      <c r="O36" s="147"/>
      <c r="P36" s="144"/>
      <c r="Q36" s="836" t="s">
        <v>906</v>
      </c>
      <c r="R36" s="2006">
        <v>0.05</v>
      </c>
      <c r="S36" s="236"/>
      <c r="T36" s="236"/>
      <c r="U36" s="236"/>
      <c r="AA36" s="68"/>
      <c r="AB36" s="68"/>
    </row>
    <row r="37" spans="1:28" s="145" customFormat="1" ht="11.7" customHeight="1">
      <c r="A37" s="147"/>
      <c r="B37" s="147"/>
      <c r="C37" s="147"/>
      <c r="D37" s="144"/>
      <c r="E37" s="144"/>
      <c r="F37" s="147" t="s">
        <v>264</v>
      </c>
      <c r="G37" s="147"/>
      <c r="H37" s="144"/>
      <c r="I37" s="144"/>
      <c r="J37" s="147" t="s">
        <v>3316</v>
      </c>
      <c r="K37" s="147"/>
      <c r="L37" s="147"/>
      <c r="M37" s="147"/>
      <c r="N37" s="147"/>
      <c r="O37" s="147"/>
      <c r="P37" s="144"/>
      <c r="Q37" s="836" t="s">
        <v>906</v>
      </c>
      <c r="R37" s="2006">
        <v>0.1</v>
      </c>
      <c r="S37" s="236"/>
      <c r="T37" s="236"/>
      <c r="U37" s="236"/>
      <c r="AA37" s="68"/>
      <c r="AB37" s="68"/>
    </row>
    <row r="38" spans="1:28" s="145" customFormat="1" ht="11.7" customHeight="1">
      <c r="A38" s="147"/>
      <c r="B38" s="147" t="s">
        <v>1889</v>
      </c>
      <c r="C38" s="147"/>
      <c r="D38" s="144"/>
      <c r="E38" s="144"/>
      <c r="F38" s="147" t="s">
        <v>1610</v>
      </c>
      <c r="G38" s="147"/>
      <c r="H38" s="144"/>
      <c r="I38" s="144"/>
      <c r="J38" s="147" t="s">
        <v>3317</v>
      </c>
      <c r="K38" s="147"/>
      <c r="L38" s="147"/>
      <c r="M38" s="147"/>
      <c r="N38" s="147"/>
      <c r="O38" s="147"/>
      <c r="P38" s="144"/>
      <c r="Q38" s="235" t="s">
        <v>1610</v>
      </c>
      <c r="R38" s="2006">
        <v>0.06</v>
      </c>
      <c r="S38" s="236"/>
      <c r="T38" s="236"/>
      <c r="U38" s="236"/>
      <c r="AA38" s="68"/>
      <c r="AB38" s="68"/>
    </row>
    <row r="39" spans="1:28" s="145" customFormat="1" ht="11.7" customHeight="1">
      <c r="A39" s="147"/>
      <c r="B39" s="147" t="s">
        <v>1890</v>
      </c>
      <c r="C39" s="147"/>
      <c r="D39" s="144"/>
      <c r="E39" s="144"/>
      <c r="F39" s="147" t="s">
        <v>1610</v>
      </c>
      <c r="G39" s="147"/>
      <c r="H39" s="144"/>
      <c r="I39" s="144"/>
      <c r="J39" s="147" t="s">
        <v>3317</v>
      </c>
      <c r="K39" s="147"/>
      <c r="L39" s="147"/>
      <c r="M39" s="147"/>
      <c r="N39" s="147"/>
      <c r="O39" s="147"/>
      <c r="P39" s="144"/>
      <c r="Q39" s="235" t="s">
        <v>1610</v>
      </c>
      <c r="R39" s="2006">
        <v>0.02</v>
      </c>
      <c r="S39" s="236"/>
      <c r="T39" s="236"/>
      <c r="U39" s="236"/>
      <c r="AA39" s="68"/>
      <c r="AB39" s="68"/>
    </row>
    <row r="40" spans="1:28" s="145" customFormat="1" ht="11.7" customHeight="1">
      <c r="A40" s="147"/>
      <c r="B40" s="147" t="s">
        <v>2509</v>
      </c>
      <c r="C40" s="147"/>
      <c r="D40" s="144"/>
      <c r="E40" s="144"/>
      <c r="F40" s="147" t="s">
        <v>1610</v>
      </c>
      <c r="G40" s="147"/>
      <c r="H40" s="144"/>
      <c r="I40" s="144"/>
      <c r="J40" s="147" t="s">
        <v>3317</v>
      </c>
      <c r="K40" s="147"/>
      <c r="L40" s="147"/>
      <c r="M40" s="147"/>
      <c r="N40" s="147"/>
      <c r="O40" s="147"/>
      <c r="P40" s="144"/>
      <c r="Q40" s="235" t="s">
        <v>1610</v>
      </c>
      <c r="R40" s="2006">
        <v>0.06</v>
      </c>
      <c r="S40" s="236"/>
      <c r="T40" s="236"/>
      <c r="U40" s="236"/>
      <c r="AA40" s="68"/>
      <c r="AB40" s="68"/>
    </row>
    <row r="41" spans="1:28" s="145" customFormat="1" ht="11.7"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7" customHeight="1">
      <c r="A42" s="144"/>
      <c r="B42" s="236" t="s">
        <v>3283</v>
      </c>
      <c r="C42" s="147"/>
      <c r="D42" s="147"/>
      <c r="E42" s="144"/>
      <c r="F42" s="147" t="s">
        <v>3083</v>
      </c>
      <c r="G42" s="147"/>
      <c r="H42" s="144"/>
      <c r="I42" s="144"/>
      <c r="J42" s="147" t="s">
        <v>1126</v>
      </c>
      <c r="K42" s="147"/>
      <c r="L42" s="147"/>
      <c r="M42" s="147"/>
      <c r="N42" s="147"/>
      <c r="O42" s="147"/>
      <c r="P42" s="144"/>
      <c r="Q42" s="4971">
        <v>1000</v>
      </c>
      <c r="R42" s="4972"/>
      <c r="S42" s="236"/>
      <c r="T42" s="236"/>
      <c r="U42" s="236"/>
      <c r="AA42" s="68"/>
      <c r="AB42" s="68"/>
    </row>
    <row r="43" spans="1:28" s="145" customFormat="1" ht="11.7" customHeight="1">
      <c r="A43" s="147"/>
      <c r="B43" s="147"/>
      <c r="C43" s="147"/>
      <c r="D43" s="147"/>
      <c r="E43" s="144"/>
      <c r="G43" s="147"/>
      <c r="H43" s="144"/>
      <c r="I43" s="144"/>
      <c r="J43" s="147" t="s">
        <v>1127</v>
      </c>
      <c r="K43" s="147"/>
      <c r="L43" s="147"/>
      <c r="M43" s="147"/>
      <c r="N43" s="147"/>
      <c r="O43" s="147"/>
      <c r="P43" s="144"/>
      <c r="Q43" s="4971">
        <v>500</v>
      </c>
      <c r="R43" s="4972"/>
      <c r="S43" s="236"/>
      <c r="T43" s="236"/>
      <c r="U43" s="236"/>
      <c r="AA43" s="68"/>
      <c r="AB43" s="68"/>
    </row>
    <row r="44" spans="1:28" s="145" customFormat="1" ht="11.7" customHeight="1">
      <c r="A44" s="147"/>
      <c r="B44" s="147"/>
      <c r="C44" s="147"/>
      <c r="D44" s="147"/>
      <c r="E44" s="144"/>
      <c r="F44" s="147" t="s">
        <v>3324</v>
      </c>
      <c r="G44" s="147"/>
      <c r="H44" s="144"/>
      <c r="I44" s="144"/>
      <c r="J44" s="147" t="s">
        <v>3320</v>
      </c>
      <c r="K44" s="147"/>
      <c r="L44" s="147"/>
      <c r="M44" s="147"/>
      <c r="N44" s="147"/>
      <c r="O44" s="147"/>
      <c r="P44" s="144"/>
      <c r="Q44" s="4969">
        <v>2500</v>
      </c>
      <c r="R44" s="4970"/>
      <c r="S44" s="236"/>
      <c r="T44" s="236"/>
      <c r="U44" s="236"/>
      <c r="AA44" s="68"/>
      <c r="AB44" s="68"/>
    </row>
    <row r="45" spans="1:28" s="145" customFormat="1" ht="11.7" customHeight="1">
      <c r="A45" s="147"/>
      <c r="B45" s="147"/>
      <c r="C45" s="147"/>
      <c r="D45" s="147"/>
      <c r="E45" s="144"/>
      <c r="G45" s="147"/>
      <c r="H45" s="144"/>
      <c r="I45" s="144"/>
      <c r="J45" s="147" t="s">
        <v>3321</v>
      </c>
      <c r="K45" s="147"/>
      <c r="L45" s="147"/>
      <c r="M45" s="147"/>
      <c r="N45" s="147"/>
      <c r="O45" s="147"/>
      <c r="P45" s="144"/>
      <c r="Q45" s="4969">
        <v>2500</v>
      </c>
      <c r="R45" s="4970"/>
      <c r="S45" s="236"/>
      <c r="T45" s="236"/>
      <c r="U45" s="236"/>
      <c r="AA45" s="68"/>
      <c r="AB45" s="68"/>
    </row>
    <row r="46" spans="1:28" s="145" customFormat="1" ht="11.7" customHeight="1">
      <c r="A46" s="147"/>
      <c r="B46" s="147"/>
      <c r="C46" s="147"/>
      <c r="D46" s="147"/>
      <c r="E46" s="144"/>
      <c r="G46" s="147"/>
      <c r="H46" s="144"/>
      <c r="I46" s="144"/>
      <c r="J46" s="147" t="s">
        <v>3322</v>
      </c>
      <c r="K46" s="147"/>
      <c r="L46" s="147"/>
      <c r="M46" s="147"/>
      <c r="N46" s="147"/>
      <c r="O46" s="147"/>
      <c r="P46" s="144"/>
      <c r="Q46" s="4969">
        <v>2000</v>
      </c>
      <c r="R46" s="4970"/>
      <c r="S46" s="236"/>
      <c r="T46" s="236"/>
      <c r="U46" s="236"/>
      <c r="AA46" s="68"/>
      <c r="AB46" s="68"/>
    </row>
    <row r="47" spans="1:28" s="145" customFormat="1" ht="11.7" customHeight="1">
      <c r="A47" s="147"/>
      <c r="B47" s="147"/>
      <c r="C47" s="147"/>
      <c r="D47" s="147"/>
      <c r="E47" s="144"/>
      <c r="G47" s="147"/>
      <c r="H47" s="144"/>
      <c r="I47" s="144"/>
      <c r="J47" s="147" t="s">
        <v>3323</v>
      </c>
      <c r="K47" s="147"/>
      <c r="L47" s="147"/>
      <c r="M47" s="147"/>
      <c r="N47" s="147"/>
      <c r="O47" s="147"/>
      <c r="P47" s="144"/>
      <c r="Q47" s="4971">
        <v>1500</v>
      </c>
      <c r="R47" s="4972"/>
      <c r="S47" s="236"/>
      <c r="T47" s="236"/>
      <c r="U47" s="236"/>
      <c r="AA47" s="68"/>
      <c r="AB47" s="68"/>
    </row>
    <row r="48" spans="1:28" s="145" customFormat="1" ht="11.7" customHeight="1">
      <c r="A48" s="147"/>
      <c r="B48" s="147"/>
      <c r="C48" s="147"/>
      <c r="D48" s="147"/>
      <c r="E48" s="144"/>
      <c r="F48" s="236" t="s">
        <v>6763</v>
      </c>
      <c r="G48" s="147"/>
      <c r="H48" s="144"/>
      <c r="I48" s="144"/>
      <c r="J48" s="147" t="s">
        <v>1126</v>
      </c>
      <c r="K48" s="147"/>
      <c r="L48" s="147"/>
      <c r="M48" s="147"/>
      <c r="N48" s="147"/>
      <c r="O48" s="147"/>
      <c r="P48" s="144"/>
      <c r="Q48" s="4969">
        <v>6500</v>
      </c>
      <c r="R48" s="4970"/>
      <c r="S48" s="236"/>
      <c r="T48" s="236"/>
      <c r="U48" s="236"/>
      <c r="AA48" s="68"/>
      <c r="AB48" s="68"/>
    </row>
    <row r="49" spans="1:28" s="145" customFormat="1" ht="11.7" customHeight="1">
      <c r="A49" s="147"/>
      <c r="B49" s="147"/>
      <c r="C49" s="147"/>
      <c r="D49" s="147"/>
      <c r="E49" s="144"/>
      <c r="F49" s="147" t="s">
        <v>6764</v>
      </c>
      <c r="G49" s="147"/>
      <c r="H49" s="144"/>
      <c r="I49" s="144"/>
      <c r="J49" s="147" t="s">
        <v>1127</v>
      </c>
      <c r="K49" s="147"/>
      <c r="L49" s="147"/>
      <c r="M49" s="147"/>
      <c r="N49" s="147"/>
      <c r="O49" s="147"/>
      <c r="P49" s="144"/>
      <c r="Q49" s="4969">
        <v>5500</v>
      </c>
      <c r="R49" s="4970"/>
      <c r="S49" s="236"/>
      <c r="T49" s="236"/>
      <c r="U49" s="236"/>
      <c r="AA49" s="68"/>
      <c r="AB49" s="68"/>
    </row>
    <row r="50" spans="1:28" s="145" customFormat="1" ht="11.7" customHeight="1">
      <c r="A50" s="147"/>
      <c r="B50" s="147"/>
      <c r="C50" s="147"/>
      <c r="D50" s="147"/>
      <c r="E50" s="144"/>
      <c r="F50" s="147"/>
      <c r="G50" s="147" t="s">
        <v>3775</v>
      </c>
      <c r="H50" s="144"/>
      <c r="I50" s="144"/>
      <c r="J50" s="147" t="s">
        <v>3776</v>
      </c>
      <c r="K50" s="147"/>
      <c r="L50" s="147"/>
      <c r="M50" s="147"/>
      <c r="N50" s="147"/>
      <c r="O50" s="147"/>
      <c r="P50" s="144"/>
      <c r="Q50" s="4969">
        <v>500</v>
      </c>
      <c r="R50" s="4970"/>
      <c r="S50" s="236"/>
      <c r="T50" s="236"/>
      <c r="U50" s="236"/>
      <c r="AA50" s="68"/>
      <c r="AB50" s="68"/>
    </row>
    <row r="51" spans="1:28" s="145" customFormat="1" ht="11.7" customHeight="1">
      <c r="A51" s="147"/>
      <c r="B51" s="147"/>
      <c r="C51" s="147"/>
      <c r="D51" s="147"/>
      <c r="E51" s="144"/>
      <c r="F51" s="147" t="s">
        <v>6762</v>
      </c>
      <c r="G51" s="147"/>
      <c r="H51" s="144"/>
      <c r="I51" s="144"/>
      <c r="J51" s="147" t="s">
        <v>1126</v>
      </c>
      <c r="K51" s="147"/>
      <c r="L51" s="147"/>
      <c r="M51" s="147"/>
      <c r="N51" s="147"/>
      <c r="O51" s="147"/>
      <c r="P51" s="144"/>
      <c r="Q51" s="4969">
        <v>10000</v>
      </c>
      <c r="R51" s="4970"/>
      <c r="S51" s="236"/>
      <c r="T51" s="236"/>
      <c r="U51" s="236"/>
      <c r="AA51" s="68"/>
      <c r="AB51" s="68"/>
    </row>
    <row r="52" spans="1:28" s="145" customFormat="1" ht="11.7" customHeight="1">
      <c r="A52" s="147"/>
      <c r="B52" s="147"/>
      <c r="C52" s="147"/>
      <c r="D52" s="147"/>
      <c r="E52" s="144"/>
      <c r="F52" s="147"/>
      <c r="G52" s="147"/>
      <c r="H52" s="144"/>
      <c r="I52" s="144"/>
      <c r="J52" s="147" t="s">
        <v>1127</v>
      </c>
      <c r="K52" s="147"/>
      <c r="L52" s="147"/>
      <c r="M52" s="147"/>
      <c r="N52" s="147"/>
      <c r="O52" s="147"/>
      <c r="P52" s="144"/>
      <c r="Q52" s="4969">
        <v>8000</v>
      </c>
      <c r="R52" s="4970"/>
      <c r="S52" s="236"/>
      <c r="T52" s="236"/>
      <c r="U52" s="236"/>
      <c r="AA52" s="68"/>
      <c r="AB52" s="68"/>
    </row>
    <row r="53" spans="1:28" s="145" customFormat="1" ht="11.7" customHeight="1">
      <c r="A53" s="147"/>
      <c r="B53" s="147"/>
      <c r="C53" s="147"/>
      <c r="D53" s="147"/>
      <c r="E53" s="144"/>
      <c r="F53" s="147" t="s">
        <v>3318</v>
      </c>
      <c r="G53" s="147"/>
      <c r="H53" s="144"/>
      <c r="I53" s="144"/>
      <c r="J53" s="147"/>
      <c r="K53" s="147"/>
      <c r="L53" s="147"/>
      <c r="M53" s="147"/>
      <c r="N53" s="147"/>
      <c r="O53" s="147"/>
      <c r="P53" s="144"/>
      <c r="Q53" s="4969">
        <v>1500</v>
      </c>
      <c r="R53" s="4970"/>
      <c r="S53" s="236"/>
      <c r="T53" s="236"/>
      <c r="U53" s="236"/>
      <c r="AA53" s="68"/>
      <c r="AB53" s="68"/>
    </row>
    <row r="54" spans="1:28" s="145" customFormat="1" ht="11.7" customHeight="1">
      <c r="A54" s="147"/>
      <c r="B54" s="147"/>
      <c r="C54" s="147"/>
      <c r="D54" s="147"/>
      <c r="E54" s="144"/>
      <c r="F54" s="147" t="s">
        <v>6765</v>
      </c>
      <c r="G54" s="147"/>
      <c r="H54" s="144"/>
      <c r="I54" s="144"/>
      <c r="J54" s="147" t="s">
        <v>6766</v>
      </c>
      <c r="K54" s="147"/>
      <c r="L54" s="147"/>
      <c r="M54" s="147"/>
      <c r="N54" s="147"/>
      <c r="O54" s="147"/>
      <c r="P54" s="144"/>
      <c r="Q54" s="4969">
        <v>1500</v>
      </c>
      <c r="R54" s="4970"/>
      <c r="S54" s="236"/>
      <c r="T54" s="236"/>
      <c r="U54" s="236"/>
      <c r="AA54" s="68"/>
      <c r="AB54" s="68"/>
    </row>
    <row r="55" spans="1:28" s="145" customFormat="1" ht="11.7" customHeight="1">
      <c r="A55" s="147"/>
      <c r="C55" s="147"/>
      <c r="D55" s="144"/>
      <c r="E55" s="144"/>
      <c r="F55" s="147" t="s">
        <v>6767</v>
      </c>
      <c r="H55" s="147"/>
      <c r="I55" s="144"/>
      <c r="J55" s="147"/>
      <c r="K55" s="147"/>
      <c r="L55" s="147"/>
      <c r="M55" s="147"/>
      <c r="N55" s="147"/>
      <c r="O55" s="147"/>
      <c r="P55" s="144"/>
      <c r="Q55" s="4969">
        <v>2500</v>
      </c>
      <c r="R55" s="4970"/>
      <c r="S55" s="236"/>
      <c r="T55" s="236"/>
      <c r="U55" s="236"/>
      <c r="AA55" s="68"/>
      <c r="AB55" s="68"/>
    </row>
    <row r="56" spans="1:28" s="145" customFormat="1" ht="11.7" customHeight="1">
      <c r="A56" s="147"/>
      <c r="C56" s="147"/>
      <c r="D56" s="144"/>
      <c r="E56" s="144"/>
      <c r="F56" s="147" t="s">
        <v>6768</v>
      </c>
      <c r="H56" s="147"/>
      <c r="I56" s="144"/>
      <c r="J56" s="147" t="s">
        <v>889</v>
      </c>
      <c r="K56" s="147"/>
      <c r="L56" s="147"/>
      <c r="M56" s="147"/>
      <c r="N56" s="147"/>
      <c r="O56" s="147"/>
      <c r="P56" s="144"/>
      <c r="Q56" s="5005">
        <v>0.08</v>
      </c>
      <c r="R56" s="5005"/>
      <c r="S56" s="236"/>
      <c r="T56" s="236"/>
      <c r="U56" s="236"/>
      <c r="AA56" s="68"/>
      <c r="AB56" s="68"/>
    </row>
    <row r="57" spans="1:28" s="145" customFormat="1" ht="11.7" customHeight="1">
      <c r="A57" s="147"/>
      <c r="C57" s="147"/>
      <c r="D57" s="144"/>
      <c r="E57" s="144"/>
      <c r="F57" s="147" t="s">
        <v>6102</v>
      </c>
      <c r="H57" s="147"/>
      <c r="I57" s="144"/>
      <c r="J57" s="147" t="s">
        <v>889</v>
      </c>
      <c r="K57" s="147"/>
      <c r="L57" s="147"/>
      <c r="M57" s="147"/>
      <c r="N57" s="147"/>
      <c r="O57" s="147"/>
      <c r="P57" s="144"/>
      <c r="Q57" s="5005">
        <v>0.08</v>
      </c>
      <c r="R57" s="5005"/>
      <c r="S57" s="236"/>
      <c r="T57" s="236"/>
      <c r="U57" s="236"/>
      <c r="AA57" s="68"/>
      <c r="AB57" s="68"/>
    </row>
    <row r="58" spans="1:28" s="145" customFormat="1" ht="11.7" customHeight="1">
      <c r="A58" s="147"/>
      <c r="B58" s="147"/>
      <c r="C58" s="147"/>
      <c r="D58" s="144"/>
      <c r="E58" s="144"/>
      <c r="F58" s="147" t="s">
        <v>6769</v>
      </c>
      <c r="I58" s="144"/>
      <c r="J58" s="147" t="s">
        <v>1638</v>
      </c>
      <c r="K58" s="147"/>
      <c r="L58" s="147"/>
      <c r="M58" s="147"/>
      <c r="N58" s="147"/>
      <c r="O58" s="147"/>
      <c r="P58" s="144"/>
      <c r="Q58" s="4969">
        <v>8000</v>
      </c>
      <c r="R58" s="4970"/>
      <c r="S58" s="236"/>
      <c r="T58" s="236"/>
      <c r="U58" s="236"/>
      <c r="AA58" s="68"/>
      <c r="AB58" s="68"/>
    </row>
    <row r="59" spans="1:28" s="145" customFormat="1" ht="11.7" customHeight="1">
      <c r="A59" s="147"/>
      <c r="C59" s="147"/>
      <c r="D59" s="144"/>
      <c r="E59" s="144"/>
      <c r="F59" s="147" t="s">
        <v>3777</v>
      </c>
      <c r="H59" s="147"/>
      <c r="I59" s="144"/>
      <c r="J59" s="147"/>
      <c r="K59" s="147"/>
      <c r="L59" s="147"/>
      <c r="M59" s="147"/>
      <c r="N59" s="147"/>
      <c r="O59" s="147"/>
      <c r="P59" s="144"/>
      <c r="Q59" s="4969"/>
      <c r="R59" s="4970"/>
      <c r="S59" s="236"/>
      <c r="T59" s="236"/>
      <c r="U59" s="236"/>
      <c r="AA59" s="68"/>
      <c r="AB59" s="68"/>
    </row>
    <row r="60" spans="1:28" s="145" customFormat="1" ht="11.7" customHeight="1">
      <c r="A60" s="147"/>
      <c r="C60" s="147" t="s">
        <v>6770</v>
      </c>
      <c r="D60" s="144"/>
      <c r="E60" s="144"/>
      <c r="F60" s="147" t="s">
        <v>890</v>
      </c>
      <c r="H60" s="147" t="s">
        <v>1504</v>
      </c>
      <c r="I60" s="144"/>
      <c r="J60" s="147" t="s">
        <v>1432</v>
      </c>
      <c r="K60" s="147"/>
      <c r="L60" s="147"/>
      <c r="M60" s="147"/>
      <c r="N60" s="147"/>
      <c r="O60" s="147"/>
      <c r="P60" s="144"/>
      <c r="Q60" s="4967">
        <v>800</v>
      </c>
      <c r="R60" s="4968"/>
      <c r="S60" s="236"/>
      <c r="T60" s="236"/>
      <c r="U60" s="236"/>
      <c r="AA60" s="68"/>
      <c r="AB60" s="68"/>
    </row>
    <row r="61" spans="1:28" s="145" customFormat="1" ht="11.7" customHeight="1">
      <c r="A61" s="147"/>
      <c r="C61" s="147"/>
      <c r="D61" s="144"/>
      <c r="E61" s="144"/>
      <c r="F61" s="147"/>
      <c r="H61" s="147"/>
      <c r="I61" s="147" t="s">
        <v>3778</v>
      </c>
      <c r="J61" s="147" t="s">
        <v>1432</v>
      </c>
      <c r="K61" s="147"/>
      <c r="L61" s="147"/>
      <c r="M61" s="147"/>
      <c r="N61" s="147"/>
      <c r="O61" s="147"/>
      <c r="P61" s="144"/>
      <c r="Q61" s="4967">
        <v>1000</v>
      </c>
      <c r="R61" s="4968"/>
      <c r="S61" s="236"/>
      <c r="T61" s="236"/>
      <c r="U61" s="236"/>
      <c r="AA61" s="68"/>
      <c r="AB61" s="68"/>
    </row>
    <row r="62" spans="1:28" s="145" customFormat="1" ht="11.7" customHeight="1">
      <c r="A62" s="147"/>
      <c r="B62" s="147"/>
      <c r="C62" s="147"/>
      <c r="D62" s="144"/>
      <c r="E62" s="144"/>
      <c r="H62" s="147" t="s">
        <v>2447</v>
      </c>
      <c r="I62" s="144"/>
      <c r="J62" s="147" t="s">
        <v>1432</v>
      </c>
      <c r="K62" s="147" t="s">
        <v>3298</v>
      </c>
      <c r="L62" s="147"/>
      <c r="M62" s="147"/>
      <c r="N62" s="147"/>
      <c r="O62" s="147"/>
      <c r="P62" s="144"/>
      <c r="Q62" s="4967">
        <v>800</v>
      </c>
      <c r="R62" s="4968"/>
      <c r="S62" s="236"/>
      <c r="T62" s="236"/>
      <c r="U62" s="236"/>
      <c r="AA62" s="68"/>
      <c r="AB62" s="68"/>
    </row>
    <row r="63" spans="1:28" s="145" customFormat="1" ht="11.7" customHeight="1">
      <c r="A63" s="147"/>
      <c r="B63" s="147"/>
      <c r="C63" s="147"/>
      <c r="D63" s="144"/>
      <c r="E63" s="144"/>
      <c r="H63" s="147" t="s">
        <v>2512</v>
      </c>
      <c r="I63" s="144"/>
      <c r="J63" s="147" t="s">
        <v>2446</v>
      </c>
      <c r="K63" s="147"/>
      <c r="L63" s="147"/>
      <c r="M63" s="147"/>
      <c r="N63" s="147"/>
      <c r="O63" s="147"/>
      <c r="P63" s="144"/>
      <c r="Q63" s="4967">
        <v>1500</v>
      </c>
      <c r="R63" s="4968"/>
      <c r="S63" s="236"/>
      <c r="T63" s="236"/>
      <c r="U63" s="236"/>
      <c r="AA63" s="68"/>
      <c r="AB63" s="68"/>
    </row>
    <row r="64" spans="1:28" s="145" customFormat="1" ht="11.7" customHeight="1">
      <c r="A64" s="147"/>
      <c r="B64" s="147"/>
      <c r="C64" s="147"/>
      <c r="D64" s="144"/>
      <c r="E64" s="144"/>
      <c r="F64" s="147" t="s">
        <v>3413</v>
      </c>
      <c r="I64" s="144"/>
      <c r="J64" s="147" t="s">
        <v>3779</v>
      </c>
      <c r="K64" s="147"/>
      <c r="L64" s="147"/>
      <c r="M64" s="147"/>
      <c r="N64" s="147"/>
      <c r="O64" s="147"/>
      <c r="P64" s="144"/>
      <c r="Q64" s="4653">
        <v>750</v>
      </c>
      <c r="R64" s="4654"/>
      <c r="S64" s="236"/>
      <c r="T64" s="236"/>
      <c r="U64" s="236"/>
      <c r="AA64" s="68"/>
      <c r="AB64" s="68"/>
    </row>
    <row r="65" spans="1:28" s="145" customFormat="1" ht="11.7" customHeight="1">
      <c r="A65" s="147"/>
      <c r="B65" s="147"/>
      <c r="C65" s="147"/>
      <c r="D65" s="144"/>
      <c r="E65" s="144"/>
      <c r="F65" s="147" t="s">
        <v>3055</v>
      </c>
      <c r="I65" s="144"/>
      <c r="J65" s="147" t="s">
        <v>3056</v>
      </c>
      <c r="K65" s="147"/>
      <c r="L65" s="147" t="s">
        <v>2511</v>
      </c>
      <c r="M65" s="147"/>
      <c r="N65" s="147"/>
      <c r="O65" s="147"/>
      <c r="P65" s="144"/>
      <c r="Q65" s="4971">
        <v>75</v>
      </c>
      <c r="R65" s="4972"/>
      <c r="S65" s="236"/>
      <c r="T65" s="236"/>
      <c r="U65" s="236"/>
      <c r="AA65" s="68"/>
      <c r="AB65" s="68"/>
    </row>
    <row r="66" spans="1:28" ht="11.25" customHeight="1">
      <c r="B66" s="147" t="s">
        <v>1726</v>
      </c>
      <c r="F66" s="1294" t="s">
        <v>3914</v>
      </c>
      <c r="G66" s="236"/>
      <c r="H66" s="236"/>
      <c r="J66" s="147" t="s">
        <v>3920</v>
      </c>
      <c r="K66" s="147" t="s">
        <v>3921</v>
      </c>
      <c r="L66" s="44"/>
      <c r="M66" s="44"/>
      <c r="N66" s="44"/>
      <c r="O66" s="1298" t="s">
        <v>3915</v>
      </c>
      <c r="AA66"/>
      <c r="AB66"/>
    </row>
    <row r="67" spans="1:28" ht="11.25" customHeight="1">
      <c r="F67" s="115"/>
      <c r="H67" s="1295">
        <v>0.09</v>
      </c>
      <c r="J67" s="392">
        <v>1</v>
      </c>
      <c r="K67" s="392">
        <v>50</v>
      </c>
      <c r="Q67" s="4974">
        <v>27500</v>
      </c>
      <c r="R67" s="4974"/>
      <c r="AA67"/>
      <c r="AB67"/>
    </row>
    <row r="68" spans="1:28" ht="11.25" customHeight="1">
      <c r="F68" s="115"/>
      <c r="H68" s="698"/>
      <c r="J68" s="392">
        <v>51</v>
      </c>
      <c r="K68" s="392">
        <v>70</v>
      </c>
      <c r="Q68" s="4973">
        <v>22000</v>
      </c>
      <c r="R68" s="4973"/>
      <c r="AA68"/>
      <c r="AB68"/>
    </row>
    <row r="69" spans="1:28" ht="11.25" customHeight="1">
      <c r="F69" s="115"/>
      <c r="H69" s="1519"/>
      <c r="I69" s="165"/>
      <c r="J69" s="1520">
        <v>71</v>
      </c>
      <c r="K69" s="1521"/>
      <c r="L69" s="165"/>
      <c r="M69" s="165"/>
      <c r="N69" s="165"/>
      <c r="O69" s="165"/>
      <c r="P69" s="1522"/>
      <c r="Q69" s="4975">
        <v>16500</v>
      </c>
      <c r="R69" s="4975"/>
      <c r="AA69"/>
      <c r="AB69"/>
    </row>
    <row r="70" spans="1:28" ht="11.25" customHeight="1">
      <c r="H70" s="1523">
        <v>0.04</v>
      </c>
      <c r="I70" s="1524"/>
      <c r="J70" s="1525">
        <v>1</v>
      </c>
      <c r="K70" s="1525">
        <v>50</v>
      </c>
      <c r="L70" s="1524"/>
      <c r="M70" s="1524"/>
      <c r="N70" s="1524"/>
      <c r="O70" s="1524"/>
      <c r="P70" s="1526"/>
      <c r="Q70" s="4974">
        <v>27500</v>
      </c>
      <c r="R70" s="4974"/>
      <c r="AA70"/>
      <c r="AB70"/>
    </row>
    <row r="71" spans="1:28" ht="11.25" customHeight="1">
      <c r="H71" s="1296"/>
      <c r="J71" s="392">
        <v>51</v>
      </c>
      <c r="K71" s="392">
        <v>70</v>
      </c>
      <c r="Q71" s="4973">
        <v>22000</v>
      </c>
      <c r="R71" s="4973"/>
      <c r="AA71"/>
      <c r="AB71"/>
    </row>
    <row r="72" spans="1:28" ht="11.25" customHeight="1">
      <c r="H72" s="1296"/>
      <c r="J72" s="392">
        <v>71</v>
      </c>
      <c r="K72" s="1296"/>
      <c r="Q72" s="4975">
        <v>16500</v>
      </c>
      <c r="R72" s="4975"/>
      <c r="AA72"/>
      <c r="AB72"/>
    </row>
    <row r="73" spans="1:28" ht="11.25" customHeight="1">
      <c r="F73" s="236" t="s">
        <v>3916</v>
      </c>
      <c r="H73" s="370"/>
      <c r="I73" s="44"/>
      <c r="AA73"/>
      <c r="AB73"/>
    </row>
    <row r="74" spans="1:28" ht="11.25" customHeight="1">
      <c r="H74" s="1297">
        <v>0.09</v>
      </c>
      <c r="I74" s="236"/>
      <c r="Q74" s="4976">
        <v>2000000</v>
      </c>
      <c r="R74" s="4976"/>
      <c r="AA74"/>
      <c r="AB74"/>
    </row>
    <row r="75" spans="1:28" ht="11.25" customHeight="1">
      <c r="H75" s="1297">
        <v>0.04</v>
      </c>
      <c r="I75" s="236"/>
      <c r="Q75" s="4976">
        <v>3500000</v>
      </c>
      <c r="R75" s="4976"/>
      <c r="AA75"/>
      <c r="AB75"/>
    </row>
    <row r="76" spans="1:28">
      <c r="AA76"/>
      <c r="AB76"/>
    </row>
    <row r="77" spans="1:28" s="145" customFormat="1" ht="13.8">
      <c r="A77" s="147"/>
      <c r="B77" s="147"/>
      <c r="C77" s="147"/>
      <c r="D77" s="144"/>
      <c r="E77" s="144"/>
      <c r="F77" s="147"/>
      <c r="G77" s="147"/>
      <c r="H77" s="147"/>
      <c r="I77" s="144"/>
      <c r="J77" s="147" t="s">
        <v>3039</v>
      </c>
      <c r="K77" s="147"/>
      <c r="L77" s="147"/>
      <c r="M77" s="147"/>
      <c r="N77" s="147"/>
      <c r="O77" s="147"/>
      <c r="P77" s="144"/>
      <c r="Q77" s="5006">
        <v>3500000</v>
      </c>
      <c r="R77" s="5007"/>
      <c r="S77" s="236"/>
      <c r="T77" s="236"/>
      <c r="U77" s="236"/>
      <c r="AA77" s="68"/>
      <c r="AB77" s="68"/>
    </row>
    <row r="78" spans="1:28" s="145" customFormat="1" ht="13.8" hidden="1">
      <c r="A78" s="147"/>
      <c r="B78" s="147"/>
      <c r="C78" s="147"/>
      <c r="D78" s="144"/>
      <c r="E78" s="144"/>
      <c r="F78" s="147" t="s">
        <v>1594</v>
      </c>
      <c r="G78" s="147"/>
      <c r="H78" s="147" t="s">
        <v>2120</v>
      </c>
      <c r="I78" s="144"/>
      <c r="J78" s="147" t="s">
        <v>911</v>
      </c>
      <c r="K78" s="147"/>
      <c r="L78" s="147"/>
      <c r="M78" s="147"/>
      <c r="N78" s="147"/>
      <c r="O78" s="147"/>
      <c r="P78" s="144"/>
      <c r="Q78" s="4977">
        <v>0.15</v>
      </c>
      <c r="R78" s="4978"/>
      <c r="S78" s="236"/>
      <c r="T78" s="236"/>
      <c r="U78" s="236"/>
      <c r="AA78" s="68"/>
      <c r="AB78" s="68"/>
    </row>
    <row r="79" spans="1:28" s="145" customFormat="1" ht="13.8" hidden="1">
      <c r="A79" s="147"/>
      <c r="B79" s="314"/>
      <c r="C79" s="147"/>
      <c r="D79" s="144"/>
      <c r="E79" s="144"/>
      <c r="F79" s="147"/>
      <c r="G79" s="147"/>
      <c r="H79" s="147" t="s">
        <v>3162</v>
      </c>
      <c r="I79" s="147" t="s">
        <v>908</v>
      </c>
      <c r="J79" s="147" t="s">
        <v>910</v>
      </c>
      <c r="K79" s="147"/>
      <c r="L79" s="147"/>
      <c r="M79" s="147"/>
      <c r="N79" s="147"/>
      <c r="O79" s="147"/>
      <c r="P79" s="144"/>
      <c r="Q79" s="4977">
        <v>0.15</v>
      </c>
      <c r="R79" s="4978"/>
      <c r="S79" s="236"/>
      <c r="T79" s="236"/>
      <c r="U79" s="236"/>
      <c r="AA79" s="68"/>
      <c r="AB79" s="68"/>
    </row>
    <row r="80" spans="1:28" s="145" customFormat="1" ht="13.8" hidden="1">
      <c r="A80" s="147"/>
      <c r="B80" s="314"/>
      <c r="C80" s="147"/>
      <c r="D80" s="144"/>
      <c r="E80" s="144"/>
      <c r="F80" s="147"/>
      <c r="G80" s="147"/>
      <c r="H80" s="147"/>
      <c r="I80" s="147" t="s">
        <v>909</v>
      </c>
      <c r="J80" s="147" t="s">
        <v>912</v>
      </c>
      <c r="K80" s="147"/>
      <c r="L80" s="147"/>
      <c r="M80" s="147"/>
      <c r="N80" s="147"/>
      <c r="O80" s="147"/>
      <c r="P80" s="144"/>
      <c r="Q80" s="4977">
        <v>0.15</v>
      </c>
      <c r="R80" s="4978"/>
      <c r="S80" s="236"/>
      <c r="T80" s="236"/>
      <c r="U80" s="236"/>
      <c r="AA80" s="68"/>
      <c r="AB80" s="68"/>
    </row>
    <row r="81" spans="1:28" s="145" customFormat="1" ht="13.8" hidden="1">
      <c r="A81" s="147"/>
      <c r="B81" s="314"/>
      <c r="C81" s="147"/>
      <c r="D81" s="144"/>
      <c r="E81" s="144"/>
      <c r="F81" s="147"/>
      <c r="G81" s="147"/>
      <c r="H81" s="147" t="s">
        <v>907</v>
      </c>
      <c r="I81" s="144"/>
      <c r="J81" s="147" t="s">
        <v>912</v>
      </c>
      <c r="K81" s="147"/>
      <c r="L81" s="147"/>
      <c r="M81" s="147"/>
      <c r="N81" s="147"/>
      <c r="O81" s="147"/>
      <c r="P81" s="144"/>
      <c r="Q81" s="4977">
        <v>0.15</v>
      </c>
      <c r="R81" s="4978"/>
      <c r="S81" s="236"/>
      <c r="T81" s="236"/>
      <c r="U81" s="236"/>
      <c r="AA81" s="68"/>
      <c r="AB81" s="68"/>
    </row>
    <row r="82" spans="1:28" s="145" customFormat="1" ht="13.8" hidden="1">
      <c r="A82" s="147"/>
      <c r="B82" s="314"/>
      <c r="C82" s="147"/>
      <c r="D82" s="144"/>
      <c r="E82" s="144"/>
      <c r="F82" s="147"/>
      <c r="G82" s="147"/>
      <c r="H82" s="147"/>
      <c r="I82" s="147" t="s">
        <v>913</v>
      </c>
      <c r="J82" s="147" t="s">
        <v>914</v>
      </c>
      <c r="K82" s="147"/>
      <c r="L82" s="147"/>
      <c r="M82" s="147"/>
      <c r="N82" s="147"/>
      <c r="O82" s="147"/>
      <c r="P82" s="144"/>
      <c r="Q82" s="4977">
        <v>0.15</v>
      </c>
      <c r="R82" s="4978"/>
      <c r="S82" s="236"/>
      <c r="T82" s="236"/>
      <c r="U82" s="236"/>
      <c r="AA82" s="68"/>
      <c r="AB82" s="68"/>
    </row>
    <row r="83" spans="1:28" s="145" customFormat="1" ht="13.8" hidden="1">
      <c r="A83" s="147"/>
      <c r="B83" s="314"/>
      <c r="C83" s="147"/>
      <c r="D83" s="144"/>
      <c r="E83" s="144"/>
      <c r="F83" s="147" t="s">
        <v>1634</v>
      </c>
      <c r="G83" s="147"/>
      <c r="H83" s="147"/>
      <c r="I83" s="144"/>
      <c r="J83" s="147" t="s">
        <v>2188</v>
      </c>
      <c r="K83" s="147"/>
      <c r="L83" s="147"/>
      <c r="M83" s="147"/>
      <c r="N83" s="147"/>
      <c r="O83" s="147"/>
      <c r="P83" s="144"/>
      <c r="Q83" s="4977">
        <v>0.15</v>
      </c>
      <c r="R83" s="4978"/>
      <c r="S83" s="236"/>
      <c r="T83" s="236"/>
      <c r="U83" s="236"/>
      <c r="AA83" s="68"/>
      <c r="AB83" s="68"/>
    </row>
    <row r="84" spans="1:28" s="145" customFormat="1" ht="13.8" hidden="1">
      <c r="A84" s="147"/>
      <c r="B84" s="314"/>
      <c r="C84" s="147"/>
      <c r="D84" s="144"/>
      <c r="E84" s="144"/>
      <c r="G84" s="147"/>
      <c r="H84" s="147"/>
      <c r="I84" s="144"/>
      <c r="J84" s="147" t="s">
        <v>2189</v>
      </c>
      <c r="K84" s="147"/>
      <c r="L84" s="147"/>
      <c r="M84" s="147"/>
      <c r="N84" s="147"/>
      <c r="O84" s="147"/>
      <c r="P84" s="144"/>
      <c r="Q84" s="4977" t="s">
        <v>2190</v>
      </c>
      <c r="R84" s="4978"/>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7" customHeight="1">
      <c r="A90" s="147"/>
      <c r="B90" s="147" t="s">
        <v>3084</v>
      </c>
      <c r="C90" s="147"/>
      <c r="D90" s="144"/>
      <c r="E90" s="147"/>
      <c r="F90" s="147"/>
      <c r="G90" s="147"/>
      <c r="H90" s="144"/>
      <c r="I90" s="144"/>
      <c r="J90" s="147" t="s">
        <v>1638</v>
      </c>
      <c r="K90" s="147"/>
      <c r="L90" s="147"/>
      <c r="M90" s="147"/>
      <c r="N90" s="147"/>
      <c r="O90" s="147"/>
      <c r="P90" s="144"/>
      <c r="Q90" s="4971">
        <v>3000</v>
      </c>
      <c r="R90" s="4972"/>
      <c r="S90" s="236"/>
      <c r="T90" s="236"/>
      <c r="U90" s="236"/>
      <c r="AA90" s="68"/>
      <c r="AB90" s="68"/>
    </row>
    <row r="91" spans="1:28" s="145" customFormat="1" ht="11.7" customHeight="1">
      <c r="A91" s="147"/>
      <c r="B91" s="147"/>
      <c r="C91" s="147"/>
      <c r="D91" s="144"/>
      <c r="E91" s="144"/>
      <c r="O91" s="147"/>
      <c r="T91" s="230"/>
      <c r="U91" s="144"/>
      <c r="V91" s="322"/>
      <c r="W91" s="322"/>
      <c r="X91" s="322"/>
      <c r="AA91" s="68"/>
      <c r="AB91" s="68"/>
    </row>
    <row r="92" spans="1:28" s="145" customFormat="1" ht="11.7"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7"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7" customHeight="1">
      <c r="A98" s="147"/>
      <c r="B98" s="147" t="s">
        <v>952</v>
      </c>
      <c r="C98" s="147"/>
      <c r="D98" s="144"/>
      <c r="E98" s="144"/>
      <c r="F98" s="144"/>
      <c r="G98" s="147"/>
      <c r="H98" s="144"/>
      <c r="I98" s="144"/>
      <c r="J98" s="147" t="s">
        <v>6759</v>
      </c>
      <c r="K98" s="147"/>
      <c r="L98" s="147"/>
      <c r="M98" s="147"/>
      <c r="N98" s="147"/>
      <c r="O98" s="147"/>
      <c r="P98" s="144"/>
      <c r="Q98" s="4989">
        <v>0.02</v>
      </c>
      <c r="R98" s="4989"/>
      <c r="S98" s="236"/>
      <c r="T98" s="236"/>
      <c r="U98" s="236"/>
      <c r="AA98" s="68"/>
      <c r="AB98" s="68"/>
    </row>
    <row r="99" spans="1:28" s="236" customFormat="1" ht="11.7" customHeight="1">
      <c r="A99" s="147"/>
      <c r="B99" s="147" t="s">
        <v>1640</v>
      </c>
      <c r="C99" s="147"/>
      <c r="D99" s="147"/>
      <c r="E99" s="147"/>
      <c r="F99" s="147"/>
      <c r="G99" s="147"/>
      <c r="H99" s="147"/>
      <c r="J99" s="147" t="s">
        <v>1641</v>
      </c>
      <c r="K99" s="147"/>
      <c r="L99" s="147"/>
      <c r="M99" s="147"/>
      <c r="N99" s="147"/>
      <c r="O99" s="147"/>
      <c r="Q99" s="4989">
        <v>0.02</v>
      </c>
      <c r="R99" s="4989"/>
      <c r="AA99" s="68"/>
      <c r="AB99" s="68"/>
    </row>
    <row r="100" spans="1:28" s="236" customFormat="1" ht="11.7" customHeight="1">
      <c r="A100" s="147"/>
      <c r="B100" s="147" t="s">
        <v>1642</v>
      </c>
      <c r="C100" s="147"/>
      <c r="D100" s="147"/>
      <c r="E100" s="147"/>
      <c r="F100" s="147"/>
      <c r="G100" s="147"/>
      <c r="H100" s="147"/>
      <c r="J100" s="147" t="s">
        <v>1641</v>
      </c>
      <c r="K100" s="147"/>
      <c r="L100" s="147"/>
      <c r="M100" s="147"/>
      <c r="N100" s="147"/>
      <c r="O100" s="147"/>
      <c r="Q100" s="4988">
        <v>7.0000000000000007E-2</v>
      </c>
      <c r="R100" s="4988"/>
      <c r="AA100" s="68"/>
      <c r="AB100" s="68"/>
    </row>
    <row r="101" spans="1:28" s="236" customFormat="1" ht="11.7" customHeight="1">
      <c r="A101" s="147"/>
      <c r="B101" s="147" t="s">
        <v>1643</v>
      </c>
      <c r="C101" s="147"/>
      <c r="D101" s="147"/>
      <c r="E101" s="147"/>
      <c r="F101" s="147"/>
      <c r="G101" s="147"/>
      <c r="H101" s="147"/>
      <c r="J101" s="147" t="s">
        <v>1641</v>
      </c>
      <c r="K101" s="147"/>
      <c r="L101" s="147"/>
      <c r="M101" s="147"/>
      <c r="N101" s="147"/>
      <c r="O101" s="147"/>
      <c r="Q101" s="4988">
        <v>7.0000000000000007E-2</v>
      </c>
      <c r="R101" s="4988"/>
      <c r="AA101" s="68"/>
      <c r="AB101" s="68"/>
    </row>
    <row r="102" spans="1:28" s="145" customFormat="1" ht="11.7" customHeight="1">
      <c r="A102" s="147"/>
      <c r="B102" s="147" t="s">
        <v>128</v>
      </c>
      <c r="C102" s="147"/>
      <c r="D102" s="144"/>
      <c r="E102" s="144"/>
      <c r="F102" s="144"/>
      <c r="G102" s="147"/>
      <c r="H102" s="144"/>
      <c r="I102" s="144"/>
      <c r="J102" s="147" t="s">
        <v>1641</v>
      </c>
      <c r="K102" s="147"/>
      <c r="L102" s="147"/>
      <c r="M102" s="147"/>
      <c r="N102" s="147"/>
      <c r="O102" s="147"/>
      <c r="P102" s="144"/>
      <c r="Q102" s="4988">
        <v>0.03</v>
      </c>
      <c r="R102" s="4988"/>
      <c r="S102" s="236"/>
      <c r="T102" s="236"/>
      <c r="U102" s="236"/>
      <c r="AA102" s="68"/>
      <c r="AB102" s="68"/>
    </row>
    <row r="103" spans="1:28" s="145" customFormat="1" ht="11.7" customHeight="1">
      <c r="A103" s="147"/>
      <c r="B103" s="147" t="s">
        <v>129</v>
      </c>
      <c r="C103" s="147"/>
      <c r="D103" s="144"/>
      <c r="E103" s="144"/>
      <c r="F103" s="144"/>
      <c r="G103" s="147"/>
      <c r="H103" s="144"/>
      <c r="I103" s="144"/>
      <c r="J103" s="147" t="s">
        <v>1641</v>
      </c>
      <c r="K103" s="147"/>
      <c r="L103" s="147"/>
      <c r="M103" s="147"/>
      <c r="N103" s="147"/>
      <c r="O103" s="147"/>
      <c r="P103" s="144"/>
      <c r="Q103" s="4988">
        <v>0.03</v>
      </c>
      <c r="R103" s="4988"/>
      <c r="S103" s="236"/>
      <c r="T103" s="236"/>
      <c r="U103" s="236"/>
      <c r="AA103" s="68"/>
      <c r="AB103" s="68"/>
    </row>
    <row r="104" spans="1:28" s="145" customFormat="1" ht="11.7" customHeight="1">
      <c r="A104" s="147"/>
      <c r="B104" s="147" t="s">
        <v>130</v>
      </c>
      <c r="C104" s="147"/>
      <c r="D104" s="144"/>
      <c r="E104" s="144"/>
      <c r="F104" s="144"/>
      <c r="G104" s="147"/>
      <c r="H104" s="144"/>
      <c r="I104" s="144"/>
      <c r="J104" s="147" t="s">
        <v>1641</v>
      </c>
      <c r="K104" s="147"/>
      <c r="L104" s="147"/>
      <c r="M104" s="147"/>
      <c r="N104" s="147"/>
      <c r="O104" s="147"/>
      <c r="P104" s="144"/>
      <c r="Q104" s="4990">
        <v>0</v>
      </c>
      <c r="R104" s="4990"/>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7" customHeight="1">
      <c r="A106" s="229" t="s">
        <v>2443</v>
      </c>
      <c r="B106" s="147"/>
      <c r="C106" s="147"/>
      <c r="D106" s="144"/>
      <c r="E106" s="144"/>
      <c r="F106" s="147" t="s">
        <v>478</v>
      </c>
      <c r="G106" s="147" t="s">
        <v>2393</v>
      </c>
      <c r="I106" s="144"/>
      <c r="J106" s="147" t="s">
        <v>2445</v>
      </c>
      <c r="K106" s="147"/>
      <c r="L106" s="147"/>
      <c r="M106" s="147"/>
      <c r="N106" s="147"/>
      <c r="O106" s="147"/>
      <c r="P106" s="144"/>
      <c r="Q106" s="4991">
        <v>0.1</v>
      </c>
      <c r="R106" s="4991"/>
      <c r="S106" s="144"/>
      <c r="T106" s="144"/>
      <c r="U106" s="144"/>
      <c r="V106" s="715"/>
      <c r="W106" s="715"/>
      <c r="X106" s="148"/>
      <c r="AA106" s="68"/>
      <c r="AB106" s="68"/>
    </row>
    <row r="107" spans="1:28" s="145" customFormat="1" ht="11.7" customHeight="1">
      <c r="A107" s="229"/>
      <c r="B107" s="147"/>
      <c r="C107" s="147"/>
      <c r="D107" s="144"/>
      <c r="E107" s="144"/>
      <c r="F107" s="147"/>
      <c r="G107" s="147" t="s">
        <v>3307</v>
      </c>
      <c r="I107" s="144"/>
      <c r="J107" s="147" t="s">
        <v>3308</v>
      </c>
      <c r="K107" s="147"/>
      <c r="L107" s="147"/>
      <c r="M107" s="147"/>
      <c r="N107" s="147"/>
      <c r="O107" s="147"/>
      <c r="P107" s="144"/>
      <c r="Q107" s="4983">
        <v>1225000</v>
      </c>
      <c r="R107" s="4983"/>
      <c r="S107" s="144"/>
      <c r="T107" s="144"/>
      <c r="U107" s="144"/>
      <c r="V107" s="715"/>
      <c r="W107" s="715"/>
      <c r="X107" s="148"/>
      <c r="AA107" s="68"/>
      <c r="AB107" s="68"/>
    </row>
    <row r="108" spans="1:28" s="145" customFormat="1" ht="11.7" customHeight="1">
      <c r="A108" s="147"/>
      <c r="B108" s="147"/>
      <c r="C108" s="147"/>
      <c r="D108" s="144"/>
      <c r="E108" s="144"/>
      <c r="F108" s="147"/>
      <c r="G108" s="147" t="s">
        <v>6506</v>
      </c>
      <c r="H108" s="147" t="s">
        <v>6760</v>
      </c>
      <c r="J108" s="147" t="s">
        <v>6515</v>
      </c>
      <c r="K108" s="147"/>
      <c r="L108" s="147"/>
      <c r="M108" s="147"/>
      <c r="O108" s="147" t="s">
        <v>6509</v>
      </c>
      <c r="P108" s="144"/>
      <c r="Q108" s="4984">
        <v>1105000</v>
      </c>
      <c r="R108" s="4984"/>
      <c r="S108" s="230"/>
      <c r="T108" s="230"/>
      <c r="U108" s="144"/>
      <c r="V108" s="322"/>
      <c r="W108" s="322"/>
      <c r="X108" s="322"/>
      <c r="AA108" s="68"/>
      <c r="AB108" s="68"/>
    </row>
    <row r="109" spans="1:28" s="145" customFormat="1" ht="11.7" customHeight="1">
      <c r="A109" s="147"/>
      <c r="B109" s="147"/>
      <c r="C109" s="147"/>
      <c r="D109" s="144"/>
      <c r="E109" s="144"/>
      <c r="F109" s="147"/>
      <c r="G109" s="147"/>
      <c r="H109" s="147" t="s">
        <v>6100</v>
      </c>
      <c r="J109" s="147" t="s">
        <v>6515</v>
      </c>
      <c r="K109" s="147"/>
      <c r="L109" s="147"/>
      <c r="M109" s="147"/>
      <c r="O109" s="147" t="s">
        <v>6509</v>
      </c>
      <c r="P109" s="144"/>
      <c r="Q109" s="4979">
        <v>1225000</v>
      </c>
      <c r="R109" s="4979"/>
      <c r="S109" s="230"/>
      <c r="T109" s="230"/>
      <c r="U109" s="144"/>
      <c r="V109" s="322"/>
      <c r="W109" s="322"/>
      <c r="X109" s="322"/>
      <c r="AA109" s="68"/>
      <c r="AB109" s="68"/>
    </row>
    <row r="110" spans="1:28" s="145" customFormat="1" ht="11.7" customHeight="1">
      <c r="A110" s="147"/>
      <c r="B110" s="147"/>
      <c r="C110" s="147"/>
      <c r="D110" s="144"/>
      <c r="E110" s="144"/>
      <c r="F110" s="147"/>
      <c r="G110" s="147"/>
      <c r="H110" s="147" t="s">
        <v>6508</v>
      </c>
      <c r="I110" s="144"/>
      <c r="J110" s="147" t="s">
        <v>6515</v>
      </c>
      <c r="K110" s="147"/>
      <c r="O110" s="147" t="s">
        <v>6510</v>
      </c>
      <c r="Q110" s="4979">
        <v>1105000</v>
      </c>
      <c r="R110" s="4979"/>
      <c r="S110" s="230"/>
      <c r="T110" s="230"/>
      <c r="U110" s="144"/>
      <c r="V110" s="322"/>
      <c r="W110" s="322"/>
      <c r="X110" s="322"/>
      <c r="AA110" s="68"/>
      <c r="AB110" s="68"/>
    </row>
    <row r="111" spans="1:28" s="145" customFormat="1" ht="11.7" customHeight="1">
      <c r="A111" s="147"/>
      <c r="B111" s="147"/>
      <c r="C111" s="147"/>
      <c r="D111" s="144"/>
      <c r="E111" s="144"/>
      <c r="F111" s="147"/>
      <c r="G111" s="147"/>
      <c r="H111" s="147" t="s">
        <v>6507</v>
      </c>
      <c r="I111" s="144"/>
      <c r="J111" s="147" t="s">
        <v>6515</v>
      </c>
      <c r="K111" s="147"/>
      <c r="O111" s="147" t="s">
        <v>6509</v>
      </c>
      <c r="Q111" s="4986">
        <v>1105000</v>
      </c>
      <c r="R111" s="4987"/>
      <c r="S111" s="230"/>
      <c r="T111" s="230"/>
      <c r="U111" s="144"/>
      <c r="V111" s="322"/>
      <c r="W111" s="322"/>
      <c r="X111" s="322"/>
      <c r="AA111" s="68"/>
      <c r="AB111" s="68"/>
    </row>
    <row r="112" spans="1:28" s="145" customFormat="1" ht="11.7" customHeight="1">
      <c r="A112" s="147"/>
      <c r="B112" s="147"/>
      <c r="C112" s="147"/>
      <c r="D112" s="144"/>
      <c r="E112" s="144"/>
      <c r="F112" s="147"/>
      <c r="G112" s="147" t="s">
        <v>3773</v>
      </c>
      <c r="I112" s="144"/>
      <c r="J112" s="147" t="s">
        <v>6515</v>
      </c>
      <c r="K112" s="147"/>
      <c r="L112" s="147"/>
      <c r="M112" s="147"/>
      <c r="O112" s="147" t="s">
        <v>6511</v>
      </c>
      <c r="P112" s="144"/>
      <c r="Q112" s="4980">
        <v>1150000</v>
      </c>
      <c r="R112" s="4980"/>
      <c r="S112" s="230"/>
      <c r="T112" s="230"/>
      <c r="U112" s="144"/>
      <c r="V112" s="322"/>
      <c r="W112" s="322"/>
      <c r="X112" s="322"/>
      <c r="AA112" s="68"/>
      <c r="AB112" s="68"/>
    </row>
    <row r="113" spans="1:28" s="145" customFormat="1" ht="11.7" customHeight="1">
      <c r="A113" s="147"/>
      <c r="B113" s="147"/>
      <c r="C113" s="147"/>
      <c r="D113" s="144"/>
      <c r="E113" s="144"/>
      <c r="F113" s="147"/>
      <c r="G113" s="147" t="s">
        <v>6125</v>
      </c>
      <c r="H113" s="225" t="s">
        <v>2510</v>
      </c>
      <c r="I113" s="144"/>
      <c r="J113" s="225" t="s">
        <v>2445</v>
      </c>
      <c r="K113" s="147"/>
      <c r="L113" s="147"/>
      <c r="M113" s="147"/>
      <c r="O113" s="147"/>
      <c r="P113" s="144"/>
      <c r="Q113" s="4952" t="s">
        <v>6761</v>
      </c>
      <c r="R113" s="4952"/>
      <c r="S113" s="230"/>
      <c r="T113" s="230"/>
      <c r="U113" s="144"/>
      <c r="V113" s="322"/>
      <c r="W113" s="322"/>
      <c r="X113" s="322"/>
      <c r="AA113" s="68"/>
      <c r="AB113" s="68"/>
    </row>
    <row r="114" spans="1:28" ht="12.75" customHeight="1">
      <c r="G114" s="2009"/>
      <c r="H114" s="147" t="s">
        <v>2392</v>
      </c>
      <c r="J114" s="4962">
        <v>0.35</v>
      </c>
      <c r="K114" s="4962"/>
      <c r="L114" s="147"/>
      <c r="M114" s="147"/>
      <c r="N114" s="147"/>
      <c r="O114" s="147"/>
      <c r="P114" s="144"/>
      <c r="Q114" s="4985">
        <v>1105000</v>
      </c>
      <c r="R114" s="4985"/>
    </row>
    <row r="115" spans="1:28" ht="11.25" customHeight="1">
      <c r="G115" s="147"/>
      <c r="H115" s="147" t="s">
        <v>6101</v>
      </c>
      <c r="I115" s="144"/>
      <c r="J115" s="4963">
        <v>0.35</v>
      </c>
      <c r="K115" s="4963"/>
      <c r="L115" s="147"/>
      <c r="M115" s="147"/>
      <c r="N115" s="147"/>
      <c r="O115" s="147"/>
      <c r="P115" s="144"/>
      <c r="Q115" s="4979">
        <v>1225000</v>
      </c>
      <c r="R115" s="4979"/>
    </row>
    <row r="116" spans="1:28" ht="11.25" customHeight="1">
      <c r="A116" s="229"/>
      <c r="G116" s="147"/>
      <c r="H116" s="147" t="s">
        <v>3021</v>
      </c>
      <c r="I116" s="144"/>
      <c r="J116" s="4951">
        <v>0.3</v>
      </c>
      <c r="K116" s="4951"/>
      <c r="L116" s="147"/>
      <c r="M116" s="147"/>
      <c r="N116" s="147"/>
      <c r="O116" s="147"/>
      <c r="P116" s="144"/>
      <c r="Q116" s="4961">
        <v>1225000</v>
      </c>
      <c r="R116" s="4961"/>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7" customHeight="1">
      <c r="A118" s="147"/>
      <c r="B118" s="147"/>
      <c r="C118" s="147"/>
      <c r="D118" s="144"/>
      <c r="E118" s="144"/>
      <c r="G118" s="147" t="s">
        <v>6514</v>
      </c>
      <c r="H118" s="147"/>
      <c r="I118" s="144"/>
      <c r="J118" s="147" t="s">
        <v>6516</v>
      </c>
      <c r="K118" s="147"/>
      <c r="L118" s="147"/>
      <c r="M118" s="147"/>
      <c r="N118" s="147"/>
      <c r="O118" s="147"/>
      <c r="P118" s="144"/>
      <c r="Q118" s="4981"/>
      <c r="R118" s="4982"/>
      <c r="S118" s="230"/>
      <c r="T118" s="230"/>
      <c r="U118" s="144"/>
      <c r="V118" s="322"/>
      <c r="W118" s="322"/>
      <c r="X118" s="322"/>
      <c r="AA118" s="68"/>
      <c r="AB118" s="68"/>
    </row>
    <row r="119" spans="1:28" s="145" customFormat="1" ht="11.7" customHeight="1">
      <c r="A119" s="147"/>
      <c r="B119" s="147"/>
      <c r="C119" s="147"/>
      <c r="D119" s="144"/>
      <c r="E119" s="144"/>
      <c r="F119" s="147" t="s">
        <v>2218</v>
      </c>
      <c r="G119" s="147" t="s">
        <v>2444</v>
      </c>
      <c r="I119" s="144"/>
      <c r="J119" s="147" t="s">
        <v>3314</v>
      </c>
      <c r="K119" s="147"/>
      <c r="L119" s="147"/>
      <c r="M119" s="147"/>
      <c r="N119" s="147"/>
      <c r="O119" s="147"/>
      <c r="P119" s="144"/>
      <c r="Q119" s="4966">
        <v>4000000</v>
      </c>
      <c r="R119" s="4966"/>
      <c r="S119" s="230"/>
      <c r="T119" s="230"/>
      <c r="U119" s="144"/>
      <c r="V119" s="322"/>
      <c r="W119" s="322"/>
      <c r="X119" s="322"/>
      <c r="AA119" s="68"/>
      <c r="AB119" s="68"/>
    </row>
    <row r="120" spans="1:28" s="145" customFormat="1" ht="11.7" customHeight="1">
      <c r="A120" s="147"/>
      <c r="B120" s="147"/>
      <c r="C120" s="147"/>
      <c r="D120" s="144"/>
      <c r="E120" s="144"/>
      <c r="F120" s="147"/>
      <c r="G120" s="147" t="s">
        <v>6513</v>
      </c>
      <c r="H120" s="144"/>
      <c r="I120" s="144"/>
      <c r="J120" s="147" t="s">
        <v>6515</v>
      </c>
      <c r="K120" s="147"/>
      <c r="O120" s="147" t="s">
        <v>6509</v>
      </c>
      <c r="Q120" s="4959">
        <v>1035000</v>
      </c>
      <c r="R120" s="4960"/>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58">
        <v>0.05</v>
      </c>
      <c r="R122" s="4958"/>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56">
        <v>0.4</v>
      </c>
      <c r="R123" s="4956"/>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57">
        <v>0.02</v>
      </c>
      <c r="R124" s="4957"/>
      <c r="S124" s="144"/>
      <c r="T124" s="144"/>
      <c r="U124" s="144"/>
      <c r="V124" s="715"/>
      <c r="W124" s="715"/>
      <c r="X124" s="148"/>
      <c r="AA124" s="68"/>
      <c r="AB124" s="68"/>
    </row>
    <row r="125" spans="1:28" s="145" customFormat="1" ht="12.75" customHeight="1">
      <c r="A125" s="4940" t="s">
        <v>6757</v>
      </c>
      <c r="B125" s="4940"/>
      <c r="C125" s="2002"/>
      <c r="D125" s="4949" t="s">
        <v>6756</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40"/>
      <c r="B126" s="4940"/>
      <c r="C126" s="2001">
        <v>2022</v>
      </c>
      <c r="D126" s="4950"/>
      <c r="E126" s="239"/>
      <c r="F126" s="239"/>
      <c r="G126" s="239"/>
      <c r="H126" s="239"/>
      <c r="I126" s="239"/>
    </row>
    <row r="127" spans="1:28" ht="13.8">
      <c r="A127" s="4940"/>
      <c r="B127" s="4940"/>
      <c r="C127" s="147"/>
      <c r="D127" s="4950"/>
      <c r="H127" s="4964" t="s">
        <v>6755</v>
      </c>
      <c r="J127" s="142" t="s">
        <v>748</v>
      </c>
      <c r="K127" s="142"/>
      <c r="L127" s="223"/>
    </row>
    <row r="128" spans="1:28" ht="13.8">
      <c r="C128" s="715" t="s">
        <v>751</v>
      </c>
      <c r="D128" s="1304" t="s">
        <v>2995</v>
      </c>
      <c r="F128" s="715" t="s">
        <v>6753</v>
      </c>
      <c r="H128" s="4965"/>
      <c r="J128" s="312" t="s">
        <v>751</v>
      </c>
      <c r="K128" s="312" t="s">
        <v>749</v>
      </c>
      <c r="L128" s="313" t="s">
        <v>750</v>
      </c>
    </row>
    <row r="129" spans="2:37" ht="10.5" customHeight="1">
      <c r="C129" s="322">
        <v>0</v>
      </c>
      <c r="D129" s="662">
        <v>66564</v>
      </c>
      <c r="E129" s="1306" t="s">
        <v>6754</v>
      </c>
      <c r="F129" s="2000">
        <v>2.4</v>
      </c>
      <c r="G129" s="891" t="s">
        <v>1212</v>
      </c>
      <c r="H129" s="2003">
        <f>D129*F129</f>
        <v>159753.60000000001</v>
      </c>
      <c r="J129" s="322">
        <v>0</v>
      </c>
      <c r="K129" s="322">
        <v>0.7</v>
      </c>
      <c r="L129" s="322">
        <v>1</v>
      </c>
    </row>
    <row r="130" spans="2:37" ht="10.5" customHeight="1">
      <c r="C130" s="322">
        <v>1</v>
      </c>
      <c r="D130" s="662">
        <v>76305</v>
      </c>
      <c r="E130" s="1306" t="s">
        <v>6754</v>
      </c>
      <c r="F130" s="2000">
        <v>2.4</v>
      </c>
      <c r="G130" s="891" t="s">
        <v>1212</v>
      </c>
      <c r="H130" s="2003">
        <f t="shared" ref="H130:H133" si="0">D130*F130</f>
        <v>183132</v>
      </c>
      <c r="J130" s="322">
        <v>1</v>
      </c>
      <c r="K130" s="322">
        <v>0.75</v>
      </c>
      <c r="L130" s="322">
        <v>1.5</v>
      </c>
    </row>
    <row r="131" spans="2:37" ht="10.5" customHeight="1">
      <c r="C131" s="322">
        <v>2</v>
      </c>
      <c r="D131" s="662">
        <v>92789</v>
      </c>
      <c r="E131" s="1306" t="s">
        <v>6754</v>
      </c>
      <c r="F131" s="2000">
        <v>2.4</v>
      </c>
      <c r="G131" s="891" t="s">
        <v>1212</v>
      </c>
      <c r="H131" s="2003">
        <f t="shared" si="0"/>
        <v>222693.6</v>
      </c>
      <c r="J131" s="322">
        <v>2</v>
      </c>
      <c r="K131" s="322">
        <v>0.9</v>
      </c>
      <c r="L131" s="322">
        <v>3</v>
      </c>
    </row>
    <row r="132" spans="2:37" ht="10.5" customHeight="1">
      <c r="C132" s="322">
        <v>3</v>
      </c>
      <c r="D132" s="662">
        <v>120039</v>
      </c>
      <c r="E132" s="1306" t="s">
        <v>6754</v>
      </c>
      <c r="F132" s="2000">
        <v>2.4</v>
      </c>
      <c r="G132" s="891" t="s">
        <v>1212</v>
      </c>
      <c r="H132" s="2003">
        <f t="shared" si="0"/>
        <v>288093.59999999998</v>
      </c>
      <c r="J132" s="322">
        <v>3</v>
      </c>
      <c r="K132" s="322">
        <v>1.04</v>
      </c>
      <c r="L132" s="322">
        <v>4.5</v>
      </c>
    </row>
    <row r="133" spans="2:37" ht="10.5" customHeight="1">
      <c r="C133" s="322" t="s">
        <v>2996</v>
      </c>
      <c r="D133" s="662">
        <v>131765</v>
      </c>
      <c r="E133" s="1306" t="s">
        <v>6754</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506" t="s">
        <v>3402</v>
      </c>
      <c r="E137" s="236"/>
      <c r="F137" s="236"/>
    </row>
    <row r="138" spans="2:37" ht="10.5" customHeight="1">
      <c r="C138" s="3506"/>
      <c r="E138" s="236"/>
      <c r="F138" s="236"/>
    </row>
    <row r="139" spans="2:37" ht="10.5" customHeight="1">
      <c r="C139" s="3506"/>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3303</v>
      </c>
      <c r="O140" s="434" t="s">
        <v>3493</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3494</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3495</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3496</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6726</v>
      </c>
      <c r="J144" s="790" t="s">
        <v>2400</v>
      </c>
      <c r="K144" s="788" t="s">
        <v>6727</v>
      </c>
      <c r="L144" s="789" t="s">
        <v>399</v>
      </c>
      <c r="M144" s="1961" t="s">
        <v>1122</v>
      </c>
      <c r="N144" s="789" t="s">
        <v>1657</v>
      </c>
      <c r="O144" s="998" t="s">
        <v>3497</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3498</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3499</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6728</v>
      </c>
      <c r="L147" s="789" t="s">
        <v>399</v>
      </c>
      <c r="M147" s="1961" t="s">
        <v>1122</v>
      </c>
      <c r="N147" s="789" t="s">
        <v>1131</v>
      </c>
      <c r="O147" s="998" t="s">
        <v>3500</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6728</v>
      </c>
      <c r="L148" s="789" t="s">
        <v>399</v>
      </c>
      <c r="M148" s="1961" t="s">
        <v>1122</v>
      </c>
      <c r="N148" s="789" t="s">
        <v>1131</v>
      </c>
      <c r="O148" s="998" t="s">
        <v>3501</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3502</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3503</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6729</v>
      </c>
      <c r="L151" s="789" t="s">
        <v>399</v>
      </c>
      <c r="M151" s="1961" t="s">
        <v>1122</v>
      </c>
      <c r="N151" s="789" t="s">
        <v>1242</v>
      </c>
      <c r="O151" s="998" t="s">
        <v>3504</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3505</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3506</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3507</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3508</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3509</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6730</v>
      </c>
      <c r="L157" s="789" t="s">
        <v>399</v>
      </c>
      <c r="M157" s="1961" t="s">
        <v>2392</v>
      </c>
      <c r="N157" s="789" t="s">
        <v>1252</v>
      </c>
      <c r="O157" s="998" t="s">
        <v>3510</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3511</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3512</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3513</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3514</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6728</v>
      </c>
      <c r="L162" s="789" t="s">
        <v>399</v>
      </c>
      <c r="M162" s="1961" t="s">
        <v>1122</v>
      </c>
      <c r="N162" s="789" t="s">
        <v>1131</v>
      </c>
      <c r="O162" s="998" t="s">
        <v>3515</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3516</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3517</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3518</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6731</v>
      </c>
      <c r="L166" s="789" t="s">
        <v>399</v>
      </c>
      <c r="M166" s="1961" t="s">
        <v>2392</v>
      </c>
      <c r="N166" s="789" t="s">
        <v>154</v>
      </c>
      <c r="O166" s="998" t="s">
        <v>3519</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3520</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6728</v>
      </c>
      <c r="L168" s="789" t="s">
        <v>399</v>
      </c>
      <c r="M168" s="1961" t="s">
        <v>1122</v>
      </c>
      <c r="N168" s="789" t="s">
        <v>1131</v>
      </c>
      <c r="O168" s="998" t="s">
        <v>3521</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3522</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3523</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6728</v>
      </c>
      <c r="L171" s="789" t="s">
        <v>399</v>
      </c>
      <c r="M171" s="1961" t="s">
        <v>1122</v>
      </c>
      <c r="N171" s="789" t="s">
        <v>1131</v>
      </c>
      <c r="O171" s="998" t="s">
        <v>3524</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3525</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6728</v>
      </c>
      <c r="L173" s="789" t="s">
        <v>399</v>
      </c>
      <c r="M173" s="1961" t="s">
        <v>1122</v>
      </c>
      <c r="N173" s="789" t="s">
        <v>1131</v>
      </c>
      <c r="O173" s="998" t="s">
        <v>3526</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3527</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3528</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6730</v>
      </c>
      <c r="L176" s="789" t="s">
        <v>399</v>
      </c>
      <c r="M176" s="1961" t="s">
        <v>2392</v>
      </c>
      <c r="N176" s="789" t="s">
        <v>1252</v>
      </c>
      <c r="O176" s="998" t="s">
        <v>3529</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3530</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6728</v>
      </c>
      <c r="L178" s="789" t="s">
        <v>399</v>
      </c>
      <c r="M178" s="1961" t="s">
        <v>1122</v>
      </c>
      <c r="N178" s="789" t="s">
        <v>1131</v>
      </c>
      <c r="O178" s="998" t="s">
        <v>3531</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6729</v>
      </c>
      <c r="L179" s="789" t="s">
        <v>399</v>
      </c>
      <c r="M179" s="1961" t="s">
        <v>2392</v>
      </c>
      <c r="N179" s="789" t="s">
        <v>1242</v>
      </c>
      <c r="O179" s="998" t="s">
        <v>3532</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3533</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3534</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6728</v>
      </c>
      <c r="L182" s="789" t="s">
        <v>399</v>
      </c>
      <c r="M182" s="1961" t="s">
        <v>1122</v>
      </c>
      <c r="N182" s="789" t="s">
        <v>1131</v>
      </c>
      <c r="O182" s="998" t="s">
        <v>3535</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3536</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6728</v>
      </c>
      <c r="L184" s="789" t="s">
        <v>399</v>
      </c>
      <c r="M184" s="1961" t="s">
        <v>1122</v>
      </c>
      <c r="N184" s="789" t="s">
        <v>1131</v>
      </c>
      <c r="O184" s="998" t="s">
        <v>3537</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3538</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3539</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3540</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6728</v>
      </c>
      <c r="L188" s="789" t="s">
        <v>399</v>
      </c>
      <c r="M188" s="1961" t="s">
        <v>1122</v>
      </c>
      <c r="N188" s="789" t="s">
        <v>1131</v>
      </c>
      <c r="O188" s="998" t="s">
        <v>3541</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3542</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3543</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3544</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3545</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3546</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3547</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3548</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6728</v>
      </c>
      <c r="L196" s="789" t="s">
        <v>399</v>
      </c>
      <c r="M196" s="1961" t="s">
        <v>1122</v>
      </c>
      <c r="N196" s="789" t="s">
        <v>1131</v>
      </c>
      <c r="O196" s="998" t="s">
        <v>3549</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3550</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6728</v>
      </c>
      <c r="L198" s="789" t="s">
        <v>399</v>
      </c>
      <c r="M198" s="1961" t="s">
        <v>1122</v>
      </c>
      <c r="N198" s="789" t="s">
        <v>1131</v>
      </c>
      <c r="O198" s="998" t="s">
        <v>3551</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3552</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6728</v>
      </c>
      <c r="L200" s="789" t="s">
        <v>399</v>
      </c>
      <c r="M200" s="1961" t="s">
        <v>1122</v>
      </c>
      <c r="N200" s="789" t="s">
        <v>1131</v>
      </c>
      <c r="O200" s="998" t="s">
        <v>3553</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3554</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3555</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3556</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3557</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3558</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3559</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6728</v>
      </c>
      <c r="L207" s="789" t="s">
        <v>399</v>
      </c>
      <c r="M207" s="1961" t="s">
        <v>1122</v>
      </c>
      <c r="N207" s="789" t="s">
        <v>1131</v>
      </c>
      <c r="O207" s="998" t="s">
        <v>3560</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3561</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3562</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3563</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3564</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6731</v>
      </c>
      <c r="L212" s="789" t="s">
        <v>399</v>
      </c>
      <c r="M212" s="1961" t="s">
        <v>2392</v>
      </c>
      <c r="N212" s="789" t="s">
        <v>154</v>
      </c>
      <c r="O212" s="998" t="s">
        <v>3565</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3566</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6728</v>
      </c>
      <c r="L214" s="789" t="s">
        <v>399</v>
      </c>
      <c r="M214" s="1961" t="s">
        <v>1122</v>
      </c>
      <c r="N214" s="789" t="s">
        <v>1131</v>
      </c>
      <c r="O214" s="998" t="s">
        <v>3567</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6728</v>
      </c>
      <c r="L215" s="789" t="s">
        <v>399</v>
      </c>
      <c r="M215" s="1961" t="s">
        <v>1122</v>
      </c>
      <c r="N215" s="789" t="s">
        <v>1131</v>
      </c>
      <c r="O215" s="998" t="s">
        <v>3568</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6732</v>
      </c>
      <c r="L216" s="789" t="s">
        <v>399</v>
      </c>
      <c r="M216" s="1961" t="s">
        <v>1122</v>
      </c>
      <c r="N216" s="789" t="s">
        <v>1242</v>
      </c>
      <c r="O216" s="998" t="s">
        <v>3569</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3570</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3571</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6728</v>
      </c>
      <c r="L219" s="789" t="s">
        <v>399</v>
      </c>
      <c r="M219" s="1961" t="s">
        <v>1122</v>
      </c>
      <c r="N219" s="789" t="s">
        <v>1131</v>
      </c>
      <c r="O219" s="998" t="s">
        <v>3572</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3573</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3574</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3575</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3576</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6729</v>
      </c>
      <c r="L224" s="789" t="s">
        <v>399</v>
      </c>
      <c r="M224" s="1961" t="s">
        <v>2392</v>
      </c>
      <c r="N224" s="789" t="s">
        <v>1242</v>
      </c>
      <c r="O224" s="998" t="s">
        <v>3577</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3578</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3579</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3580</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3581</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6733</v>
      </c>
      <c r="L229" s="789" t="s">
        <v>399</v>
      </c>
      <c r="M229" s="1961" t="s">
        <v>1122</v>
      </c>
      <c r="N229" s="789" t="s">
        <v>1248</v>
      </c>
      <c r="O229" s="998" t="s">
        <v>3582</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61" t="s">
        <v>2392</v>
      </c>
      <c r="N230" s="789" t="s">
        <v>1252</v>
      </c>
      <c r="O230" s="998" t="s">
        <v>3583</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3584</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3585</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3586</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3587</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3588</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6731</v>
      </c>
      <c r="L236" s="789" t="s">
        <v>399</v>
      </c>
      <c r="M236" s="1961" t="s">
        <v>2392</v>
      </c>
      <c r="N236" s="789" t="s">
        <v>154</v>
      </c>
      <c r="O236" s="998" t="s">
        <v>3589</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6730</v>
      </c>
      <c r="L237" s="789" t="s">
        <v>399</v>
      </c>
      <c r="M237" s="1961" t="s">
        <v>2392</v>
      </c>
      <c r="N237" s="789" t="s">
        <v>1252</v>
      </c>
      <c r="O237" s="998" t="s">
        <v>3590</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3591</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3592</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3593</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3594</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3595</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3596</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61" t="s">
        <v>2392</v>
      </c>
      <c r="N244" s="789" t="s">
        <v>1131</v>
      </c>
      <c r="O244" s="998" t="s">
        <v>3597</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3598</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6731</v>
      </c>
      <c r="L246" s="789" t="s">
        <v>399</v>
      </c>
      <c r="M246" s="1961" t="s">
        <v>1122</v>
      </c>
      <c r="N246" s="789" t="s">
        <v>154</v>
      </c>
      <c r="O246" s="998" t="s">
        <v>3599</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6728</v>
      </c>
      <c r="L247" s="789" t="s">
        <v>399</v>
      </c>
      <c r="M247" s="1961" t="s">
        <v>1122</v>
      </c>
      <c r="N247" s="789" t="s">
        <v>1131</v>
      </c>
      <c r="O247" s="998" t="s">
        <v>3600</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3601</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3602</v>
      </c>
      <c r="P249" s="241" t="s">
        <v>2149</v>
      </c>
      <c r="Q249" s="241"/>
      <c r="R249" s="147"/>
      <c r="S249" s="236"/>
      <c r="T249" s="392" t="s">
        <v>3780</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6728</v>
      </c>
      <c r="L250" s="789" t="s">
        <v>399</v>
      </c>
      <c r="M250" s="1961" t="s">
        <v>1122</v>
      </c>
      <c r="N250" s="789" t="s">
        <v>1131</v>
      </c>
      <c r="O250" s="998" t="s">
        <v>3603</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6734</v>
      </c>
      <c r="L251" s="789" t="s">
        <v>399</v>
      </c>
      <c r="M251" s="1961" t="s">
        <v>2392</v>
      </c>
      <c r="N251" s="789" t="s">
        <v>1242</v>
      </c>
      <c r="O251" s="998" t="s">
        <v>3604</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6728</v>
      </c>
      <c r="L252" s="789" t="s">
        <v>399</v>
      </c>
      <c r="M252" s="1961" t="s">
        <v>1122</v>
      </c>
      <c r="N252" s="789" t="s">
        <v>1131</v>
      </c>
      <c r="O252" s="998" t="s">
        <v>3605</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3606</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6728</v>
      </c>
      <c r="L254" s="789" t="s">
        <v>399</v>
      </c>
      <c r="M254" s="1961" t="s">
        <v>1122</v>
      </c>
      <c r="N254" s="789" t="s">
        <v>1131</v>
      </c>
      <c r="O254" s="998" t="s">
        <v>3607</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3608</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3609</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3610</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3611</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3612</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3613</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6730</v>
      </c>
      <c r="L261" s="789" t="s">
        <v>399</v>
      </c>
      <c r="M261" s="1961" t="s">
        <v>1122</v>
      </c>
      <c r="N261" s="789" t="s">
        <v>1252</v>
      </c>
      <c r="O261" s="998" t="s">
        <v>3614</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6728</v>
      </c>
      <c r="L262" s="789" t="s">
        <v>399</v>
      </c>
      <c r="M262" s="1961" t="s">
        <v>1122</v>
      </c>
      <c r="N262" s="789" t="s">
        <v>1131</v>
      </c>
      <c r="O262" s="998" t="s">
        <v>3615</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3616</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3617</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3618</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3619</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6728</v>
      </c>
      <c r="L267" s="789" t="s">
        <v>399</v>
      </c>
      <c r="M267" s="1961" t="s">
        <v>1122</v>
      </c>
      <c r="N267" s="789" t="s">
        <v>1131</v>
      </c>
      <c r="O267" s="998" t="s">
        <v>3620</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3621</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6735</v>
      </c>
      <c r="L269" s="789" t="s">
        <v>398</v>
      </c>
      <c r="M269" s="1961" t="s">
        <v>2392</v>
      </c>
      <c r="N269" s="789" t="s">
        <v>154</v>
      </c>
      <c r="O269" s="998" t="s">
        <v>3622</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3623</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6736</v>
      </c>
      <c r="L271" s="789" t="s">
        <v>398</v>
      </c>
      <c r="M271" s="1961" t="s">
        <v>2392</v>
      </c>
      <c r="N271" s="789" t="s">
        <v>154</v>
      </c>
      <c r="O271" s="998" t="s">
        <v>3624</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3625</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3626</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3627</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3628</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3629</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3630</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3631</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3632</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3633</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3634</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3635</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3636</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6729</v>
      </c>
      <c r="L284" s="789" t="s">
        <v>399</v>
      </c>
      <c r="M284" s="1961" t="s">
        <v>2392</v>
      </c>
      <c r="N284" s="789" t="s">
        <v>1242</v>
      </c>
      <c r="O284" s="998" t="s">
        <v>3637</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3638</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3639</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3640</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6728</v>
      </c>
      <c r="L288" s="789" t="s">
        <v>399</v>
      </c>
      <c r="M288" s="1961" t="s">
        <v>1122</v>
      </c>
      <c r="N288" s="789" t="s">
        <v>1131</v>
      </c>
      <c r="O288" s="998" t="s">
        <v>3641</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3642</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3643</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3644</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3645</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3646</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3647</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3648</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3649</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3650</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3651</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3652</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3653</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47">
        <v>2019</v>
      </c>
      <c r="D302" s="4948"/>
      <c r="E302" s="4948"/>
      <c r="F302" s="4948"/>
      <c r="G302" s="4947">
        <v>2020</v>
      </c>
      <c r="H302" s="4947"/>
      <c r="I302" s="4947"/>
      <c r="J302" s="4947"/>
      <c r="L302" s="4953" t="s">
        <v>4058</v>
      </c>
      <c r="M302" s="4954"/>
      <c r="N302" s="4954"/>
      <c r="O302" s="4955"/>
      <c r="P302" s="241" t="s">
        <v>740</v>
      </c>
      <c r="Q302" s="241"/>
      <c r="R302" s="147"/>
      <c r="S302" s="236"/>
      <c r="T302" s="236" t="s">
        <v>643</v>
      </c>
      <c r="U302" s="236" t="s">
        <v>2020</v>
      </c>
      <c r="W302" s="44" t="s">
        <v>1361</v>
      </c>
      <c r="X302" s="44" t="s">
        <v>3018</v>
      </c>
      <c r="AA302"/>
      <c r="AB302"/>
      <c r="AC302" s="380"/>
      <c r="AD302" s="68"/>
    </row>
    <row r="303" spans="3:30" ht="10.5" customHeight="1">
      <c r="C303" s="4941" t="s">
        <v>3962</v>
      </c>
      <c r="D303" s="4944" t="s">
        <v>3963</v>
      </c>
      <c r="E303" s="4944" t="s">
        <v>3964</v>
      </c>
      <c r="F303" s="4944" t="s">
        <v>3965</v>
      </c>
      <c r="G303" s="4941" t="s">
        <v>3962</v>
      </c>
      <c r="H303" s="4944" t="s">
        <v>3963</v>
      </c>
      <c r="I303" s="4944" t="s">
        <v>3964</v>
      </c>
      <c r="J303" s="4944" t="s">
        <v>3965</v>
      </c>
      <c r="L303" s="4941" t="s">
        <v>3962</v>
      </c>
      <c r="M303" s="4944" t="s">
        <v>3963</v>
      </c>
      <c r="N303" s="4944" t="s">
        <v>3964</v>
      </c>
      <c r="O303" s="4944" t="s">
        <v>3965</v>
      </c>
      <c r="P303" s="241" t="s">
        <v>2227</v>
      </c>
      <c r="Q303" s="241"/>
      <c r="R303" s="147"/>
      <c r="S303" s="236"/>
      <c r="T303" s="392" t="s">
        <v>148</v>
      </c>
      <c r="U303" s="392" t="s">
        <v>1738</v>
      </c>
      <c r="W303" s="44" t="s">
        <v>1479</v>
      </c>
      <c r="X303" s="44" t="s">
        <v>3018</v>
      </c>
      <c r="AA303"/>
      <c r="AB303"/>
      <c r="AC303" s="68"/>
      <c r="AD303" s="68"/>
    </row>
    <row r="304" spans="3:30" ht="10.5" customHeight="1">
      <c r="C304" s="4942"/>
      <c r="D304" s="4945"/>
      <c r="E304" s="4945"/>
      <c r="F304" s="4945"/>
      <c r="G304" s="4942"/>
      <c r="H304" s="4945"/>
      <c r="I304" s="4945"/>
      <c r="J304" s="4945"/>
      <c r="L304" s="4942"/>
      <c r="M304" s="4945"/>
      <c r="N304" s="4945"/>
      <c r="O304" s="4945"/>
      <c r="P304" s="241" t="s">
        <v>2228</v>
      </c>
      <c r="Q304" s="241"/>
      <c r="R304" s="147"/>
      <c r="S304" s="236"/>
      <c r="T304" s="392" t="s">
        <v>189</v>
      </c>
      <c r="U304" s="392" t="s">
        <v>585</v>
      </c>
      <c r="W304" s="44" t="s">
        <v>1967</v>
      </c>
      <c r="X304" s="44" t="s">
        <v>3018</v>
      </c>
      <c r="AA304"/>
      <c r="AB304"/>
      <c r="AC304" s="380"/>
      <c r="AD304" s="68"/>
    </row>
    <row r="305" spans="3:30" ht="10.5" customHeight="1">
      <c r="C305" s="4942"/>
      <c r="D305" s="4945"/>
      <c r="E305" s="4945"/>
      <c r="F305" s="4945"/>
      <c r="G305" s="4942"/>
      <c r="H305" s="4945"/>
      <c r="I305" s="4945"/>
      <c r="J305" s="4945"/>
      <c r="L305" s="4942"/>
      <c r="M305" s="4945"/>
      <c r="N305" s="4945"/>
      <c r="O305" s="4945"/>
      <c r="P305" s="241" t="s">
        <v>2230</v>
      </c>
      <c r="Q305" s="241"/>
      <c r="R305" s="147"/>
      <c r="S305" s="236"/>
      <c r="T305" s="392" t="s">
        <v>2365</v>
      </c>
      <c r="U305" s="392" t="s">
        <v>1864</v>
      </c>
      <c r="W305" s="44" t="s">
        <v>1969</v>
      </c>
      <c r="X305" s="44" t="s">
        <v>3018</v>
      </c>
      <c r="AA305"/>
      <c r="AB305"/>
      <c r="AC305" s="380"/>
      <c r="AD305" s="68"/>
    </row>
    <row r="306" spans="3:30" ht="10.5" customHeight="1">
      <c r="C306" s="4942"/>
      <c r="D306" s="4945"/>
      <c r="E306" s="4945"/>
      <c r="F306" s="4945"/>
      <c r="G306" s="4942"/>
      <c r="H306" s="4945"/>
      <c r="I306" s="4945"/>
      <c r="J306" s="4945"/>
      <c r="L306" s="4942"/>
      <c r="M306" s="4945"/>
      <c r="N306" s="4945"/>
      <c r="O306" s="4945"/>
      <c r="P306" s="241" t="s">
        <v>2232</v>
      </c>
      <c r="Q306" s="241"/>
      <c r="R306" s="147"/>
      <c r="S306" s="236"/>
      <c r="T306" s="392" t="s">
        <v>737</v>
      </c>
      <c r="U306" s="392" t="s">
        <v>100</v>
      </c>
      <c r="W306" s="44" t="s">
        <v>1352</v>
      </c>
      <c r="X306" s="44" t="s">
        <v>3018</v>
      </c>
      <c r="AA306"/>
      <c r="AB306"/>
      <c r="AC306" s="380"/>
      <c r="AD306" s="68"/>
    </row>
    <row r="307" spans="3:30" ht="10.5" customHeight="1">
      <c r="C307" s="4942"/>
      <c r="D307" s="4945"/>
      <c r="E307" s="4945"/>
      <c r="F307" s="4945"/>
      <c r="G307" s="4942"/>
      <c r="H307" s="4945"/>
      <c r="I307" s="4945"/>
      <c r="J307" s="4945"/>
      <c r="L307" s="4942"/>
      <c r="M307" s="4945"/>
      <c r="N307" s="4945"/>
      <c r="O307" s="4945"/>
      <c r="P307" s="241" t="s">
        <v>2233</v>
      </c>
      <c r="Q307" s="241"/>
      <c r="R307" s="147"/>
      <c r="S307" s="236"/>
      <c r="T307" s="392" t="s">
        <v>739</v>
      </c>
      <c r="U307" s="392" t="s">
        <v>116</v>
      </c>
      <c r="W307" s="44" t="s">
        <v>1453</v>
      </c>
      <c r="X307" s="44" t="s">
        <v>3018</v>
      </c>
      <c r="AA307"/>
      <c r="AB307"/>
      <c r="AC307" s="380"/>
      <c r="AD307" s="68"/>
    </row>
    <row r="308" spans="3:30" ht="10.5" customHeight="1">
      <c r="C308" s="4943"/>
      <c r="D308" s="4946"/>
      <c r="E308" s="4946"/>
      <c r="F308" s="4946"/>
      <c r="G308" s="4943"/>
      <c r="H308" s="4946"/>
      <c r="I308" s="4946"/>
      <c r="J308" s="4946"/>
      <c r="L308" s="4943"/>
      <c r="M308" s="4946"/>
      <c r="N308" s="4946"/>
      <c r="O308" s="4946"/>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4045</v>
      </c>
      <c r="H309" s="1468">
        <v>0</v>
      </c>
      <c r="I309" s="1468">
        <v>0</v>
      </c>
      <c r="J309" s="1469">
        <v>0</v>
      </c>
      <c r="K309" s="1460"/>
      <c r="L309" s="1452" t="s">
        <v>4045</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4092</v>
      </c>
      <c r="D310" s="1458">
        <v>0</v>
      </c>
      <c r="E310" s="1458">
        <v>0</v>
      </c>
      <c r="F310" s="1459">
        <v>0</v>
      </c>
      <c r="G310" s="1470" t="s">
        <v>4092</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4093</v>
      </c>
      <c r="D311" s="1458">
        <v>0</v>
      </c>
      <c r="E311" s="1458">
        <v>0</v>
      </c>
      <c r="F311" s="1459">
        <v>0</v>
      </c>
      <c r="G311" s="1470" t="s">
        <v>4093</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4094</v>
      </c>
      <c r="D312" s="1458">
        <v>0</v>
      </c>
      <c r="E312" s="1458">
        <v>0</v>
      </c>
      <c r="F312" s="1459">
        <v>0</v>
      </c>
      <c r="G312" s="1470" t="s">
        <v>4094</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4095</v>
      </c>
      <c r="D313" s="1458">
        <v>0</v>
      </c>
      <c r="E313" s="1458">
        <v>0</v>
      </c>
      <c r="F313" s="1459">
        <v>0</v>
      </c>
      <c r="G313" s="1470" t="s">
        <v>4095</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4096</v>
      </c>
      <c r="D314" s="1458">
        <v>0</v>
      </c>
      <c r="E314" s="1458">
        <v>0</v>
      </c>
      <c r="F314" s="1459">
        <v>0</v>
      </c>
      <c r="G314" s="1470" t="s">
        <v>4096</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4097</v>
      </c>
      <c r="D315" s="1458">
        <v>0</v>
      </c>
      <c r="E315" s="1458">
        <v>0</v>
      </c>
      <c r="F315" s="1459">
        <v>0</v>
      </c>
      <c r="G315" s="1470" t="s">
        <v>4097</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4098</v>
      </c>
      <c r="D316" s="1458">
        <v>0</v>
      </c>
      <c r="E316" s="1458">
        <v>0</v>
      </c>
      <c r="F316" s="1459">
        <v>0</v>
      </c>
      <c r="G316" s="1470" t="s">
        <v>4098</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4099</v>
      </c>
      <c r="D317" s="1458">
        <v>1</v>
      </c>
      <c r="E317" s="1458">
        <v>0</v>
      </c>
      <c r="F317" s="1459">
        <v>1</v>
      </c>
      <c r="G317" s="1470" t="s">
        <v>4099</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4100</v>
      </c>
      <c r="D318" s="1458">
        <v>0</v>
      </c>
      <c r="E318" s="1458">
        <v>0</v>
      </c>
      <c r="F318" s="1459">
        <v>0</v>
      </c>
      <c r="G318" s="1470" t="s">
        <v>4100</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4101</v>
      </c>
      <c r="D319" s="1458">
        <v>0</v>
      </c>
      <c r="E319" s="1458">
        <v>0</v>
      </c>
      <c r="F319" s="1459">
        <v>0</v>
      </c>
      <c r="G319" s="1470" t="s">
        <v>4101</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4102</v>
      </c>
      <c r="D320" s="1458">
        <v>0</v>
      </c>
      <c r="E320" s="1458">
        <v>0</v>
      </c>
      <c r="F320" s="1459">
        <v>0</v>
      </c>
      <c r="G320" s="1470" t="s">
        <v>4102</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4103</v>
      </c>
      <c r="D321" s="1458">
        <v>1</v>
      </c>
      <c r="E321" s="1458">
        <v>0</v>
      </c>
      <c r="F321" s="1459">
        <v>1</v>
      </c>
      <c r="G321" s="1470" t="s">
        <v>4103</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4104</v>
      </c>
      <c r="D322" s="1458">
        <v>0</v>
      </c>
      <c r="E322" s="1458">
        <v>0</v>
      </c>
      <c r="F322" s="1459">
        <v>0</v>
      </c>
      <c r="G322" s="1470" t="s">
        <v>4104</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4105</v>
      </c>
      <c r="D323" s="1458">
        <v>0</v>
      </c>
      <c r="E323" s="1458">
        <v>0</v>
      </c>
      <c r="F323" s="1459">
        <v>0</v>
      </c>
      <c r="G323" s="1470" t="s">
        <v>4105</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4106</v>
      </c>
      <c r="D324" s="1458">
        <v>1</v>
      </c>
      <c r="E324" s="1458">
        <v>1</v>
      </c>
      <c r="F324" s="1459">
        <v>2</v>
      </c>
      <c r="G324" s="1470" t="s">
        <v>4106</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4107</v>
      </c>
      <c r="D325" s="1458">
        <v>0</v>
      </c>
      <c r="E325" s="1458">
        <v>0</v>
      </c>
      <c r="F325" s="1459">
        <v>0</v>
      </c>
      <c r="G325" s="1470" t="s">
        <v>4107</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4108</v>
      </c>
      <c r="D326" s="1458">
        <v>0</v>
      </c>
      <c r="E326" s="1458">
        <v>0</v>
      </c>
      <c r="F326" s="1459">
        <v>0</v>
      </c>
      <c r="G326" s="1470" t="s">
        <v>4108</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4109</v>
      </c>
      <c r="D327" s="1458">
        <v>0</v>
      </c>
      <c r="E327" s="1458">
        <v>0</v>
      </c>
      <c r="F327" s="1459">
        <v>0</v>
      </c>
      <c r="G327" s="1470" t="s">
        <v>4109</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4110</v>
      </c>
      <c r="D328" s="1458">
        <v>0</v>
      </c>
      <c r="E328" s="1458">
        <v>0</v>
      </c>
      <c r="F328" s="1459">
        <v>0</v>
      </c>
      <c r="G328" s="1470" t="s">
        <v>4110</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4111</v>
      </c>
      <c r="D329" s="1458">
        <v>0</v>
      </c>
      <c r="E329" s="1458">
        <v>0</v>
      </c>
      <c r="F329" s="1459">
        <v>0</v>
      </c>
      <c r="G329" s="1470" t="s">
        <v>4111</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4112</v>
      </c>
      <c r="D330" s="1458">
        <v>0</v>
      </c>
      <c r="E330" s="1458">
        <v>0</v>
      </c>
      <c r="F330" s="1459">
        <v>0</v>
      </c>
      <c r="G330" s="1470" t="s">
        <v>4112</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4113</v>
      </c>
      <c r="D331" s="1458">
        <v>0</v>
      </c>
      <c r="E331" s="1458">
        <v>0</v>
      </c>
      <c r="F331" s="1459">
        <v>0</v>
      </c>
      <c r="G331" s="1470" t="s">
        <v>4113</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4114</v>
      </c>
      <c r="D332" s="1458">
        <v>0</v>
      </c>
      <c r="E332" s="1458">
        <v>0</v>
      </c>
      <c r="F332" s="1459">
        <v>0</v>
      </c>
      <c r="G332" s="1470" t="s">
        <v>4114</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4115</v>
      </c>
      <c r="D333" s="1458">
        <v>1</v>
      </c>
      <c r="E333" s="1458">
        <v>1</v>
      </c>
      <c r="F333" s="1459">
        <v>2</v>
      </c>
      <c r="G333" s="1470" t="s">
        <v>4115</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4116</v>
      </c>
      <c r="D334" s="1458">
        <v>0</v>
      </c>
      <c r="E334" s="1458">
        <v>0</v>
      </c>
      <c r="F334" s="1459">
        <v>0</v>
      </c>
      <c r="G334" s="1470" t="s">
        <v>4116</v>
      </c>
      <c r="H334" s="1456">
        <v>0</v>
      </c>
      <c r="I334" s="1456">
        <v>0</v>
      </c>
      <c r="J334" s="1471">
        <v>0</v>
      </c>
      <c r="K334" s="1460"/>
      <c r="L334" s="1454">
        <v>13011970400</v>
      </c>
      <c r="M334" s="1455">
        <v>0</v>
      </c>
      <c r="N334" s="1455">
        <v>0</v>
      </c>
      <c r="O334" s="1455">
        <v>0</v>
      </c>
      <c r="P334" s="241" t="s">
        <v>1796</v>
      </c>
      <c r="Q334" s="241"/>
      <c r="R334" s="147"/>
      <c r="S334" s="236"/>
      <c r="T334" s="236" t="s">
        <v>3781</v>
      </c>
      <c r="U334" s="236" t="s">
        <v>618</v>
      </c>
      <c r="W334" s="44" t="s">
        <v>2315</v>
      </c>
      <c r="X334" s="44" t="s">
        <v>3018</v>
      </c>
      <c r="AA334"/>
      <c r="AB334"/>
      <c r="AC334" s="68"/>
      <c r="AD334" s="68"/>
    </row>
    <row r="335" spans="3:30" ht="10.5" customHeight="1">
      <c r="C335" s="1461" t="s">
        <v>4117</v>
      </c>
      <c r="D335" s="1458">
        <v>1</v>
      </c>
      <c r="E335" s="1458">
        <v>1</v>
      </c>
      <c r="F335" s="1459">
        <v>2</v>
      </c>
      <c r="G335" s="1470" t="s">
        <v>4117</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4118</v>
      </c>
      <c r="D336" s="1458">
        <v>0</v>
      </c>
      <c r="E336" s="1458">
        <v>1</v>
      </c>
      <c r="F336" s="1459">
        <v>1</v>
      </c>
      <c r="G336" s="1470" t="s">
        <v>4118</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4119</v>
      </c>
      <c r="D337" s="1458">
        <v>0</v>
      </c>
      <c r="E337" s="1458">
        <v>1</v>
      </c>
      <c r="F337" s="1459">
        <v>1</v>
      </c>
      <c r="G337" s="1470" t="s">
        <v>4119</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4120</v>
      </c>
      <c r="D338" s="1458">
        <v>0</v>
      </c>
      <c r="E338" s="1458">
        <v>1</v>
      </c>
      <c r="F338" s="1459">
        <v>1</v>
      </c>
      <c r="G338" s="1470" t="s">
        <v>4120</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4121</v>
      </c>
      <c r="D339" s="1458">
        <v>0</v>
      </c>
      <c r="E339" s="1458">
        <v>0</v>
      </c>
      <c r="F339" s="1459">
        <v>0</v>
      </c>
      <c r="G339" s="1470" t="s">
        <v>4121</v>
      </c>
      <c r="H339" s="1456">
        <v>0</v>
      </c>
      <c r="I339" s="1456">
        <v>0</v>
      </c>
      <c r="J339" s="1471">
        <v>0</v>
      </c>
      <c r="K339" s="1460"/>
      <c r="L339" s="1454">
        <v>13013180107</v>
      </c>
      <c r="M339" s="1455">
        <v>0</v>
      </c>
      <c r="N339" s="1455">
        <v>0</v>
      </c>
      <c r="O339" s="1455">
        <v>0</v>
      </c>
      <c r="P339" s="241" t="s">
        <v>1556</v>
      </c>
      <c r="Q339" s="241"/>
      <c r="R339" s="147"/>
      <c r="S339" s="236"/>
      <c r="T339" s="236" t="s">
        <v>6090</v>
      </c>
      <c r="U339" s="236" t="s">
        <v>2287</v>
      </c>
      <c r="W339" s="44" t="s">
        <v>1766</v>
      </c>
      <c r="X339" s="44" t="s">
        <v>3018</v>
      </c>
      <c r="AA339"/>
      <c r="AB339"/>
      <c r="AC339" s="68"/>
      <c r="AD339" s="68"/>
    </row>
    <row r="340" spans="3:30" ht="10.5" customHeight="1">
      <c r="C340" s="1461" t="s">
        <v>4122</v>
      </c>
      <c r="D340" s="1458">
        <v>0</v>
      </c>
      <c r="E340" s="1458">
        <v>1</v>
      </c>
      <c r="F340" s="1459">
        <v>1</v>
      </c>
      <c r="G340" s="1470" t="s">
        <v>4122</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4123</v>
      </c>
      <c r="D341" s="1458">
        <v>0</v>
      </c>
      <c r="E341" s="1458">
        <v>0</v>
      </c>
      <c r="F341" s="1459">
        <v>0</v>
      </c>
      <c r="G341" s="1470" t="s">
        <v>4123</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4124</v>
      </c>
      <c r="D342" s="1458">
        <v>0</v>
      </c>
      <c r="E342" s="1458">
        <v>0</v>
      </c>
      <c r="F342" s="1459">
        <v>0</v>
      </c>
      <c r="G342" s="1470" t="s">
        <v>4124</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4125</v>
      </c>
      <c r="D343" s="1458">
        <v>0</v>
      </c>
      <c r="E343" s="1458">
        <v>0</v>
      </c>
      <c r="F343" s="1459">
        <v>0</v>
      </c>
      <c r="G343" s="1470" t="s">
        <v>4125</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4126</v>
      </c>
      <c r="D344" s="1458">
        <v>1</v>
      </c>
      <c r="E344" s="1458">
        <v>1</v>
      </c>
      <c r="F344" s="1459">
        <v>2</v>
      </c>
      <c r="G344" s="1470" t="s">
        <v>4126</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4127</v>
      </c>
      <c r="D345" s="1458">
        <v>1</v>
      </c>
      <c r="E345" s="1458">
        <v>1</v>
      </c>
      <c r="F345" s="1459">
        <v>2</v>
      </c>
      <c r="G345" s="1470" t="s">
        <v>4127</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4128</v>
      </c>
      <c r="D346" s="1458">
        <v>1</v>
      </c>
      <c r="E346" s="1458">
        <v>1</v>
      </c>
      <c r="F346" s="1459">
        <v>2</v>
      </c>
      <c r="G346" s="1470" t="s">
        <v>4128</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4129</v>
      </c>
      <c r="D347" s="1458">
        <v>1</v>
      </c>
      <c r="E347" s="1458">
        <v>1</v>
      </c>
      <c r="F347" s="1459">
        <v>2</v>
      </c>
      <c r="G347" s="1470" t="s">
        <v>4129</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4130</v>
      </c>
      <c r="D348" s="1458">
        <v>1</v>
      </c>
      <c r="E348" s="1458">
        <v>1</v>
      </c>
      <c r="F348" s="1459">
        <v>2</v>
      </c>
      <c r="G348" s="1470" t="s">
        <v>4130</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4131</v>
      </c>
      <c r="D349" s="1458">
        <v>0</v>
      </c>
      <c r="E349" s="1458">
        <v>0</v>
      </c>
      <c r="F349" s="1459">
        <v>0</v>
      </c>
      <c r="G349" s="1470" t="s">
        <v>4131</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4132</v>
      </c>
      <c r="D350" s="1458">
        <v>1</v>
      </c>
      <c r="E350" s="1458">
        <v>1</v>
      </c>
      <c r="F350" s="1459">
        <v>2</v>
      </c>
      <c r="G350" s="1470" t="s">
        <v>4132</v>
      </c>
      <c r="H350" s="1456">
        <v>1</v>
      </c>
      <c r="I350" s="1456" t="s">
        <v>3906</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4133</v>
      </c>
      <c r="D351" s="1458">
        <v>1</v>
      </c>
      <c r="E351" s="1458">
        <v>1</v>
      </c>
      <c r="F351" s="1459">
        <v>2</v>
      </c>
      <c r="G351" s="1470" t="s">
        <v>4133</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4134</v>
      </c>
      <c r="D352" s="1458">
        <v>1</v>
      </c>
      <c r="E352" s="1458">
        <v>1</v>
      </c>
      <c r="F352" s="1459">
        <v>2</v>
      </c>
      <c r="G352" s="1470" t="s">
        <v>4134</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4135</v>
      </c>
      <c r="D353" s="1458">
        <v>1</v>
      </c>
      <c r="E353" s="1458">
        <v>1</v>
      </c>
      <c r="F353" s="1459">
        <v>2</v>
      </c>
      <c r="G353" s="1470" t="s">
        <v>4135</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4136</v>
      </c>
      <c r="D354" s="1458">
        <v>1</v>
      </c>
      <c r="E354" s="1458">
        <v>1</v>
      </c>
      <c r="F354" s="1459">
        <v>2</v>
      </c>
      <c r="G354" s="1470" t="s">
        <v>4136</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4137</v>
      </c>
      <c r="D355" s="1458">
        <v>0</v>
      </c>
      <c r="E355" s="1458">
        <v>1</v>
      </c>
      <c r="F355" s="1459">
        <v>1</v>
      </c>
      <c r="G355" s="1470" t="s">
        <v>4137</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4138</v>
      </c>
      <c r="D356" s="1458">
        <v>1</v>
      </c>
      <c r="E356" s="1458">
        <v>1</v>
      </c>
      <c r="F356" s="1459">
        <v>2</v>
      </c>
      <c r="G356" s="1470" t="s">
        <v>4138</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4139</v>
      </c>
      <c r="D357" s="1458">
        <v>1</v>
      </c>
      <c r="E357" s="1458">
        <v>1</v>
      </c>
      <c r="F357" s="1459">
        <v>2</v>
      </c>
      <c r="G357" s="1470" t="s">
        <v>4139</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4140</v>
      </c>
      <c r="D358" s="1458">
        <v>0</v>
      </c>
      <c r="E358" s="1458">
        <v>1</v>
      </c>
      <c r="F358" s="1459">
        <v>1</v>
      </c>
      <c r="G358" s="1470" t="s">
        <v>4140</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4141</v>
      </c>
      <c r="D359" s="1458">
        <v>0</v>
      </c>
      <c r="E359" s="1458">
        <v>0</v>
      </c>
      <c r="F359" s="1459">
        <v>0</v>
      </c>
      <c r="G359" s="1470" t="s">
        <v>4141</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4142</v>
      </c>
      <c r="D360" s="1458">
        <v>0</v>
      </c>
      <c r="E360" s="1458">
        <v>0</v>
      </c>
      <c r="F360" s="1459">
        <v>0</v>
      </c>
      <c r="G360" s="1470" t="s">
        <v>4142</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4143</v>
      </c>
      <c r="D361" s="1458">
        <v>0</v>
      </c>
      <c r="E361" s="1458">
        <v>0</v>
      </c>
      <c r="F361" s="1459">
        <v>0</v>
      </c>
      <c r="G361" s="1470" t="s">
        <v>4143</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4144</v>
      </c>
      <c r="D362" s="1458">
        <v>0</v>
      </c>
      <c r="E362" s="1458">
        <v>0</v>
      </c>
      <c r="F362" s="1459">
        <v>0</v>
      </c>
      <c r="G362" s="1470" t="s">
        <v>4144</v>
      </c>
      <c r="H362" s="1456">
        <v>0</v>
      </c>
      <c r="I362" s="1456">
        <v>0</v>
      </c>
      <c r="J362" s="1471">
        <v>0</v>
      </c>
      <c r="K362" s="1460"/>
      <c r="L362" s="1454">
        <v>13015960801</v>
      </c>
      <c r="M362" s="1455">
        <v>0</v>
      </c>
      <c r="N362" s="1455">
        <v>0</v>
      </c>
      <c r="O362" s="1455">
        <v>0</v>
      </c>
      <c r="P362" s="241" t="s">
        <v>3221</v>
      </c>
      <c r="Q362" s="241"/>
      <c r="R362" s="147"/>
      <c r="S362" s="236"/>
      <c r="T362" s="392" t="s">
        <v>613</v>
      </c>
      <c r="U362" s="392" t="s">
        <v>1528</v>
      </c>
      <c r="W362" s="44" t="s">
        <v>1591</v>
      </c>
      <c r="X362" s="44" t="s">
        <v>3018</v>
      </c>
      <c r="AA362"/>
      <c r="AB362"/>
      <c r="AC362" s="380"/>
      <c r="AD362" s="68"/>
    </row>
    <row r="363" spans="3:30" ht="10.5" customHeight="1">
      <c r="C363" s="1461" t="s">
        <v>4145</v>
      </c>
      <c r="D363" s="1458">
        <v>0</v>
      </c>
      <c r="E363" s="1458">
        <v>0</v>
      </c>
      <c r="F363" s="1459">
        <v>0</v>
      </c>
      <c r="G363" s="1470" t="s">
        <v>4145</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4146</v>
      </c>
      <c r="D364" s="1458">
        <v>0</v>
      </c>
      <c r="E364" s="1458">
        <v>0</v>
      </c>
      <c r="F364" s="1459">
        <v>0</v>
      </c>
      <c r="G364" s="1470" t="s">
        <v>4146</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4147</v>
      </c>
      <c r="D365" s="1458">
        <v>0</v>
      </c>
      <c r="E365" s="1458">
        <v>1</v>
      </c>
      <c r="F365" s="1459">
        <v>1</v>
      </c>
      <c r="G365" s="1470" t="s">
        <v>4147</v>
      </c>
      <c r="H365" s="1456">
        <v>1</v>
      </c>
      <c r="I365" s="1456" t="s">
        <v>3906</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4148</v>
      </c>
      <c r="D366" s="1458">
        <v>1</v>
      </c>
      <c r="E366" s="1458">
        <v>1</v>
      </c>
      <c r="F366" s="1459">
        <v>2</v>
      </c>
      <c r="G366" s="1470" t="s">
        <v>4148</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4149</v>
      </c>
      <c r="D367" s="1458">
        <v>1</v>
      </c>
      <c r="E367" s="1458">
        <v>1</v>
      </c>
      <c r="F367" s="1459">
        <v>2</v>
      </c>
      <c r="G367" s="1470" t="s">
        <v>4149</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4150</v>
      </c>
      <c r="D368" s="1458">
        <v>0</v>
      </c>
      <c r="E368" s="1458">
        <v>0</v>
      </c>
      <c r="F368" s="1459">
        <v>0</v>
      </c>
      <c r="G368" s="1470" t="s">
        <v>4150</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4151</v>
      </c>
      <c r="D369" s="1458">
        <v>0</v>
      </c>
      <c r="E369" s="1458">
        <v>0</v>
      </c>
      <c r="F369" s="1459">
        <v>0</v>
      </c>
      <c r="G369" s="1470" t="s">
        <v>4151</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4152</v>
      </c>
      <c r="D370" s="1458">
        <v>0</v>
      </c>
      <c r="E370" s="1458">
        <v>0</v>
      </c>
      <c r="F370" s="1459">
        <v>0</v>
      </c>
      <c r="G370" s="1470" t="s">
        <v>4152</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4153</v>
      </c>
      <c r="D371" s="1458">
        <v>0</v>
      </c>
      <c r="E371" s="1458">
        <v>0</v>
      </c>
      <c r="F371" s="1459">
        <v>0</v>
      </c>
      <c r="G371" s="1470" t="s">
        <v>4153</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4154</v>
      </c>
      <c r="D372" s="1458">
        <v>0</v>
      </c>
      <c r="E372" s="1458">
        <v>0</v>
      </c>
      <c r="F372" s="1459">
        <v>0</v>
      </c>
      <c r="G372" s="1470" t="s">
        <v>4154</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4155</v>
      </c>
      <c r="D373" s="1458">
        <v>0</v>
      </c>
      <c r="E373" s="1458">
        <v>0</v>
      </c>
      <c r="F373" s="1459">
        <v>0</v>
      </c>
      <c r="G373" s="1470" t="s">
        <v>4155</v>
      </c>
      <c r="H373" s="1456">
        <v>0</v>
      </c>
      <c r="I373" s="1456" t="s">
        <v>3906</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4156</v>
      </c>
      <c r="D374" s="1458">
        <v>0</v>
      </c>
      <c r="E374" s="1458">
        <v>0</v>
      </c>
      <c r="F374" s="1459">
        <v>0</v>
      </c>
      <c r="G374" s="1470" t="s">
        <v>4156</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4157</v>
      </c>
      <c r="D375" s="1458">
        <v>0</v>
      </c>
      <c r="E375" s="1458">
        <v>0</v>
      </c>
      <c r="F375" s="1459">
        <v>0</v>
      </c>
      <c r="G375" s="1470" t="s">
        <v>4157</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4158</v>
      </c>
      <c r="D376" s="1458">
        <v>0</v>
      </c>
      <c r="E376" s="1458">
        <v>0</v>
      </c>
      <c r="F376" s="1459">
        <v>0</v>
      </c>
      <c r="G376" s="1470" t="s">
        <v>4158</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4159</v>
      </c>
      <c r="D377" s="1458">
        <v>0</v>
      </c>
      <c r="E377" s="1458">
        <v>0</v>
      </c>
      <c r="F377" s="1459">
        <v>0</v>
      </c>
      <c r="G377" s="1470" t="s">
        <v>4159</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4160</v>
      </c>
      <c r="D378" s="1458">
        <v>0</v>
      </c>
      <c r="E378" s="1458">
        <v>0</v>
      </c>
      <c r="F378" s="1459">
        <v>0</v>
      </c>
      <c r="G378" s="1470" t="s">
        <v>4160</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4161</v>
      </c>
      <c r="D379" s="1458">
        <v>0</v>
      </c>
      <c r="E379" s="1458">
        <v>0</v>
      </c>
      <c r="F379" s="1459">
        <v>0</v>
      </c>
      <c r="G379" s="1470" t="s">
        <v>4161</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4162</v>
      </c>
      <c r="D380" s="1458">
        <v>0</v>
      </c>
      <c r="E380" s="1458">
        <v>0</v>
      </c>
      <c r="F380" s="1459">
        <v>0</v>
      </c>
      <c r="G380" s="1470" t="s">
        <v>4162</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4163</v>
      </c>
      <c r="D381" s="1458">
        <v>0</v>
      </c>
      <c r="E381" s="1458">
        <v>0</v>
      </c>
      <c r="F381" s="1459">
        <v>0</v>
      </c>
      <c r="G381" s="1470" t="s">
        <v>4163</v>
      </c>
      <c r="H381" s="1456">
        <v>0</v>
      </c>
      <c r="I381" s="1456" t="s">
        <v>3906</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4164</v>
      </c>
      <c r="D382" s="1458">
        <v>0</v>
      </c>
      <c r="E382" s="1458">
        <v>0</v>
      </c>
      <c r="F382" s="1459">
        <v>0</v>
      </c>
      <c r="G382" s="1470" t="s">
        <v>4164</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4165</v>
      </c>
      <c r="D383" s="1458">
        <v>0</v>
      </c>
      <c r="E383" s="1458">
        <v>0</v>
      </c>
      <c r="F383" s="1459">
        <v>0</v>
      </c>
      <c r="G383" s="1470" t="s">
        <v>4165</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4166</v>
      </c>
      <c r="D384" s="1458">
        <v>1</v>
      </c>
      <c r="E384" s="1458">
        <v>1</v>
      </c>
      <c r="F384" s="1459">
        <v>2</v>
      </c>
      <c r="G384" s="1470" t="s">
        <v>4166</v>
      </c>
      <c r="H384" s="1456">
        <v>0</v>
      </c>
      <c r="I384" s="1456" t="s">
        <v>3906</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4167</v>
      </c>
      <c r="D385" s="1458">
        <v>0</v>
      </c>
      <c r="E385" s="1458">
        <v>0</v>
      </c>
      <c r="F385" s="1459">
        <v>0</v>
      </c>
      <c r="G385" s="1470" t="s">
        <v>4167</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4168</v>
      </c>
      <c r="D386" s="1458">
        <v>0</v>
      </c>
      <c r="E386" s="1458">
        <v>0</v>
      </c>
      <c r="F386" s="1459">
        <v>0</v>
      </c>
      <c r="G386" s="1470" t="s">
        <v>4168</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4169</v>
      </c>
      <c r="D387" s="1458">
        <v>0</v>
      </c>
      <c r="E387" s="1458">
        <v>0</v>
      </c>
      <c r="F387" s="1459">
        <v>0</v>
      </c>
      <c r="G387" s="1470" t="s">
        <v>4169</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4170</v>
      </c>
      <c r="D388" s="1458">
        <v>0</v>
      </c>
      <c r="E388" s="1458">
        <v>0</v>
      </c>
      <c r="F388" s="1459">
        <v>0</v>
      </c>
      <c r="G388" s="1470" t="s">
        <v>4170</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4171</v>
      </c>
      <c r="D389" s="1458">
        <v>0</v>
      </c>
      <c r="E389" s="1458">
        <v>0</v>
      </c>
      <c r="F389" s="1459">
        <v>0</v>
      </c>
      <c r="G389" s="1470" t="s">
        <v>4171</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4172</v>
      </c>
      <c r="D390" s="1458">
        <v>1</v>
      </c>
      <c r="E390" s="1458">
        <v>0</v>
      </c>
      <c r="F390" s="1459">
        <v>1</v>
      </c>
      <c r="G390" s="1470" t="s">
        <v>4172</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4173</v>
      </c>
      <c r="D391" s="1458">
        <v>0</v>
      </c>
      <c r="E391" s="1458">
        <v>0</v>
      </c>
      <c r="F391" s="1459">
        <v>0</v>
      </c>
      <c r="G391" s="1470" t="s">
        <v>4173</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4174</v>
      </c>
      <c r="D392" s="1458">
        <v>1</v>
      </c>
      <c r="E392" s="1458">
        <v>1</v>
      </c>
      <c r="F392" s="1459">
        <v>2</v>
      </c>
      <c r="G392" s="1470" t="s">
        <v>4174</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4175</v>
      </c>
      <c r="D393" s="1458">
        <v>1</v>
      </c>
      <c r="E393" s="1458">
        <v>1</v>
      </c>
      <c r="F393" s="1459">
        <v>2</v>
      </c>
      <c r="G393" s="1470" t="s">
        <v>4175</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4176</v>
      </c>
      <c r="D394" s="1458">
        <v>0</v>
      </c>
      <c r="E394" s="1458">
        <v>1</v>
      </c>
      <c r="F394" s="1459">
        <v>1</v>
      </c>
      <c r="G394" s="1470" t="s">
        <v>4176</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4177</v>
      </c>
      <c r="D395" s="1458">
        <v>0</v>
      </c>
      <c r="E395" s="1458">
        <v>0</v>
      </c>
      <c r="F395" s="1459">
        <v>0</v>
      </c>
      <c r="G395" s="1470" t="s">
        <v>4177</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4178</v>
      </c>
      <c r="D396" s="1458">
        <v>0</v>
      </c>
      <c r="E396" s="1458">
        <v>0</v>
      </c>
      <c r="F396" s="1459">
        <v>0</v>
      </c>
      <c r="G396" s="1470" t="s">
        <v>4178</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4179</v>
      </c>
      <c r="D397" s="1458">
        <v>0</v>
      </c>
      <c r="E397" s="1458">
        <v>0</v>
      </c>
      <c r="F397" s="1459">
        <v>0</v>
      </c>
      <c r="G397" s="1470" t="s">
        <v>4179</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4180</v>
      </c>
      <c r="D398" s="1458">
        <v>0</v>
      </c>
      <c r="E398" s="1458">
        <v>0</v>
      </c>
      <c r="F398" s="1459">
        <v>0</v>
      </c>
      <c r="G398" s="1470" t="s">
        <v>4180</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4181</v>
      </c>
      <c r="D399" s="1458">
        <v>0</v>
      </c>
      <c r="E399" s="1458">
        <v>0</v>
      </c>
      <c r="F399" s="1459">
        <v>0</v>
      </c>
      <c r="G399" s="1470" t="s">
        <v>4181</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4182</v>
      </c>
      <c r="D400" s="1458">
        <v>0</v>
      </c>
      <c r="E400" s="1458">
        <v>0</v>
      </c>
      <c r="F400" s="1459">
        <v>0</v>
      </c>
      <c r="G400" s="1470" t="s">
        <v>4182</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4183</v>
      </c>
      <c r="D401" s="1458">
        <v>0</v>
      </c>
      <c r="E401" s="1458">
        <v>0</v>
      </c>
      <c r="F401" s="1459">
        <v>0</v>
      </c>
      <c r="G401" s="1470" t="s">
        <v>4183</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4184</v>
      </c>
      <c r="D402" s="1458">
        <v>0</v>
      </c>
      <c r="E402" s="1458">
        <v>0</v>
      </c>
      <c r="F402" s="1459">
        <v>0</v>
      </c>
      <c r="G402" s="1470" t="s">
        <v>4184</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4185</v>
      </c>
      <c r="D403" s="1458">
        <v>0</v>
      </c>
      <c r="E403" s="1458">
        <v>0</v>
      </c>
      <c r="F403" s="1459">
        <v>0</v>
      </c>
      <c r="G403" s="1470" t="s">
        <v>4185</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4186</v>
      </c>
      <c r="D404" s="1458">
        <v>0</v>
      </c>
      <c r="E404" s="1458">
        <v>0</v>
      </c>
      <c r="F404" s="1459">
        <v>0</v>
      </c>
      <c r="G404" s="1470" t="s">
        <v>4186</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4187</v>
      </c>
      <c r="D405" s="1458">
        <v>0</v>
      </c>
      <c r="E405" s="1458">
        <v>0</v>
      </c>
      <c r="F405" s="1459">
        <v>0</v>
      </c>
      <c r="G405" s="1470" t="s">
        <v>4187</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4188</v>
      </c>
      <c r="D406" s="1458">
        <v>0</v>
      </c>
      <c r="E406" s="1458">
        <v>0</v>
      </c>
      <c r="F406" s="1459">
        <v>0</v>
      </c>
      <c r="G406" s="1470" t="s">
        <v>4188</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4189</v>
      </c>
      <c r="D407" s="1458">
        <v>0</v>
      </c>
      <c r="E407" s="1458">
        <v>0</v>
      </c>
      <c r="F407" s="1459">
        <v>0</v>
      </c>
      <c r="G407" s="1470" t="s">
        <v>4189</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4190</v>
      </c>
      <c r="D408" s="1458">
        <v>1</v>
      </c>
      <c r="E408" s="1458">
        <v>1</v>
      </c>
      <c r="F408" s="1459">
        <v>2</v>
      </c>
      <c r="G408" s="1470" t="s">
        <v>4190</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4191</v>
      </c>
      <c r="D409" s="1458">
        <v>1</v>
      </c>
      <c r="E409" s="1458">
        <v>1</v>
      </c>
      <c r="F409" s="1459">
        <v>2</v>
      </c>
      <c r="G409" s="1470" t="s">
        <v>4191</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4192</v>
      </c>
      <c r="D410" s="1458">
        <v>1</v>
      </c>
      <c r="E410" s="1458">
        <v>1</v>
      </c>
      <c r="F410" s="1459">
        <v>2</v>
      </c>
      <c r="G410" s="1470" t="s">
        <v>4192</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4193</v>
      </c>
      <c r="D411" s="1458">
        <v>1</v>
      </c>
      <c r="E411" s="1458">
        <v>1</v>
      </c>
      <c r="F411" s="1459">
        <v>2</v>
      </c>
      <c r="G411" s="1470" t="s">
        <v>4193</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4194</v>
      </c>
      <c r="D412" s="1458">
        <v>1</v>
      </c>
      <c r="E412" s="1458">
        <v>1</v>
      </c>
      <c r="F412" s="1459">
        <v>2</v>
      </c>
      <c r="G412" s="1470" t="s">
        <v>4194</v>
      </c>
      <c r="H412" s="1456">
        <v>1</v>
      </c>
      <c r="I412" s="1456" t="s">
        <v>3906</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4195</v>
      </c>
      <c r="D413" s="1458">
        <v>0</v>
      </c>
      <c r="E413" s="1458">
        <v>0</v>
      </c>
      <c r="F413" s="1459">
        <v>0</v>
      </c>
      <c r="G413" s="1470" t="s">
        <v>4195</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4196</v>
      </c>
      <c r="D414" s="1458">
        <v>0</v>
      </c>
      <c r="E414" s="1458">
        <v>0</v>
      </c>
      <c r="F414" s="1459">
        <v>0</v>
      </c>
      <c r="G414" s="1470" t="s">
        <v>4196</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4197</v>
      </c>
      <c r="D415" s="1458">
        <v>1</v>
      </c>
      <c r="E415" s="1458">
        <v>1</v>
      </c>
      <c r="F415" s="1459">
        <v>2</v>
      </c>
      <c r="G415" s="1470" t="s">
        <v>4197</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4198</v>
      </c>
      <c r="D416" s="1458">
        <v>0</v>
      </c>
      <c r="E416" s="1458">
        <v>1</v>
      </c>
      <c r="F416" s="1459">
        <v>1</v>
      </c>
      <c r="G416" s="1470" t="s">
        <v>4198</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4199</v>
      </c>
      <c r="D417" s="1458">
        <v>1</v>
      </c>
      <c r="E417" s="1458">
        <v>1</v>
      </c>
      <c r="F417" s="1459">
        <v>2</v>
      </c>
      <c r="G417" s="1470" t="s">
        <v>4199</v>
      </c>
      <c r="H417" s="1456">
        <v>0</v>
      </c>
      <c r="I417" s="1456" t="s">
        <v>3906</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4200</v>
      </c>
      <c r="D418" s="1458">
        <v>1</v>
      </c>
      <c r="E418" s="1458">
        <v>1</v>
      </c>
      <c r="F418" s="1459">
        <v>2</v>
      </c>
      <c r="G418" s="1470" t="s">
        <v>4200</v>
      </c>
      <c r="H418" s="1456">
        <v>1</v>
      </c>
      <c r="I418" s="1456" t="s">
        <v>3906</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4201</v>
      </c>
      <c r="D419" s="1458">
        <v>1</v>
      </c>
      <c r="E419" s="1458">
        <v>1</v>
      </c>
      <c r="F419" s="1459">
        <v>2</v>
      </c>
      <c r="G419" s="1470" t="s">
        <v>4201</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4202</v>
      </c>
      <c r="D420" s="1458">
        <v>0</v>
      </c>
      <c r="E420" s="1458">
        <v>0</v>
      </c>
      <c r="F420" s="1459">
        <v>0</v>
      </c>
      <c r="G420" s="1470" t="s">
        <v>4202</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4203</v>
      </c>
      <c r="D421" s="1458">
        <v>0</v>
      </c>
      <c r="E421" s="1458">
        <v>0</v>
      </c>
      <c r="F421" s="1459">
        <v>0</v>
      </c>
      <c r="G421" s="1470" t="s">
        <v>4203</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4204</v>
      </c>
      <c r="D422" s="1458">
        <v>0</v>
      </c>
      <c r="E422" s="1458">
        <v>0</v>
      </c>
      <c r="F422" s="1459">
        <v>0</v>
      </c>
      <c r="G422" s="1470" t="s">
        <v>4204</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4205</v>
      </c>
      <c r="D423" s="1458">
        <v>1</v>
      </c>
      <c r="E423" s="1458">
        <v>0</v>
      </c>
      <c r="F423" s="1459">
        <v>1</v>
      </c>
      <c r="G423" s="1470" t="s">
        <v>4205</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4206</v>
      </c>
      <c r="D424" s="1458">
        <v>0</v>
      </c>
      <c r="E424" s="1458">
        <v>0</v>
      </c>
      <c r="F424" s="1459">
        <v>0</v>
      </c>
      <c r="G424" s="1470" t="s">
        <v>4206</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4207</v>
      </c>
      <c r="D425" s="1458">
        <v>0</v>
      </c>
      <c r="E425" s="1458">
        <v>0</v>
      </c>
      <c r="F425" s="1459">
        <v>0</v>
      </c>
      <c r="G425" s="1470" t="s">
        <v>4207</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4208</v>
      </c>
      <c r="D426" s="1458">
        <v>0</v>
      </c>
      <c r="E426" s="1458">
        <v>0</v>
      </c>
      <c r="F426" s="1459">
        <v>0</v>
      </c>
      <c r="G426" s="1470" t="s">
        <v>4208</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4209</v>
      </c>
      <c r="D427" s="1458">
        <v>0</v>
      </c>
      <c r="E427" s="1458">
        <v>0</v>
      </c>
      <c r="F427" s="1459">
        <v>0</v>
      </c>
      <c r="G427" s="1470" t="s">
        <v>4209</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4210</v>
      </c>
      <c r="D428" s="1458">
        <v>0</v>
      </c>
      <c r="E428" s="1458">
        <v>0</v>
      </c>
      <c r="F428" s="1459">
        <v>0</v>
      </c>
      <c r="G428" s="1470" t="s">
        <v>4210</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4211</v>
      </c>
      <c r="D429" s="1458">
        <v>0</v>
      </c>
      <c r="E429" s="1458">
        <v>0</v>
      </c>
      <c r="F429" s="1459">
        <v>0</v>
      </c>
      <c r="G429" s="1470" t="s">
        <v>4211</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4212</v>
      </c>
      <c r="D430" s="1458">
        <v>0</v>
      </c>
      <c r="E430" s="1458">
        <v>0</v>
      </c>
      <c r="F430" s="1459">
        <v>0</v>
      </c>
      <c r="G430" s="1470" t="s">
        <v>4212</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4213</v>
      </c>
      <c r="D431" s="1458">
        <v>0</v>
      </c>
      <c r="E431" s="1458">
        <v>0</v>
      </c>
      <c r="F431" s="1459">
        <v>0</v>
      </c>
      <c r="G431" s="1470" t="s">
        <v>4213</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4214</v>
      </c>
      <c r="D432" s="1458">
        <v>0</v>
      </c>
      <c r="E432" s="1458">
        <v>0</v>
      </c>
      <c r="F432" s="1459">
        <v>0</v>
      </c>
      <c r="G432" s="1470" t="s">
        <v>4214</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4215</v>
      </c>
      <c r="D433" s="1458">
        <v>0</v>
      </c>
      <c r="E433" s="1458">
        <v>0</v>
      </c>
      <c r="F433" s="1459">
        <v>0</v>
      </c>
      <c r="G433" s="1470" t="s">
        <v>4215</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4216</v>
      </c>
      <c r="D434" s="1458">
        <v>0</v>
      </c>
      <c r="E434" s="1458">
        <v>0</v>
      </c>
      <c r="F434" s="1459">
        <v>0</v>
      </c>
      <c r="G434" s="1470" t="s">
        <v>4216</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4217</v>
      </c>
      <c r="D435" s="1458">
        <v>0</v>
      </c>
      <c r="E435" s="1458">
        <v>0</v>
      </c>
      <c r="F435" s="1459">
        <v>0</v>
      </c>
      <c r="G435" s="1470" t="s">
        <v>4217</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4218</v>
      </c>
      <c r="D436" s="1458">
        <v>1</v>
      </c>
      <c r="E436" s="1458">
        <v>1</v>
      </c>
      <c r="F436" s="1459">
        <v>2</v>
      </c>
      <c r="G436" s="1470" t="s">
        <v>4218</v>
      </c>
      <c r="H436" s="1456">
        <v>1</v>
      </c>
      <c r="I436" s="1456" t="s">
        <v>3906</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4219</v>
      </c>
      <c r="D437" s="1458">
        <v>1</v>
      </c>
      <c r="E437" s="1458">
        <v>1</v>
      </c>
      <c r="F437" s="1459">
        <v>2</v>
      </c>
      <c r="G437" s="1470" t="s">
        <v>4219</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4220</v>
      </c>
      <c r="D438" s="1458">
        <v>1</v>
      </c>
      <c r="E438" s="1458">
        <v>1</v>
      </c>
      <c r="F438" s="1459">
        <v>2</v>
      </c>
      <c r="G438" s="1470" t="s">
        <v>4220</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4221</v>
      </c>
      <c r="D439" s="1458">
        <v>1</v>
      </c>
      <c r="E439" s="1458">
        <v>1</v>
      </c>
      <c r="F439" s="1459">
        <v>2</v>
      </c>
      <c r="G439" s="1470" t="s">
        <v>4221</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4222</v>
      </c>
      <c r="D440" s="1458" t="s">
        <v>3906</v>
      </c>
      <c r="E440" s="1458" t="s">
        <v>3906</v>
      </c>
      <c r="F440" s="1459">
        <v>0</v>
      </c>
      <c r="G440" s="1470" t="s">
        <v>4222</v>
      </c>
      <c r="H440" s="1456" t="s">
        <v>3906</v>
      </c>
      <c r="I440" s="1456" t="s">
        <v>3906</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4223</v>
      </c>
      <c r="D441" s="1458">
        <v>0</v>
      </c>
      <c r="E441" s="1458">
        <v>0</v>
      </c>
      <c r="F441" s="1459">
        <v>0</v>
      </c>
      <c r="G441" s="1470" t="s">
        <v>4223</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4224</v>
      </c>
      <c r="D442" s="1458">
        <v>0</v>
      </c>
      <c r="E442" s="1458">
        <v>0</v>
      </c>
      <c r="F442" s="1459">
        <v>0</v>
      </c>
      <c r="G442" s="1470" t="s">
        <v>4224</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4225</v>
      </c>
      <c r="D443" s="1458">
        <v>1</v>
      </c>
      <c r="E443" s="1458">
        <v>1</v>
      </c>
      <c r="F443" s="1459">
        <v>2</v>
      </c>
      <c r="G443" s="1470" t="s">
        <v>4225</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4226</v>
      </c>
      <c r="D444" s="1458">
        <v>0</v>
      </c>
      <c r="E444" s="1458">
        <v>0</v>
      </c>
      <c r="F444" s="1459">
        <v>0</v>
      </c>
      <c r="G444" s="1470" t="s">
        <v>4226</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4227</v>
      </c>
      <c r="D445" s="1458">
        <v>0</v>
      </c>
      <c r="E445" s="1458">
        <v>1</v>
      </c>
      <c r="F445" s="1459">
        <v>1</v>
      </c>
      <c r="G445" s="1470" t="s">
        <v>4227</v>
      </c>
      <c r="H445" s="1456">
        <v>0</v>
      </c>
      <c r="I445" s="1456" t="s">
        <v>3906</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4228</v>
      </c>
      <c r="D446" s="1458">
        <v>0</v>
      </c>
      <c r="E446" s="1458">
        <v>1</v>
      </c>
      <c r="F446" s="1459">
        <v>1</v>
      </c>
      <c r="G446" s="1470" t="s">
        <v>4228</v>
      </c>
      <c r="H446" s="1456">
        <v>0</v>
      </c>
      <c r="I446" s="1456" t="s">
        <v>3906</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4229</v>
      </c>
      <c r="D447" s="1458">
        <v>0</v>
      </c>
      <c r="E447" s="1458">
        <v>0</v>
      </c>
      <c r="F447" s="1459">
        <v>0</v>
      </c>
      <c r="G447" s="1470" t="s">
        <v>4229</v>
      </c>
      <c r="H447" s="1456">
        <v>0</v>
      </c>
      <c r="I447" s="1456" t="s">
        <v>3906</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4230</v>
      </c>
      <c r="D448" s="1458">
        <v>1</v>
      </c>
      <c r="E448" s="1458">
        <v>0</v>
      </c>
      <c r="F448" s="1459">
        <v>1</v>
      </c>
      <c r="G448" s="1470" t="s">
        <v>4230</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4231</v>
      </c>
      <c r="D449" s="1458">
        <v>0</v>
      </c>
      <c r="E449" s="1458">
        <v>0</v>
      </c>
      <c r="F449" s="1459">
        <v>0</v>
      </c>
      <c r="G449" s="1470" t="s">
        <v>4231</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4232</v>
      </c>
      <c r="D450" s="1458">
        <v>1</v>
      </c>
      <c r="E450" s="1458">
        <v>1</v>
      </c>
      <c r="F450" s="1459">
        <v>2</v>
      </c>
      <c r="G450" s="1470" t="s">
        <v>4232</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4233</v>
      </c>
      <c r="D451" s="1458">
        <v>0</v>
      </c>
      <c r="E451" s="1458">
        <v>0</v>
      </c>
      <c r="F451" s="1459">
        <v>0</v>
      </c>
      <c r="G451" s="1470" t="s">
        <v>4233</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4234</v>
      </c>
      <c r="D452" s="1458">
        <v>0</v>
      </c>
      <c r="E452" s="1458">
        <v>0</v>
      </c>
      <c r="F452" s="1459">
        <v>0</v>
      </c>
      <c r="G452" s="1470" t="s">
        <v>4234</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4235</v>
      </c>
      <c r="D453" s="1458">
        <v>0</v>
      </c>
      <c r="E453" s="1458">
        <v>0</v>
      </c>
      <c r="F453" s="1459">
        <v>0</v>
      </c>
      <c r="G453" s="1470" t="s">
        <v>4235</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4236</v>
      </c>
      <c r="D454" s="1458">
        <v>0</v>
      </c>
      <c r="E454" s="1458">
        <v>0</v>
      </c>
      <c r="F454" s="1459">
        <v>0</v>
      </c>
      <c r="G454" s="1470" t="s">
        <v>4236</v>
      </c>
      <c r="H454" s="1456">
        <v>0</v>
      </c>
      <c r="I454" s="1456" t="s">
        <v>3906</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4237</v>
      </c>
      <c r="D455" s="1458">
        <v>0</v>
      </c>
      <c r="E455" s="1458">
        <v>0</v>
      </c>
      <c r="F455" s="1459">
        <v>0</v>
      </c>
      <c r="G455" s="1470" t="s">
        <v>4237</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4238</v>
      </c>
      <c r="D456" s="1458">
        <v>0</v>
      </c>
      <c r="E456" s="1458">
        <v>0</v>
      </c>
      <c r="F456" s="1459">
        <v>0</v>
      </c>
      <c r="G456" s="1470" t="s">
        <v>4238</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4239</v>
      </c>
      <c r="D457" s="1458">
        <v>0</v>
      </c>
      <c r="E457" s="1458">
        <v>0</v>
      </c>
      <c r="F457" s="1459">
        <v>0</v>
      </c>
      <c r="G457" s="1470" t="s">
        <v>4239</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4240</v>
      </c>
      <c r="D458" s="1458">
        <v>0</v>
      </c>
      <c r="E458" s="1458">
        <v>0</v>
      </c>
      <c r="F458" s="1459">
        <v>0</v>
      </c>
      <c r="G458" s="1470" t="s">
        <v>4240</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4241</v>
      </c>
      <c r="D459" s="1458">
        <v>0</v>
      </c>
      <c r="E459" s="1458">
        <v>1</v>
      </c>
      <c r="F459" s="1459">
        <v>1</v>
      </c>
      <c r="G459" s="1470" t="s">
        <v>4241</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4242</v>
      </c>
      <c r="D460" s="1458">
        <v>0</v>
      </c>
      <c r="E460" s="1458">
        <v>0</v>
      </c>
      <c r="F460" s="1459">
        <v>0</v>
      </c>
      <c r="G460" s="1470" t="s">
        <v>4242</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4243</v>
      </c>
      <c r="D461" s="1458">
        <v>0</v>
      </c>
      <c r="E461" s="1458">
        <v>1</v>
      </c>
      <c r="F461" s="1459">
        <v>1</v>
      </c>
      <c r="G461" s="1470" t="s">
        <v>4243</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4244</v>
      </c>
      <c r="D462" s="1458">
        <v>0</v>
      </c>
      <c r="E462" s="1458">
        <v>0</v>
      </c>
      <c r="F462" s="1459">
        <v>0</v>
      </c>
      <c r="G462" s="1470" t="s">
        <v>4244</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4245</v>
      </c>
      <c r="D463" s="1458">
        <v>0</v>
      </c>
      <c r="E463" s="1458">
        <v>0</v>
      </c>
      <c r="F463" s="1459">
        <v>0</v>
      </c>
      <c r="G463" s="1470" t="s">
        <v>4245</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4246</v>
      </c>
      <c r="D464" s="1458">
        <v>0</v>
      </c>
      <c r="E464" s="1458">
        <v>0</v>
      </c>
      <c r="F464" s="1459">
        <v>0</v>
      </c>
      <c r="G464" s="1470" t="s">
        <v>4246</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4247</v>
      </c>
      <c r="D465" s="1458">
        <v>0</v>
      </c>
      <c r="E465" s="1458">
        <v>1</v>
      </c>
      <c r="F465" s="1459">
        <v>1</v>
      </c>
      <c r="G465" s="1470" t="s">
        <v>4247</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4248</v>
      </c>
      <c r="D466" s="1458">
        <v>0</v>
      </c>
      <c r="E466" s="1458">
        <v>0</v>
      </c>
      <c r="F466" s="1459">
        <v>0</v>
      </c>
      <c r="G466" s="1470" t="s">
        <v>4248</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4249</v>
      </c>
      <c r="D467" s="1458">
        <v>0</v>
      </c>
      <c r="E467" s="1458">
        <v>0</v>
      </c>
      <c r="F467" s="1459">
        <v>0</v>
      </c>
      <c r="G467" s="1470" t="s">
        <v>4249</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4250</v>
      </c>
      <c r="D468" s="1458">
        <v>1</v>
      </c>
      <c r="E468" s="1458">
        <v>1</v>
      </c>
      <c r="F468" s="1459">
        <v>2</v>
      </c>
      <c r="G468" s="1470" t="s">
        <v>4250</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4251</v>
      </c>
      <c r="D469" s="1458">
        <v>1</v>
      </c>
      <c r="E469" s="1458">
        <v>1</v>
      </c>
      <c r="F469" s="1459">
        <v>2</v>
      </c>
      <c r="G469" s="1470" t="s">
        <v>4251</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4252</v>
      </c>
      <c r="D470" s="1458">
        <v>1</v>
      </c>
      <c r="E470" s="1458">
        <v>1</v>
      </c>
      <c r="F470" s="1459">
        <v>2</v>
      </c>
      <c r="G470" s="1470" t="s">
        <v>4252</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4253</v>
      </c>
      <c r="D471" s="1458">
        <v>0</v>
      </c>
      <c r="E471" s="1458">
        <v>1</v>
      </c>
      <c r="F471" s="1459">
        <v>1</v>
      </c>
      <c r="G471" s="1470" t="s">
        <v>4253</v>
      </c>
      <c r="H471" s="1456">
        <v>0</v>
      </c>
      <c r="I471" s="1456" t="s">
        <v>3906</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4254</v>
      </c>
      <c r="D472" s="1458">
        <v>0</v>
      </c>
      <c r="E472" s="1458">
        <v>0</v>
      </c>
      <c r="F472" s="1459">
        <v>0</v>
      </c>
      <c r="G472" s="1470" t="s">
        <v>4254</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4255</v>
      </c>
      <c r="D473" s="1458">
        <v>0</v>
      </c>
      <c r="E473" s="1458">
        <v>0</v>
      </c>
      <c r="F473" s="1459">
        <v>0</v>
      </c>
      <c r="G473" s="1470" t="s">
        <v>4255</v>
      </c>
      <c r="H473" s="1456">
        <v>0</v>
      </c>
      <c r="I473" s="1456" t="s">
        <v>3906</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4256</v>
      </c>
      <c r="D474" s="1458" t="s">
        <v>3906</v>
      </c>
      <c r="E474" s="1458" t="s">
        <v>3906</v>
      </c>
      <c r="F474" s="1459">
        <v>0</v>
      </c>
      <c r="G474" s="1470" t="s">
        <v>4256</v>
      </c>
      <c r="H474" s="1456" t="s">
        <v>3906</v>
      </c>
      <c r="I474" s="1456" t="s">
        <v>3906</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4257</v>
      </c>
      <c r="D475" s="1458">
        <v>0</v>
      </c>
      <c r="E475" s="1458">
        <v>0</v>
      </c>
      <c r="F475" s="1459">
        <v>0</v>
      </c>
      <c r="G475" s="1470" t="s">
        <v>4257</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4258</v>
      </c>
      <c r="D476" s="1458">
        <v>0</v>
      </c>
      <c r="E476" s="1458">
        <v>0</v>
      </c>
      <c r="F476" s="1459">
        <v>0</v>
      </c>
      <c r="G476" s="1470" t="s">
        <v>4258</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4259</v>
      </c>
      <c r="D477" s="1458">
        <v>0</v>
      </c>
      <c r="E477" s="1458">
        <v>0</v>
      </c>
      <c r="F477" s="1459">
        <v>0</v>
      </c>
      <c r="G477" s="1470" t="s">
        <v>4259</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4260</v>
      </c>
      <c r="D478" s="1458">
        <v>0</v>
      </c>
      <c r="E478" s="1458">
        <v>1</v>
      </c>
      <c r="F478" s="1459">
        <v>1</v>
      </c>
      <c r="G478" s="1470" t="s">
        <v>4260</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4261</v>
      </c>
      <c r="D479" s="1458">
        <v>1</v>
      </c>
      <c r="E479" s="1458">
        <v>1</v>
      </c>
      <c r="F479" s="1459">
        <v>2</v>
      </c>
      <c r="G479" s="1470" t="s">
        <v>4261</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4262</v>
      </c>
      <c r="D480" s="1458">
        <v>0</v>
      </c>
      <c r="E480" s="1458">
        <v>1</v>
      </c>
      <c r="F480" s="1459">
        <v>1</v>
      </c>
      <c r="G480" s="1470" t="s">
        <v>4262</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4263</v>
      </c>
      <c r="D481" s="1458">
        <v>0</v>
      </c>
      <c r="E481" s="1458">
        <v>0</v>
      </c>
      <c r="F481" s="1459">
        <v>0</v>
      </c>
      <c r="G481" s="1470" t="s">
        <v>4263</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4264</v>
      </c>
      <c r="D482" s="1458">
        <v>0</v>
      </c>
      <c r="E482" s="1458">
        <v>1</v>
      </c>
      <c r="F482" s="1459">
        <v>1</v>
      </c>
      <c r="G482" s="1470" t="s">
        <v>4264</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4265</v>
      </c>
      <c r="D483" s="1458">
        <v>0</v>
      </c>
      <c r="E483" s="1458">
        <v>0</v>
      </c>
      <c r="F483" s="1459">
        <v>0</v>
      </c>
      <c r="G483" s="1470" t="s">
        <v>4265</v>
      </c>
      <c r="H483" s="1456">
        <v>0</v>
      </c>
      <c r="I483" s="1456" t="s">
        <v>3906</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4266</v>
      </c>
      <c r="D484" s="1458">
        <v>0</v>
      </c>
      <c r="E484" s="1458">
        <v>1</v>
      </c>
      <c r="F484" s="1459">
        <v>1</v>
      </c>
      <c r="G484" s="1470" t="s">
        <v>4266</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4267</v>
      </c>
      <c r="D485" s="1458">
        <v>0</v>
      </c>
      <c r="E485" s="1458">
        <v>0</v>
      </c>
      <c r="F485" s="1459">
        <v>0</v>
      </c>
      <c r="G485" s="1470" t="s">
        <v>4267</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4268</v>
      </c>
      <c r="D486" s="1458">
        <v>0</v>
      </c>
      <c r="E486" s="1458">
        <v>0</v>
      </c>
      <c r="F486" s="1459">
        <v>0</v>
      </c>
      <c r="G486" s="1470" t="s">
        <v>4268</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4269</v>
      </c>
      <c r="D487" s="1458">
        <v>0</v>
      </c>
      <c r="E487" s="1458">
        <v>1</v>
      </c>
      <c r="F487" s="1459">
        <v>1</v>
      </c>
      <c r="G487" s="1470" t="s">
        <v>4269</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4270</v>
      </c>
      <c r="D488" s="1458">
        <v>1</v>
      </c>
      <c r="E488" s="1458">
        <v>1</v>
      </c>
      <c r="F488" s="1459">
        <v>2</v>
      </c>
      <c r="G488" s="1470" t="s">
        <v>4270</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4271</v>
      </c>
      <c r="D489" s="1458">
        <v>0</v>
      </c>
      <c r="E489" s="1458">
        <v>1</v>
      </c>
      <c r="F489" s="1459">
        <v>1</v>
      </c>
      <c r="G489" s="1470" t="s">
        <v>4271</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4272</v>
      </c>
      <c r="D490" s="1458">
        <v>0</v>
      </c>
      <c r="E490" s="1458">
        <v>1</v>
      </c>
      <c r="F490" s="1459">
        <v>1</v>
      </c>
      <c r="G490" s="1470" t="s">
        <v>4272</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4273</v>
      </c>
      <c r="D491" s="1458">
        <v>0</v>
      </c>
      <c r="E491" s="1458">
        <v>1</v>
      </c>
      <c r="F491" s="1459">
        <v>1</v>
      </c>
      <c r="G491" s="1470" t="s">
        <v>4273</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4274</v>
      </c>
      <c r="D492" s="1458">
        <v>1</v>
      </c>
      <c r="E492" s="1458">
        <v>1</v>
      </c>
      <c r="F492" s="1459">
        <v>2</v>
      </c>
      <c r="G492" s="1470" t="s">
        <v>4274</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4275</v>
      </c>
      <c r="D493" s="1458">
        <v>1</v>
      </c>
      <c r="E493" s="1458">
        <v>1</v>
      </c>
      <c r="F493" s="1459">
        <v>2</v>
      </c>
      <c r="G493" s="1470" t="s">
        <v>4275</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4276</v>
      </c>
      <c r="D494" s="1458">
        <v>0</v>
      </c>
      <c r="E494" s="1458">
        <v>0</v>
      </c>
      <c r="F494" s="1459">
        <v>0</v>
      </c>
      <c r="G494" s="1470" t="s">
        <v>4276</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4277</v>
      </c>
      <c r="D495" s="1458">
        <v>0</v>
      </c>
      <c r="E495" s="1458">
        <v>0</v>
      </c>
      <c r="F495" s="1459">
        <v>0</v>
      </c>
      <c r="G495" s="1470" t="s">
        <v>4277</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4278</v>
      </c>
      <c r="D496" s="1458">
        <v>1</v>
      </c>
      <c r="E496" s="1458">
        <v>0</v>
      </c>
      <c r="F496" s="1459">
        <v>1</v>
      </c>
      <c r="G496" s="1470" t="s">
        <v>4278</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4279</v>
      </c>
      <c r="D497" s="1458">
        <v>1</v>
      </c>
      <c r="E497" s="1458">
        <v>1</v>
      </c>
      <c r="F497" s="1459">
        <v>2</v>
      </c>
      <c r="G497" s="1470" t="s">
        <v>4279</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4280</v>
      </c>
      <c r="D498" s="1458">
        <v>1</v>
      </c>
      <c r="E498" s="1458">
        <v>1</v>
      </c>
      <c r="F498" s="1459">
        <v>2</v>
      </c>
      <c r="G498" s="1470" t="s">
        <v>4280</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4281</v>
      </c>
      <c r="D499" s="1458">
        <v>1</v>
      </c>
      <c r="E499" s="1458">
        <v>1</v>
      </c>
      <c r="F499" s="1459">
        <v>2</v>
      </c>
      <c r="G499" s="1470" t="s">
        <v>4281</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4282</v>
      </c>
      <c r="D500" s="1458">
        <v>1</v>
      </c>
      <c r="E500" s="1458">
        <v>1</v>
      </c>
      <c r="F500" s="1459">
        <v>2</v>
      </c>
      <c r="G500" s="1470" t="s">
        <v>4282</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4283</v>
      </c>
      <c r="D501" s="1458">
        <v>1</v>
      </c>
      <c r="E501" s="1458">
        <v>1</v>
      </c>
      <c r="F501" s="1459">
        <v>2</v>
      </c>
      <c r="G501" s="1470" t="s">
        <v>4283</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4284</v>
      </c>
      <c r="D502" s="1458">
        <v>0</v>
      </c>
      <c r="E502" s="1458">
        <v>0</v>
      </c>
      <c r="F502" s="1459">
        <v>0</v>
      </c>
      <c r="G502" s="1470" t="s">
        <v>4284</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4285</v>
      </c>
      <c r="D503" s="1458">
        <v>1</v>
      </c>
      <c r="E503" s="1458">
        <v>0</v>
      </c>
      <c r="F503" s="1459">
        <v>1</v>
      </c>
      <c r="G503" s="1470" t="s">
        <v>4285</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4286</v>
      </c>
      <c r="D504" s="1458">
        <v>0</v>
      </c>
      <c r="E504" s="1458">
        <v>0</v>
      </c>
      <c r="F504" s="1459">
        <v>0</v>
      </c>
      <c r="G504" s="1470" t="s">
        <v>4286</v>
      </c>
      <c r="H504" s="1456">
        <v>1</v>
      </c>
      <c r="I504" s="1456">
        <v>0</v>
      </c>
      <c r="J504" s="1471">
        <v>1</v>
      </c>
      <c r="K504" s="1460"/>
      <c r="L504" s="1454">
        <v>13047030600</v>
      </c>
      <c r="M504" s="1455">
        <v>1</v>
      </c>
      <c r="N504" s="1455">
        <v>0</v>
      </c>
      <c r="O504" s="1455">
        <v>1</v>
      </c>
      <c r="P504" s="241" t="s">
        <v>546</v>
      </c>
      <c r="Q504" s="241"/>
      <c r="R504" s="147"/>
      <c r="S504" s="236"/>
      <c r="T504" s="236" t="s">
        <v>3346</v>
      </c>
      <c r="U504" s="236" t="s">
        <v>813</v>
      </c>
      <c r="AA504"/>
      <c r="AB504"/>
      <c r="AC504" s="68"/>
      <c r="AD504" s="68"/>
    </row>
    <row r="505" spans="3:30" ht="10.5" customHeight="1">
      <c r="C505" s="1461" t="s">
        <v>4287</v>
      </c>
      <c r="D505" s="1458">
        <v>0</v>
      </c>
      <c r="E505" s="1458">
        <v>0</v>
      </c>
      <c r="F505" s="1459">
        <v>0</v>
      </c>
      <c r="G505" s="1470" t="s">
        <v>4287</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4288</v>
      </c>
      <c r="D506" s="1458">
        <v>0</v>
      </c>
      <c r="E506" s="1458">
        <v>0</v>
      </c>
      <c r="F506" s="1459">
        <v>0</v>
      </c>
      <c r="G506" s="1470" t="s">
        <v>4288</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4289</v>
      </c>
      <c r="D507" s="1458">
        <v>0</v>
      </c>
      <c r="E507" s="1458">
        <v>0</v>
      </c>
      <c r="F507" s="1459">
        <v>0</v>
      </c>
      <c r="G507" s="1470" t="s">
        <v>4289</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4290</v>
      </c>
      <c r="D508" s="1458">
        <v>0</v>
      </c>
      <c r="E508" s="1458">
        <v>0</v>
      </c>
      <c r="F508" s="1459">
        <v>0</v>
      </c>
      <c r="G508" s="1470" t="s">
        <v>4290</v>
      </c>
      <c r="H508" s="1456">
        <v>0</v>
      </c>
      <c r="I508" s="1456" t="s">
        <v>3906</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4291</v>
      </c>
      <c r="D509" s="1458">
        <v>1</v>
      </c>
      <c r="E509" s="1458">
        <v>1</v>
      </c>
      <c r="F509" s="1459">
        <v>2</v>
      </c>
      <c r="G509" s="1470" t="s">
        <v>4291</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4292</v>
      </c>
      <c r="D510" s="1458">
        <v>0</v>
      </c>
      <c r="E510" s="1458">
        <v>0</v>
      </c>
      <c r="F510" s="1459">
        <v>0</v>
      </c>
      <c r="G510" s="1470" t="s">
        <v>4292</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4293</v>
      </c>
      <c r="D511" s="1458">
        <v>0</v>
      </c>
      <c r="E511" s="1458">
        <v>0</v>
      </c>
      <c r="F511" s="1459">
        <v>0</v>
      </c>
      <c r="G511" s="1470" t="s">
        <v>4293</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4294</v>
      </c>
      <c r="D512" s="1458">
        <v>0</v>
      </c>
      <c r="E512" s="1458">
        <v>0</v>
      </c>
      <c r="F512" s="1459">
        <v>0</v>
      </c>
      <c r="G512" s="1470" t="s">
        <v>4294</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4295</v>
      </c>
      <c r="D513" s="1458">
        <v>0</v>
      </c>
      <c r="E513" s="1458">
        <v>0</v>
      </c>
      <c r="F513" s="1459">
        <v>0</v>
      </c>
      <c r="G513" s="1470" t="s">
        <v>4295</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4296</v>
      </c>
      <c r="D514" s="1458">
        <v>0</v>
      </c>
      <c r="E514" s="1458">
        <v>0</v>
      </c>
      <c r="F514" s="1459">
        <v>0</v>
      </c>
      <c r="G514" s="1470" t="s">
        <v>4296</v>
      </c>
      <c r="H514" s="1456">
        <v>0</v>
      </c>
      <c r="I514" s="1456" t="s">
        <v>3906</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4297</v>
      </c>
      <c r="D515" s="1458">
        <v>0</v>
      </c>
      <c r="E515" s="1458">
        <v>0</v>
      </c>
      <c r="F515" s="1459">
        <v>0</v>
      </c>
      <c r="G515" s="1470" t="s">
        <v>4297</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4298</v>
      </c>
      <c r="D516" s="1458">
        <v>0</v>
      </c>
      <c r="E516" s="1458">
        <v>0</v>
      </c>
      <c r="F516" s="1459">
        <v>0</v>
      </c>
      <c r="G516" s="1470" t="s">
        <v>4298</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4299</v>
      </c>
      <c r="D517" s="1458">
        <v>0</v>
      </c>
      <c r="E517" s="1458">
        <v>0</v>
      </c>
      <c r="F517" s="1459">
        <v>0</v>
      </c>
      <c r="G517" s="1470" t="s">
        <v>4299</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4300</v>
      </c>
      <c r="D518" s="1458">
        <v>0</v>
      </c>
      <c r="E518" s="1458">
        <v>0</v>
      </c>
      <c r="F518" s="1459">
        <v>0</v>
      </c>
      <c r="G518" s="1470" t="s">
        <v>4300</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4301</v>
      </c>
      <c r="D519" s="1458">
        <v>0</v>
      </c>
      <c r="E519" s="1458">
        <v>0</v>
      </c>
      <c r="F519" s="1459">
        <v>0</v>
      </c>
      <c r="G519" s="1470" t="s">
        <v>4301</v>
      </c>
      <c r="H519" s="1456">
        <v>0</v>
      </c>
      <c r="I519" s="1456" t="s">
        <v>3906</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4302</v>
      </c>
      <c r="D520" s="1458">
        <v>0</v>
      </c>
      <c r="E520" s="1458">
        <v>0</v>
      </c>
      <c r="F520" s="1459">
        <v>0</v>
      </c>
      <c r="G520" s="1470" t="s">
        <v>4302</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4303</v>
      </c>
      <c r="D521" s="1458">
        <v>0</v>
      </c>
      <c r="E521" s="1458">
        <v>0</v>
      </c>
      <c r="F521" s="1459">
        <v>0</v>
      </c>
      <c r="G521" s="1470" t="s">
        <v>4303</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4304</v>
      </c>
      <c r="D522" s="1458">
        <v>1</v>
      </c>
      <c r="E522" s="1458">
        <v>1</v>
      </c>
      <c r="F522" s="1459">
        <v>2</v>
      </c>
      <c r="G522" s="1470" t="s">
        <v>4304</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4305</v>
      </c>
      <c r="D523" s="1458">
        <v>1</v>
      </c>
      <c r="E523" s="1458">
        <v>1</v>
      </c>
      <c r="F523" s="1459">
        <v>2</v>
      </c>
      <c r="G523" s="1470" t="s">
        <v>4305</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4306</v>
      </c>
      <c r="D524" s="1458">
        <v>0</v>
      </c>
      <c r="E524" s="1458">
        <v>0</v>
      </c>
      <c r="F524" s="1459">
        <v>0</v>
      </c>
      <c r="G524" s="1470" t="s">
        <v>4306</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4307</v>
      </c>
      <c r="D525" s="1458">
        <v>0</v>
      </c>
      <c r="E525" s="1458">
        <v>0</v>
      </c>
      <c r="F525" s="1459">
        <v>0</v>
      </c>
      <c r="G525" s="1470" t="s">
        <v>4307</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4308</v>
      </c>
      <c r="D526" s="1458">
        <v>1</v>
      </c>
      <c r="E526" s="1458">
        <v>0</v>
      </c>
      <c r="F526" s="1459">
        <v>1</v>
      </c>
      <c r="G526" s="1470" t="s">
        <v>4308</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4309</v>
      </c>
      <c r="D527" s="1458">
        <v>0</v>
      </c>
      <c r="E527" s="1458">
        <v>0</v>
      </c>
      <c r="F527" s="1459">
        <v>0</v>
      </c>
      <c r="G527" s="1470" t="s">
        <v>4309</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4310</v>
      </c>
      <c r="D528" s="1458">
        <v>0</v>
      </c>
      <c r="E528" s="1458">
        <v>0</v>
      </c>
      <c r="F528" s="1459">
        <v>0</v>
      </c>
      <c r="G528" s="1470" t="s">
        <v>4310</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4311</v>
      </c>
      <c r="D529" s="1458">
        <v>0</v>
      </c>
      <c r="E529" s="1458">
        <v>0</v>
      </c>
      <c r="F529" s="1459">
        <v>0</v>
      </c>
      <c r="G529" s="1470" t="s">
        <v>4311</v>
      </c>
      <c r="H529" s="1456">
        <v>0</v>
      </c>
      <c r="I529" s="1456" t="s">
        <v>3906</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4312</v>
      </c>
      <c r="D530" s="1458">
        <v>0</v>
      </c>
      <c r="E530" s="1458">
        <v>0</v>
      </c>
      <c r="F530" s="1459">
        <v>0</v>
      </c>
      <c r="G530" s="1470" t="s">
        <v>4312</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4313</v>
      </c>
      <c r="D531" s="1458">
        <v>0</v>
      </c>
      <c r="E531" s="1458">
        <v>0</v>
      </c>
      <c r="F531" s="1459">
        <v>0</v>
      </c>
      <c r="G531" s="1470" t="s">
        <v>4313</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4314</v>
      </c>
      <c r="D532" s="1458">
        <v>0</v>
      </c>
      <c r="E532" s="1458">
        <v>0</v>
      </c>
      <c r="F532" s="1459">
        <v>0</v>
      </c>
      <c r="G532" s="1470" t="s">
        <v>4314</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4315</v>
      </c>
      <c r="D533" s="1458">
        <v>0</v>
      </c>
      <c r="E533" s="1458">
        <v>0</v>
      </c>
      <c r="F533" s="1459">
        <v>0</v>
      </c>
      <c r="G533" s="1470" t="s">
        <v>4315</v>
      </c>
      <c r="H533" s="1456">
        <v>0</v>
      </c>
      <c r="I533" s="1456" t="s">
        <v>3906</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4316</v>
      </c>
      <c r="D534" s="1458">
        <v>0</v>
      </c>
      <c r="E534" s="1458">
        <v>0</v>
      </c>
      <c r="F534" s="1459">
        <v>0</v>
      </c>
      <c r="G534" s="1470" t="s">
        <v>4316</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4317</v>
      </c>
      <c r="D535" s="1458">
        <v>0</v>
      </c>
      <c r="E535" s="1458">
        <v>0</v>
      </c>
      <c r="F535" s="1459">
        <v>0</v>
      </c>
      <c r="G535" s="1470" t="s">
        <v>4317</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4318</v>
      </c>
      <c r="D536" s="1458">
        <v>1</v>
      </c>
      <c r="E536" s="1458">
        <v>0</v>
      </c>
      <c r="F536" s="1459">
        <v>1</v>
      </c>
      <c r="G536" s="1470" t="s">
        <v>4318</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4319</v>
      </c>
      <c r="D537" s="1458">
        <v>0</v>
      </c>
      <c r="E537" s="1458">
        <v>0</v>
      </c>
      <c r="F537" s="1459">
        <v>0</v>
      </c>
      <c r="G537" s="1470" t="s">
        <v>4319</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4320</v>
      </c>
      <c r="D538" s="1458">
        <v>0</v>
      </c>
      <c r="E538" s="1458">
        <v>0</v>
      </c>
      <c r="F538" s="1459">
        <v>0</v>
      </c>
      <c r="G538" s="1470" t="s">
        <v>4320</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4321</v>
      </c>
      <c r="D539" s="1458">
        <v>0</v>
      </c>
      <c r="E539" s="1458">
        <v>0</v>
      </c>
      <c r="F539" s="1459">
        <v>0</v>
      </c>
      <c r="G539" s="1470" t="s">
        <v>4321</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4322</v>
      </c>
      <c r="D540" s="1458">
        <v>0</v>
      </c>
      <c r="E540" s="1458">
        <v>0</v>
      </c>
      <c r="F540" s="1459">
        <v>0</v>
      </c>
      <c r="G540" s="1470" t="s">
        <v>4322</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4323</v>
      </c>
      <c r="D541" s="1458">
        <v>0</v>
      </c>
      <c r="E541" s="1458">
        <v>0</v>
      </c>
      <c r="F541" s="1459">
        <v>0</v>
      </c>
      <c r="G541" s="1470" t="s">
        <v>4323</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4324</v>
      </c>
      <c r="D542" s="1458">
        <v>0</v>
      </c>
      <c r="E542" s="1458">
        <v>1</v>
      </c>
      <c r="F542" s="1459">
        <v>1</v>
      </c>
      <c r="G542" s="1470" t="s">
        <v>4324</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4325</v>
      </c>
      <c r="D543" s="1458">
        <v>0</v>
      </c>
      <c r="E543" s="1458">
        <v>1</v>
      </c>
      <c r="F543" s="1459">
        <v>1</v>
      </c>
      <c r="G543" s="1470" t="s">
        <v>4325</v>
      </c>
      <c r="H543" s="1456">
        <v>0</v>
      </c>
      <c r="I543" s="1456" t="s">
        <v>3906</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4326</v>
      </c>
      <c r="D544" s="1458">
        <v>0</v>
      </c>
      <c r="E544" s="1458">
        <v>0</v>
      </c>
      <c r="F544" s="1459">
        <v>0</v>
      </c>
      <c r="G544" s="1470" t="s">
        <v>4326</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4327</v>
      </c>
      <c r="D545" s="1458">
        <v>0</v>
      </c>
      <c r="E545" s="1458">
        <v>0</v>
      </c>
      <c r="F545" s="1459">
        <v>0</v>
      </c>
      <c r="G545" s="1470" t="s">
        <v>4327</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4328</v>
      </c>
      <c r="D546" s="1458">
        <v>0</v>
      </c>
      <c r="E546" s="1458">
        <v>0</v>
      </c>
      <c r="F546" s="1459">
        <v>0</v>
      </c>
      <c r="G546" s="1470" t="s">
        <v>4328</v>
      </c>
      <c r="H546" s="1456" t="s">
        <v>3906</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4329</v>
      </c>
      <c r="D547" s="1458">
        <v>0</v>
      </c>
      <c r="E547" s="1458">
        <v>0</v>
      </c>
      <c r="F547" s="1459">
        <v>0</v>
      </c>
      <c r="G547" s="1470" t="s">
        <v>4329</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4330</v>
      </c>
      <c r="D548" s="1458">
        <v>0</v>
      </c>
      <c r="E548" s="1458">
        <v>0</v>
      </c>
      <c r="F548" s="1459">
        <v>0</v>
      </c>
      <c r="G548" s="1470" t="s">
        <v>4330</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4331</v>
      </c>
      <c r="D549" s="1458">
        <v>0</v>
      </c>
      <c r="E549" s="1458">
        <v>0</v>
      </c>
      <c r="F549" s="1459">
        <v>0</v>
      </c>
      <c r="G549" s="1470" t="s">
        <v>4331</v>
      </c>
      <c r="H549" s="1456">
        <v>0</v>
      </c>
      <c r="I549" s="1456" t="s">
        <v>3906</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4332</v>
      </c>
      <c r="D550" s="1458">
        <v>0</v>
      </c>
      <c r="E550" s="1458">
        <v>0</v>
      </c>
      <c r="F550" s="1459">
        <v>0</v>
      </c>
      <c r="G550" s="1470" t="s">
        <v>4332</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4333</v>
      </c>
      <c r="D551" s="1458">
        <v>0</v>
      </c>
      <c r="E551" s="1458">
        <v>0</v>
      </c>
      <c r="F551" s="1459">
        <v>0</v>
      </c>
      <c r="G551" s="1470" t="s">
        <v>4333</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4334</v>
      </c>
      <c r="D552" s="1458">
        <v>1</v>
      </c>
      <c r="E552" s="1458">
        <v>0</v>
      </c>
      <c r="F552" s="1459">
        <v>1</v>
      </c>
      <c r="G552" s="1470" t="s">
        <v>4334</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4335</v>
      </c>
      <c r="D553" s="1458" t="s">
        <v>3906</v>
      </c>
      <c r="E553" s="1458" t="s">
        <v>3906</v>
      </c>
      <c r="F553" s="1459">
        <v>0</v>
      </c>
      <c r="G553" s="1470" t="s">
        <v>4335</v>
      </c>
      <c r="H553" s="1456" t="s">
        <v>3906</v>
      </c>
      <c r="I553" s="1456" t="s">
        <v>3906</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4336</v>
      </c>
      <c r="D554" s="1458">
        <v>1</v>
      </c>
      <c r="E554" s="1458">
        <v>1</v>
      </c>
      <c r="F554" s="1459">
        <v>2</v>
      </c>
      <c r="G554" s="1470" t="s">
        <v>4336</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4337</v>
      </c>
      <c r="D555" s="1458">
        <v>1</v>
      </c>
      <c r="E555" s="1458">
        <v>0</v>
      </c>
      <c r="F555" s="1459">
        <v>1</v>
      </c>
      <c r="G555" s="1470" t="s">
        <v>4337</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4338</v>
      </c>
      <c r="D556" s="1458">
        <v>1</v>
      </c>
      <c r="E556" s="1458">
        <v>1</v>
      </c>
      <c r="F556" s="1459">
        <v>2</v>
      </c>
      <c r="G556" s="1470" t="s">
        <v>4338</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4339</v>
      </c>
      <c r="D557" s="1458">
        <v>1</v>
      </c>
      <c r="E557" s="1458">
        <v>1</v>
      </c>
      <c r="F557" s="1459">
        <v>2</v>
      </c>
      <c r="G557" s="1470" t="s">
        <v>4339</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4340</v>
      </c>
      <c r="D558" s="1458">
        <v>1</v>
      </c>
      <c r="E558" s="1458">
        <v>1</v>
      </c>
      <c r="F558" s="1459">
        <v>2</v>
      </c>
      <c r="G558" s="1470" t="s">
        <v>4340</v>
      </c>
      <c r="H558" s="1456">
        <v>0</v>
      </c>
      <c r="I558" s="1456" t="s">
        <v>3906</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4341</v>
      </c>
      <c r="D559" s="1458">
        <v>1</v>
      </c>
      <c r="E559" s="1458">
        <v>1</v>
      </c>
      <c r="F559" s="1459">
        <v>2</v>
      </c>
      <c r="G559" s="1470" t="s">
        <v>4341</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4342</v>
      </c>
      <c r="D560" s="1458">
        <v>1</v>
      </c>
      <c r="E560" s="1458">
        <v>0</v>
      </c>
      <c r="F560" s="1459">
        <v>1</v>
      </c>
      <c r="G560" s="1470" t="s">
        <v>4342</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4343</v>
      </c>
      <c r="D561" s="1458">
        <v>1</v>
      </c>
      <c r="E561" s="1458">
        <v>1</v>
      </c>
      <c r="F561" s="1459">
        <v>2</v>
      </c>
      <c r="G561" s="1470" t="s">
        <v>4343</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4344</v>
      </c>
      <c r="D562" s="1458">
        <v>0</v>
      </c>
      <c r="E562" s="1458">
        <v>0</v>
      </c>
      <c r="F562" s="1459">
        <v>0</v>
      </c>
      <c r="G562" s="1470" t="s">
        <v>4344</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4345</v>
      </c>
      <c r="D563" s="1458">
        <v>1</v>
      </c>
      <c r="E563" s="1458">
        <v>1</v>
      </c>
      <c r="F563" s="1459">
        <v>2</v>
      </c>
      <c r="G563" s="1470" t="s">
        <v>4345</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4346</v>
      </c>
      <c r="D564" s="1458">
        <v>1</v>
      </c>
      <c r="E564" s="1458">
        <v>1</v>
      </c>
      <c r="F564" s="1459">
        <v>2</v>
      </c>
      <c r="G564" s="1470" t="s">
        <v>4346</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4347</v>
      </c>
      <c r="D565" s="1458">
        <v>1</v>
      </c>
      <c r="E565" s="1458">
        <v>1</v>
      </c>
      <c r="F565" s="1459">
        <v>2</v>
      </c>
      <c r="G565" s="1470" t="s">
        <v>4347</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4348</v>
      </c>
      <c r="D566" s="1458">
        <v>1</v>
      </c>
      <c r="E566" s="1458">
        <v>1</v>
      </c>
      <c r="F566" s="1459">
        <v>2</v>
      </c>
      <c r="G566" s="1470" t="s">
        <v>4348</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4349</v>
      </c>
      <c r="D567" s="1458">
        <v>1</v>
      </c>
      <c r="E567" s="1458">
        <v>1</v>
      </c>
      <c r="F567" s="1459">
        <v>2</v>
      </c>
      <c r="G567" s="1470" t="s">
        <v>4349</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4350</v>
      </c>
      <c r="D568" s="1458">
        <v>1</v>
      </c>
      <c r="E568" s="1458">
        <v>1</v>
      </c>
      <c r="F568" s="1459">
        <v>2</v>
      </c>
      <c r="G568" s="1470" t="s">
        <v>4350</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4351</v>
      </c>
      <c r="D569" s="1458">
        <v>1</v>
      </c>
      <c r="E569" s="1458">
        <v>1</v>
      </c>
      <c r="F569" s="1459">
        <v>2</v>
      </c>
      <c r="G569" s="1470" t="s">
        <v>4351</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4352</v>
      </c>
      <c r="D570" s="1458">
        <v>1</v>
      </c>
      <c r="E570" s="1458">
        <v>1</v>
      </c>
      <c r="F570" s="1459">
        <v>2</v>
      </c>
      <c r="G570" s="1470" t="s">
        <v>4352</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4353</v>
      </c>
      <c r="D571" s="1458">
        <v>1</v>
      </c>
      <c r="E571" s="1458">
        <v>1</v>
      </c>
      <c r="F571" s="1459">
        <v>2</v>
      </c>
      <c r="G571" s="1470" t="s">
        <v>4353</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4354</v>
      </c>
      <c r="D572" s="1458">
        <v>1</v>
      </c>
      <c r="E572" s="1458">
        <v>1</v>
      </c>
      <c r="F572" s="1459">
        <v>2</v>
      </c>
      <c r="G572" s="1470" t="s">
        <v>4354</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4355</v>
      </c>
      <c r="D573" s="1458">
        <v>0</v>
      </c>
      <c r="E573" s="1458">
        <v>1</v>
      </c>
      <c r="F573" s="1459">
        <v>1</v>
      </c>
      <c r="G573" s="1470" t="s">
        <v>4355</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4356</v>
      </c>
      <c r="D574" s="1458">
        <v>0</v>
      </c>
      <c r="E574" s="1458">
        <v>0</v>
      </c>
      <c r="F574" s="1459">
        <v>0</v>
      </c>
      <c r="G574" s="1470" t="s">
        <v>4356</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4357</v>
      </c>
      <c r="D575" s="1458">
        <v>0</v>
      </c>
      <c r="E575" s="1458">
        <v>0</v>
      </c>
      <c r="F575" s="1459">
        <v>0</v>
      </c>
      <c r="G575" s="1470" t="s">
        <v>4357</v>
      </c>
      <c r="H575" s="1456">
        <v>0</v>
      </c>
      <c r="I575" s="1456" t="s">
        <v>3906</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4358</v>
      </c>
      <c r="D576" s="1458">
        <v>1</v>
      </c>
      <c r="E576" s="1458">
        <v>1</v>
      </c>
      <c r="F576" s="1459">
        <v>2</v>
      </c>
      <c r="G576" s="1470" t="s">
        <v>4358</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4359</v>
      </c>
      <c r="D577" s="1458">
        <v>0</v>
      </c>
      <c r="E577" s="1458">
        <v>0</v>
      </c>
      <c r="F577" s="1459">
        <v>0</v>
      </c>
      <c r="G577" s="1470" t="s">
        <v>4359</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4360</v>
      </c>
      <c r="D578" s="1458" t="s">
        <v>3906</v>
      </c>
      <c r="E578" s="1458" t="s">
        <v>3906</v>
      </c>
      <c r="F578" s="1459">
        <v>0</v>
      </c>
      <c r="G578" s="1470" t="s">
        <v>4360</v>
      </c>
      <c r="H578" s="1456" t="s">
        <v>3906</v>
      </c>
      <c r="I578" s="1456" t="s">
        <v>3906</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4361</v>
      </c>
      <c r="D579" s="1458" t="s">
        <v>3906</v>
      </c>
      <c r="E579" s="1458" t="s">
        <v>3906</v>
      </c>
      <c r="F579" s="1459">
        <v>0</v>
      </c>
      <c r="G579" s="1470" t="s">
        <v>4361</v>
      </c>
      <c r="H579" s="1456" t="s">
        <v>3906</v>
      </c>
      <c r="I579" s="1456" t="s">
        <v>3906</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4362</v>
      </c>
      <c r="D580" s="1458">
        <v>0</v>
      </c>
      <c r="E580" s="1458">
        <v>0</v>
      </c>
      <c r="F580" s="1459">
        <v>0</v>
      </c>
      <c r="G580" s="1470" t="s">
        <v>4362</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4363</v>
      </c>
      <c r="D581" s="1458">
        <v>0</v>
      </c>
      <c r="E581" s="1458">
        <v>1</v>
      </c>
      <c r="F581" s="1459">
        <v>1</v>
      </c>
      <c r="G581" s="1470" t="s">
        <v>4363</v>
      </c>
      <c r="H581" s="1456">
        <v>0</v>
      </c>
      <c r="I581" s="1456" t="s">
        <v>3906</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4364</v>
      </c>
      <c r="D582" s="1458">
        <v>0</v>
      </c>
      <c r="E582" s="1458">
        <v>1</v>
      </c>
      <c r="F582" s="1459">
        <v>1</v>
      </c>
      <c r="G582" s="1470" t="s">
        <v>4364</v>
      </c>
      <c r="H582" s="1456">
        <v>0</v>
      </c>
      <c r="I582" s="1456" t="s">
        <v>3906</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4365</v>
      </c>
      <c r="D583" s="1458">
        <v>0</v>
      </c>
      <c r="E583" s="1458">
        <v>1</v>
      </c>
      <c r="F583" s="1459">
        <v>1</v>
      </c>
      <c r="G583" s="1470" t="s">
        <v>4365</v>
      </c>
      <c r="H583" s="1456">
        <v>0</v>
      </c>
      <c r="I583" s="1456" t="s">
        <v>3906</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4366</v>
      </c>
      <c r="D584" s="1458" t="s">
        <v>3906</v>
      </c>
      <c r="E584" s="1458" t="s">
        <v>3906</v>
      </c>
      <c r="F584" s="1459">
        <v>0</v>
      </c>
      <c r="G584" s="1470" t="s">
        <v>4366</v>
      </c>
      <c r="H584" s="1456" t="s">
        <v>3906</v>
      </c>
      <c r="I584" s="1456" t="s">
        <v>3906</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4367</v>
      </c>
      <c r="D585" s="1458">
        <v>0</v>
      </c>
      <c r="E585" s="1458">
        <v>0</v>
      </c>
      <c r="F585" s="1459">
        <v>0</v>
      </c>
      <c r="G585" s="1470" t="s">
        <v>4367</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4368</v>
      </c>
      <c r="D586" s="1458">
        <v>0</v>
      </c>
      <c r="E586" s="1458">
        <v>0</v>
      </c>
      <c r="F586" s="1459">
        <v>0</v>
      </c>
      <c r="G586" s="1470" t="s">
        <v>4368</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4369</v>
      </c>
      <c r="D587" s="1458">
        <v>0</v>
      </c>
      <c r="E587" s="1458">
        <v>0</v>
      </c>
      <c r="F587" s="1459">
        <v>0</v>
      </c>
      <c r="G587" s="1470" t="s">
        <v>4369</v>
      </c>
      <c r="H587" s="1456">
        <v>0</v>
      </c>
      <c r="I587" s="1456" t="s">
        <v>3906</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4370</v>
      </c>
      <c r="D588" s="1458">
        <v>0</v>
      </c>
      <c r="E588" s="1458">
        <v>0</v>
      </c>
      <c r="F588" s="1459">
        <v>0</v>
      </c>
      <c r="G588" s="1470" t="s">
        <v>4370</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4371</v>
      </c>
      <c r="D589" s="1458">
        <v>0</v>
      </c>
      <c r="E589" s="1458">
        <v>0</v>
      </c>
      <c r="F589" s="1459">
        <v>0</v>
      </c>
      <c r="G589" s="1470" t="s">
        <v>4371</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4372</v>
      </c>
      <c r="D590" s="1458">
        <v>0</v>
      </c>
      <c r="E590" s="1458">
        <v>0</v>
      </c>
      <c r="F590" s="1459">
        <v>0</v>
      </c>
      <c r="G590" s="1470" t="s">
        <v>4372</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4373</v>
      </c>
      <c r="D591" s="1458">
        <v>1</v>
      </c>
      <c r="E591" s="1458">
        <v>1</v>
      </c>
      <c r="F591" s="1459">
        <v>2</v>
      </c>
      <c r="G591" s="1470" t="s">
        <v>4373</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4374</v>
      </c>
      <c r="D592" s="1458">
        <v>1</v>
      </c>
      <c r="E592" s="1458">
        <v>1</v>
      </c>
      <c r="F592" s="1459">
        <v>2</v>
      </c>
      <c r="G592" s="1470" t="s">
        <v>4374</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4375</v>
      </c>
      <c r="D593" s="1458">
        <v>1</v>
      </c>
      <c r="E593" s="1458">
        <v>1</v>
      </c>
      <c r="F593" s="1459">
        <v>2</v>
      </c>
      <c r="G593" s="1470" t="s">
        <v>4375</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4376</v>
      </c>
      <c r="D594" s="1458">
        <v>0</v>
      </c>
      <c r="E594" s="1458">
        <v>0</v>
      </c>
      <c r="F594" s="1459">
        <v>0</v>
      </c>
      <c r="G594" s="1470" t="s">
        <v>4376</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4377</v>
      </c>
      <c r="D595" s="1458">
        <v>1</v>
      </c>
      <c r="E595" s="1458">
        <v>1</v>
      </c>
      <c r="F595" s="1459">
        <v>2</v>
      </c>
      <c r="G595" s="1470" t="s">
        <v>4377</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4378</v>
      </c>
      <c r="D596" s="1458">
        <v>1</v>
      </c>
      <c r="E596" s="1458">
        <v>1</v>
      </c>
      <c r="F596" s="1459">
        <v>2</v>
      </c>
      <c r="G596" s="1470" t="s">
        <v>4378</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4379</v>
      </c>
      <c r="D597" s="1458">
        <v>0</v>
      </c>
      <c r="E597" s="1458">
        <v>0</v>
      </c>
      <c r="F597" s="1459">
        <v>0</v>
      </c>
      <c r="G597" s="1470" t="s">
        <v>4379</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4380</v>
      </c>
      <c r="D598" s="1458">
        <v>1</v>
      </c>
      <c r="E598" s="1458">
        <v>1</v>
      </c>
      <c r="F598" s="1459">
        <v>2</v>
      </c>
      <c r="G598" s="1470" t="s">
        <v>4380</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4381</v>
      </c>
      <c r="D599" s="1458">
        <v>1</v>
      </c>
      <c r="E599" s="1458">
        <v>1</v>
      </c>
      <c r="F599" s="1459">
        <v>2</v>
      </c>
      <c r="G599" s="1470" t="s">
        <v>4381</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4382</v>
      </c>
      <c r="D600" s="1458">
        <v>1</v>
      </c>
      <c r="E600" s="1458">
        <v>1</v>
      </c>
      <c r="F600" s="1459">
        <v>2</v>
      </c>
      <c r="G600" s="1470" t="s">
        <v>4382</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4383</v>
      </c>
      <c r="D601" s="1458">
        <v>1</v>
      </c>
      <c r="E601" s="1458">
        <v>1</v>
      </c>
      <c r="F601" s="1459">
        <v>2</v>
      </c>
      <c r="G601" s="1470" t="s">
        <v>4383</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4384</v>
      </c>
      <c r="D602" s="1458">
        <v>1</v>
      </c>
      <c r="E602" s="1458">
        <v>1</v>
      </c>
      <c r="F602" s="1459">
        <v>2</v>
      </c>
      <c r="G602" s="1470" t="s">
        <v>4384</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4385</v>
      </c>
      <c r="D603" s="1458">
        <v>1</v>
      </c>
      <c r="E603" s="1458">
        <v>1</v>
      </c>
      <c r="F603" s="1459">
        <v>2</v>
      </c>
      <c r="G603" s="1470" t="s">
        <v>4385</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4386</v>
      </c>
      <c r="D604" s="1458">
        <v>1</v>
      </c>
      <c r="E604" s="1458">
        <v>1</v>
      </c>
      <c r="F604" s="1459">
        <v>2</v>
      </c>
      <c r="G604" s="1470" t="s">
        <v>4386</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4387</v>
      </c>
      <c r="D605" s="1458">
        <v>1</v>
      </c>
      <c r="E605" s="1458">
        <v>1</v>
      </c>
      <c r="F605" s="1459">
        <v>2</v>
      </c>
      <c r="G605" s="1470" t="s">
        <v>4387</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4388</v>
      </c>
      <c r="D606" s="1458">
        <v>1</v>
      </c>
      <c r="E606" s="1458">
        <v>1</v>
      </c>
      <c r="F606" s="1459">
        <v>2</v>
      </c>
      <c r="G606" s="1470" t="s">
        <v>4388</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4389</v>
      </c>
      <c r="D607" s="1458">
        <v>1</v>
      </c>
      <c r="E607" s="1458">
        <v>1</v>
      </c>
      <c r="F607" s="1459">
        <v>2</v>
      </c>
      <c r="G607" s="1470" t="s">
        <v>4389</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4390</v>
      </c>
      <c r="D608" s="1458">
        <v>0</v>
      </c>
      <c r="E608" s="1458">
        <v>1</v>
      </c>
      <c r="F608" s="1459">
        <v>1</v>
      </c>
      <c r="G608" s="1470" t="s">
        <v>4390</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4391</v>
      </c>
      <c r="D609" s="1458">
        <v>0</v>
      </c>
      <c r="E609" s="1458">
        <v>0</v>
      </c>
      <c r="F609" s="1459">
        <v>0</v>
      </c>
      <c r="G609" s="1470" t="s">
        <v>4391</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4392</v>
      </c>
      <c r="D610" s="1458">
        <v>1</v>
      </c>
      <c r="E610" s="1458">
        <v>1</v>
      </c>
      <c r="F610" s="1459">
        <v>2</v>
      </c>
      <c r="G610" s="1470" t="s">
        <v>4392</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4393</v>
      </c>
      <c r="D611" s="1458">
        <v>1</v>
      </c>
      <c r="E611" s="1458">
        <v>1</v>
      </c>
      <c r="F611" s="1459">
        <v>2</v>
      </c>
      <c r="G611" s="1470" t="s">
        <v>4393</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4394</v>
      </c>
      <c r="D612" s="1458">
        <v>1</v>
      </c>
      <c r="E612" s="1458">
        <v>1</v>
      </c>
      <c r="F612" s="1459">
        <v>2</v>
      </c>
      <c r="G612" s="1470" t="s">
        <v>4394</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4395</v>
      </c>
      <c r="D613" s="1458">
        <v>1</v>
      </c>
      <c r="E613" s="1458">
        <v>1</v>
      </c>
      <c r="F613" s="1459">
        <v>2</v>
      </c>
      <c r="G613" s="1470" t="s">
        <v>4395</v>
      </c>
      <c r="H613" s="1456">
        <v>1</v>
      </c>
      <c r="I613" s="1456" t="s">
        <v>3906</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4396</v>
      </c>
      <c r="D614" s="1458">
        <v>1</v>
      </c>
      <c r="E614" s="1458">
        <v>1</v>
      </c>
      <c r="F614" s="1459">
        <v>2</v>
      </c>
      <c r="G614" s="1470" t="s">
        <v>4396</v>
      </c>
      <c r="H614" s="1456">
        <v>1</v>
      </c>
      <c r="I614" s="1456" t="s">
        <v>3906</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4397</v>
      </c>
      <c r="D615" s="1458">
        <v>1</v>
      </c>
      <c r="E615" s="1458">
        <v>0</v>
      </c>
      <c r="F615" s="1459">
        <v>1</v>
      </c>
      <c r="G615" s="1470" t="s">
        <v>4397</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4398</v>
      </c>
      <c r="D616" s="1458">
        <v>1</v>
      </c>
      <c r="E616" s="1458">
        <v>1</v>
      </c>
      <c r="F616" s="1459">
        <v>2</v>
      </c>
      <c r="G616" s="1470" t="s">
        <v>4398</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4399</v>
      </c>
      <c r="D617" s="1458">
        <v>0</v>
      </c>
      <c r="E617" s="1458">
        <v>1</v>
      </c>
      <c r="F617" s="1459">
        <v>1</v>
      </c>
      <c r="G617" s="1470" t="s">
        <v>4399</v>
      </c>
      <c r="H617" s="1456">
        <v>0</v>
      </c>
      <c r="I617" s="1456" t="s">
        <v>3906</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4400</v>
      </c>
      <c r="D618" s="1458">
        <v>0</v>
      </c>
      <c r="E618" s="1458">
        <v>0</v>
      </c>
      <c r="F618" s="1459">
        <v>0</v>
      </c>
      <c r="G618" s="1470" t="s">
        <v>4400</v>
      </c>
      <c r="H618" s="1456">
        <v>0</v>
      </c>
      <c r="I618" s="1456" t="s">
        <v>3906</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4401</v>
      </c>
      <c r="D619" s="1458">
        <v>0</v>
      </c>
      <c r="E619" s="1458">
        <v>1</v>
      </c>
      <c r="F619" s="1459">
        <v>1</v>
      </c>
      <c r="G619" s="1470" t="s">
        <v>4401</v>
      </c>
      <c r="H619" s="1456">
        <v>0</v>
      </c>
      <c r="I619" s="1456" t="s">
        <v>3906</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4402</v>
      </c>
      <c r="D620" s="1458">
        <v>0</v>
      </c>
      <c r="E620" s="1458">
        <v>0</v>
      </c>
      <c r="F620" s="1459">
        <v>0</v>
      </c>
      <c r="G620" s="1470" t="s">
        <v>4402</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4403</v>
      </c>
      <c r="D621" s="1458">
        <v>0</v>
      </c>
      <c r="E621" s="1458">
        <v>0</v>
      </c>
      <c r="F621" s="1459">
        <v>0</v>
      </c>
      <c r="G621" s="1470" t="s">
        <v>4403</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4404</v>
      </c>
      <c r="D622" s="1458">
        <v>1</v>
      </c>
      <c r="E622" s="1458">
        <v>0</v>
      </c>
      <c r="F622" s="1459">
        <v>1</v>
      </c>
      <c r="G622" s="1470" t="s">
        <v>4404</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4405</v>
      </c>
      <c r="D623" s="1458">
        <v>1</v>
      </c>
      <c r="E623" s="1458">
        <v>1</v>
      </c>
      <c r="F623" s="1459">
        <v>2</v>
      </c>
      <c r="G623" s="1470" t="s">
        <v>4405</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4406</v>
      </c>
      <c r="D624" s="1458">
        <v>0</v>
      </c>
      <c r="E624" s="1458">
        <v>1</v>
      </c>
      <c r="F624" s="1459">
        <v>1</v>
      </c>
      <c r="G624" s="1470" t="s">
        <v>4406</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4407</v>
      </c>
      <c r="D625" s="1458">
        <v>0</v>
      </c>
      <c r="E625" s="1458">
        <v>0</v>
      </c>
      <c r="F625" s="1459">
        <v>0</v>
      </c>
      <c r="G625" s="1470" t="s">
        <v>4407</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4408</v>
      </c>
      <c r="D626" s="1458">
        <v>1</v>
      </c>
      <c r="E626" s="1458">
        <v>1</v>
      </c>
      <c r="F626" s="1459">
        <v>2</v>
      </c>
      <c r="G626" s="1470" t="s">
        <v>4408</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4409</v>
      </c>
      <c r="D627" s="1458">
        <v>0</v>
      </c>
      <c r="E627" s="1458">
        <v>1</v>
      </c>
      <c r="F627" s="1459">
        <v>1</v>
      </c>
      <c r="G627" s="1470" t="s">
        <v>4409</v>
      </c>
      <c r="H627" s="1456">
        <v>0</v>
      </c>
      <c r="I627" s="1456" t="s">
        <v>3906</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4410</v>
      </c>
      <c r="D628" s="1458">
        <v>1</v>
      </c>
      <c r="E628" s="1458">
        <v>1</v>
      </c>
      <c r="F628" s="1459">
        <v>2</v>
      </c>
      <c r="G628" s="1470" t="s">
        <v>4410</v>
      </c>
      <c r="H628" s="1456">
        <v>1</v>
      </c>
      <c r="I628" s="1456" t="s">
        <v>3906</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4411</v>
      </c>
      <c r="D629" s="1458">
        <v>0</v>
      </c>
      <c r="E629" s="1458">
        <v>0</v>
      </c>
      <c r="F629" s="1459">
        <v>0</v>
      </c>
      <c r="G629" s="1470" t="s">
        <v>4411</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4412</v>
      </c>
      <c r="D630" s="1458">
        <v>0</v>
      </c>
      <c r="E630" s="1458">
        <v>0</v>
      </c>
      <c r="F630" s="1459">
        <v>0</v>
      </c>
      <c r="G630" s="1470" t="s">
        <v>4412</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4413</v>
      </c>
      <c r="D631" s="1458">
        <v>0</v>
      </c>
      <c r="E631" s="1458">
        <v>0</v>
      </c>
      <c r="F631" s="1459">
        <v>0</v>
      </c>
      <c r="G631" s="1470" t="s">
        <v>4413</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4414</v>
      </c>
      <c r="D632" s="1458">
        <v>1</v>
      </c>
      <c r="E632" s="1458">
        <v>0</v>
      </c>
      <c r="F632" s="1459">
        <v>1</v>
      </c>
      <c r="G632" s="1470" t="s">
        <v>4414</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4415</v>
      </c>
      <c r="D633" s="1458">
        <v>0</v>
      </c>
      <c r="E633" s="1458">
        <v>0</v>
      </c>
      <c r="F633" s="1459">
        <v>0</v>
      </c>
      <c r="G633" s="1470" t="s">
        <v>4415</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4416</v>
      </c>
      <c r="D634" s="1458">
        <v>0</v>
      </c>
      <c r="E634" s="1458">
        <v>0</v>
      </c>
      <c r="F634" s="1459">
        <v>0</v>
      </c>
      <c r="G634" s="1470" t="s">
        <v>4416</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4417</v>
      </c>
      <c r="D635" s="1458">
        <v>1</v>
      </c>
      <c r="E635" s="1458">
        <v>1</v>
      </c>
      <c r="F635" s="1459">
        <v>2</v>
      </c>
      <c r="G635" s="1470" t="s">
        <v>4417</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4418</v>
      </c>
      <c r="D636" s="1458">
        <v>0</v>
      </c>
      <c r="E636" s="1458">
        <v>0</v>
      </c>
      <c r="F636" s="1459">
        <v>0</v>
      </c>
      <c r="G636" s="1470" t="s">
        <v>4418</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4419</v>
      </c>
      <c r="D637" s="1458">
        <v>0</v>
      </c>
      <c r="E637" s="1458">
        <v>0</v>
      </c>
      <c r="F637" s="1459">
        <v>0</v>
      </c>
      <c r="G637" s="1470" t="s">
        <v>4419</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4420</v>
      </c>
      <c r="D638" s="1458">
        <v>0</v>
      </c>
      <c r="E638" s="1458">
        <v>0</v>
      </c>
      <c r="F638" s="1459">
        <v>0</v>
      </c>
      <c r="G638" s="1470" t="s">
        <v>4420</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4421</v>
      </c>
      <c r="D639" s="1458">
        <v>0</v>
      </c>
      <c r="E639" s="1458">
        <v>0</v>
      </c>
      <c r="F639" s="1459">
        <v>0</v>
      </c>
      <c r="G639" s="1470" t="s">
        <v>4421</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4422</v>
      </c>
      <c r="D640" s="1458">
        <v>1</v>
      </c>
      <c r="E640" s="1458">
        <v>0</v>
      </c>
      <c r="F640" s="1459">
        <v>1</v>
      </c>
      <c r="G640" s="1470" t="s">
        <v>4422</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4423</v>
      </c>
      <c r="D641" s="1458">
        <v>0</v>
      </c>
      <c r="E641" s="1458">
        <v>1</v>
      </c>
      <c r="F641" s="1459">
        <v>1</v>
      </c>
      <c r="G641" s="1470" t="s">
        <v>4423</v>
      </c>
      <c r="H641" s="1456">
        <v>0</v>
      </c>
      <c r="I641" s="1456" t="s">
        <v>3906</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4424</v>
      </c>
      <c r="D642" s="1458">
        <v>0</v>
      </c>
      <c r="E642" s="1458">
        <v>1</v>
      </c>
      <c r="F642" s="1459">
        <v>1</v>
      </c>
      <c r="G642" s="1470" t="s">
        <v>4424</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4425</v>
      </c>
      <c r="D643" s="1458">
        <v>0</v>
      </c>
      <c r="E643" s="1458">
        <v>0</v>
      </c>
      <c r="F643" s="1459">
        <v>0</v>
      </c>
      <c r="G643" s="1470" t="s">
        <v>4425</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4426</v>
      </c>
      <c r="D644" s="1458">
        <v>1</v>
      </c>
      <c r="E644" s="1458">
        <v>0</v>
      </c>
      <c r="F644" s="1459">
        <v>1</v>
      </c>
      <c r="G644" s="1470" t="s">
        <v>4426</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4427</v>
      </c>
      <c r="D645" s="1458">
        <v>1</v>
      </c>
      <c r="E645" s="1458">
        <v>1</v>
      </c>
      <c r="F645" s="1459">
        <v>2</v>
      </c>
      <c r="G645" s="1470" t="s">
        <v>4427</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4428</v>
      </c>
      <c r="D646" s="1458">
        <v>1</v>
      </c>
      <c r="E646" s="1458">
        <v>1</v>
      </c>
      <c r="F646" s="1459">
        <v>2</v>
      </c>
      <c r="G646" s="1470" t="s">
        <v>4428</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4429</v>
      </c>
      <c r="D647" s="1458">
        <v>0</v>
      </c>
      <c r="E647" s="1458">
        <v>0</v>
      </c>
      <c r="F647" s="1459">
        <v>0</v>
      </c>
      <c r="G647" s="1470" t="s">
        <v>4429</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4430</v>
      </c>
      <c r="D648" s="1458">
        <v>0</v>
      </c>
      <c r="E648" s="1458">
        <v>0</v>
      </c>
      <c r="F648" s="1459">
        <v>0</v>
      </c>
      <c r="G648" s="1470" t="s">
        <v>4430</v>
      </c>
      <c r="H648" s="1456">
        <v>0</v>
      </c>
      <c r="I648" s="1456" t="s">
        <v>3906</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4431</v>
      </c>
      <c r="D649" s="1458">
        <v>0</v>
      </c>
      <c r="E649" s="1458">
        <v>0</v>
      </c>
      <c r="F649" s="1459">
        <v>0</v>
      </c>
      <c r="G649" s="1470" t="s">
        <v>4431</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4432</v>
      </c>
      <c r="D650" s="1458">
        <v>0</v>
      </c>
      <c r="E650" s="1458">
        <v>0</v>
      </c>
      <c r="F650" s="1459">
        <v>0</v>
      </c>
      <c r="G650" s="1470" t="s">
        <v>4432</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4433</v>
      </c>
      <c r="D651" s="1458">
        <v>0</v>
      </c>
      <c r="E651" s="1458">
        <v>0</v>
      </c>
      <c r="F651" s="1459">
        <v>0</v>
      </c>
      <c r="G651" s="1470" t="s">
        <v>4433</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4434</v>
      </c>
      <c r="D652" s="1458">
        <v>0</v>
      </c>
      <c r="E652" s="1458">
        <v>0</v>
      </c>
      <c r="F652" s="1459">
        <v>0</v>
      </c>
      <c r="G652" s="1470" t="s">
        <v>4434</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4435</v>
      </c>
      <c r="D653" s="1458">
        <v>0</v>
      </c>
      <c r="E653" s="1458">
        <v>0</v>
      </c>
      <c r="F653" s="1459">
        <v>0</v>
      </c>
      <c r="G653" s="1470" t="s">
        <v>4435</v>
      </c>
      <c r="H653" s="1456">
        <v>0</v>
      </c>
      <c r="I653" s="1456" t="s">
        <v>3906</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4436</v>
      </c>
      <c r="D654" s="1458">
        <v>0</v>
      </c>
      <c r="E654" s="1458">
        <v>0</v>
      </c>
      <c r="F654" s="1459">
        <v>0</v>
      </c>
      <c r="G654" s="1470" t="s">
        <v>4436</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4437</v>
      </c>
      <c r="D655" s="1458">
        <v>0</v>
      </c>
      <c r="E655" s="1458">
        <v>0</v>
      </c>
      <c r="F655" s="1459">
        <v>0</v>
      </c>
      <c r="G655" s="1470" t="s">
        <v>4437</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4438</v>
      </c>
      <c r="D656" s="1458">
        <v>0</v>
      </c>
      <c r="E656" s="1458">
        <v>0</v>
      </c>
      <c r="F656" s="1459">
        <v>0</v>
      </c>
      <c r="G656" s="1470" t="s">
        <v>4438</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4439</v>
      </c>
      <c r="D657" s="1458">
        <v>0</v>
      </c>
      <c r="E657" s="1458">
        <v>0</v>
      </c>
      <c r="F657" s="1459">
        <v>0</v>
      </c>
      <c r="G657" s="1470" t="s">
        <v>4439</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4440</v>
      </c>
      <c r="D658" s="1458">
        <v>0</v>
      </c>
      <c r="E658" s="1458">
        <v>0</v>
      </c>
      <c r="F658" s="1459">
        <v>0</v>
      </c>
      <c r="G658" s="1470" t="s">
        <v>4440</v>
      </c>
      <c r="H658" s="1456">
        <v>1</v>
      </c>
      <c r="I658" s="1456" t="s">
        <v>3906</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4441</v>
      </c>
      <c r="D659" s="1458">
        <v>0</v>
      </c>
      <c r="E659" s="1458">
        <v>0</v>
      </c>
      <c r="F659" s="1459">
        <v>0</v>
      </c>
      <c r="G659" s="1470" t="s">
        <v>4441</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4442</v>
      </c>
      <c r="D660" s="1458">
        <v>1</v>
      </c>
      <c r="E660" s="1458">
        <v>0</v>
      </c>
      <c r="F660" s="1459">
        <v>1</v>
      </c>
      <c r="G660" s="1470" t="s">
        <v>4442</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4443</v>
      </c>
      <c r="D661" s="1458">
        <v>0</v>
      </c>
      <c r="E661" s="1458">
        <v>0</v>
      </c>
      <c r="F661" s="1459">
        <v>0</v>
      </c>
      <c r="G661" s="1470" t="s">
        <v>4443</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4444</v>
      </c>
      <c r="D662" s="1458">
        <v>0</v>
      </c>
      <c r="E662" s="1458">
        <v>0</v>
      </c>
      <c r="F662" s="1459">
        <v>0</v>
      </c>
      <c r="G662" s="1470" t="s">
        <v>4444</v>
      </c>
      <c r="H662" s="1456">
        <v>0</v>
      </c>
      <c r="I662" s="1456">
        <v>0</v>
      </c>
      <c r="J662" s="1471">
        <v>0</v>
      </c>
      <c r="K662" s="1460"/>
      <c r="L662" s="1454">
        <v>13063040413</v>
      </c>
      <c r="M662" s="1455">
        <v>0</v>
      </c>
      <c r="N662" s="1455">
        <v>0</v>
      </c>
      <c r="O662" s="1455">
        <v>0</v>
      </c>
      <c r="P662" s="241" t="s">
        <v>1765</v>
      </c>
      <c r="Q662" s="241"/>
      <c r="R662" s="147"/>
      <c r="S662" s="236"/>
      <c r="T662" s="392" t="s">
        <v>3782</v>
      </c>
      <c r="U662" s="392" t="s">
        <v>1132</v>
      </c>
      <c r="AA662"/>
      <c r="AB662"/>
      <c r="AC662" s="380"/>
      <c r="AD662" s="68"/>
    </row>
    <row r="663" spans="3:30" ht="10.5" customHeight="1">
      <c r="C663" s="1461" t="s">
        <v>4445</v>
      </c>
      <c r="D663" s="1458">
        <v>0</v>
      </c>
      <c r="E663" s="1458">
        <v>0</v>
      </c>
      <c r="F663" s="1459">
        <v>0</v>
      </c>
      <c r="G663" s="1470" t="s">
        <v>4445</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4446</v>
      </c>
      <c r="D664" s="1458">
        <v>0</v>
      </c>
      <c r="E664" s="1458">
        <v>0</v>
      </c>
      <c r="F664" s="1459">
        <v>0</v>
      </c>
      <c r="G664" s="1470" t="s">
        <v>4446</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4447</v>
      </c>
      <c r="D665" s="1458">
        <v>0</v>
      </c>
      <c r="E665" s="1458">
        <v>0</v>
      </c>
      <c r="F665" s="1459">
        <v>0</v>
      </c>
      <c r="G665" s="1470" t="s">
        <v>4447</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4448</v>
      </c>
      <c r="D666" s="1458">
        <v>0</v>
      </c>
      <c r="E666" s="1458">
        <v>0</v>
      </c>
      <c r="F666" s="1459">
        <v>0</v>
      </c>
      <c r="G666" s="1470" t="s">
        <v>4448</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4449</v>
      </c>
      <c r="D667" s="1458">
        <v>0</v>
      </c>
      <c r="E667" s="1458">
        <v>0</v>
      </c>
      <c r="F667" s="1459">
        <v>0</v>
      </c>
      <c r="G667" s="1470" t="s">
        <v>4449</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4450</v>
      </c>
      <c r="D668" s="1458">
        <v>0</v>
      </c>
      <c r="E668" s="1458">
        <v>0</v>
      </c>
      <c r="F668" s="1459">
        <v>0</v>
      </c>
      <c r="G668" s="1470" t="s">
        <v>4450</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4451</v>
      </c>
      <c r="D669" s="1458">
        <v>0</v>
      </c>
      <c r="E669" s="1458">
        <v>0</v>
      </c>
      <c r="F669" s="1459">
        <v>0</v>
      </c>
      <c r="G669" s="1470" t="s">
        <v>4451</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4452</v>
      </c>
      <c r="D670" s="1458">
        <v>0</v>
      </c>
      <c r="E670" s="1458">
        <v>1</v>
      </c>
      <c r="F670" s="1459">
        <v>1</v>
      </c>
      <c r="G670" s="1470" t="s">
        <v>4452</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4453</v>
      </c>
      <c r="D671" s="1458">
        <v>0</v>
      </c>
      <c r="E671" s="1458">
        <v>0</v>
      </c>
      <c r="F671" s="1459">
        <v>0</v>
      </c>
      <c r="G671" s="1470" t="s">
        <v>4453</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4454</v>
      </c>
      <c r="D672" s="1458">
        <v>0</v>
      </c>
      <c r="E672" s="1458">
        <v>0</v>
      </c>
      <c r="F672" s="1459">
        <v>0</v>
      </c>
      <c r="G672" s="1470" t="s">
        <v>4454</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4455</v>
      </c>
      <c r="D673" s="1458">
        <v>0</v>
      </c>
      <c r="E673" s="1458">
        <v>0</v>
      </c>
      <c r="F673" s="1459">
        <v>0</v>
      </c>
      <c r="G673" s="1470" t="s">
        <v>4455</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4456</v>
      </c>
      <c r="D674" s="1458">
        <v>0</v>
      </c>
      <c r="E674" s="1458">
        <v>0</v>
      </c>
      <c r="F674" s="1459">
        <v>0</v>
      </c>
      <c r="G674" s="1470" t="s">
        <v>4456</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4457</v>
      </c>
      <c r="D675" s="1458">
        <v>0</v>
      </c>
      <c r="E675" s="1458">
        <v>0</v>
      </c>
      <c r="F675" s="1459">
        <v>0</v>
      </c>
      <c r="G675" s="1470" t="s">
        <v>4457</v>
      </c>
      <c r="H675" s="1456">
        <v>0</v>
      </c>
      <c r="I675" s="1456" t="s">
        <v>3906</v>
      </c>
      <c r="J675" s="1471">
        <v>0</v>
      </c>
      <c r="K675" s="1460"/>
      <c r="L675" s="1454">
        <v>13063040519</v>
      </c>
      <c r="M675" s="1455">
        <v>0</v>
      </c>
      <c r="N675" s="1455">
        <v>0</v>
      </c>
      <c r="O675" s="1455">
        <v>0</v>
      </c>
      <c r="P675" s="241" t="s">
        <v>1830</v>
      </c>
      <c r="Q675" s="241"/>
      <c r="R675" s="147"/>
      <c r="S675" s="236"/>
      <c r="T675" s="392" t="s">
        <v>3783</v>
      </c>
      <c r="U675" s="392" t="s">
        <v>585</v>
      </c>
      <c r="AA675"/>
      <c r="AB675"/>
      <c r="AC675" s="380"/>
      <c r="AD675" s="68"/>
    </row>
    <row r="676" spans="3:30" ht="10.5" customHeight="1">
      <c r="C676" s="1461" t="s">
        <v>4458</v>
      </c>
      <c r="D676" s="1458">
        <v>0</v>
      </c>
      <c r="E676" s="1458">
        <v>0</v>
      </c>
      <c r="F676" s="1459">
        <v>0</v>
      </c>
      <c r="G676" s="1470" t="s">
        <v>4458</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4459</v>
      </c>
      <c r="D677" s="1458">
        <v>0</v>
      </c>
      <c r="E677" s="1458">
        <v>0</v>
      </c>
      <c r="F677" s="1459">
        <v>0</v>
      </c>
      <c r="G677" s="1470" t="s">
        <v>4459</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4460</v>
      </c>
      <c r="D678" s="1458">
        <v>0</v>
      </c>
      <c r="E678" s="1458">
        <v>0</v>
      </c>
      <c r="F678" s="1459">
        <v>0</v>
      </c>
      <c r="G678" s="1470" t="s">
        <v>4460</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4461</v>
      </c>
      <c r="D679" s="1458">
        <v>0</v>
      </c>
      <c r="E679" s="1458">
        <v>0</v>
      </c>
      <c r="F679" s="1459">
        <v>0</v>
      </c>
      <c r="G679" s="1470" t="s">
        <v>4461</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4462</v>
      </c>
      <c r="D680" s="1458">
        <v>0</v>
      </c>
      <c r="E680" s="1458">
        <v>0</v>
      </c>
      <c r="F680" s="1459">
        <v>0</v>
      </c>
      <c r="G680" s="1470" t="s">
        <v>4462</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4463</v>
      </c>
      <c r="D681" s="1458">
        <v>0</v>
      </c>
      <c r="E681" s="1458">
        <v>0</v>
      </c>
      <c r="F681" s="1459">
        <v>0</v>
      </c>
      <c r="G681" s="1470" t="s">
        <v>4463</v>
      </c>
      <c r="H681" s="1456">
        <v>0</v>
      </c>
      <c r="I681" s="1456" t="s">
        <v>3906</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4464</v>
      </c>
      <c r="D682" s="1458">
        <v>0</v>
      </c>
      <c r="E682" s="1458">
        <v>0</v>
      </c>
      <c r="F682" s="1459">
        <v>0</v>
      </c>
      <c r="G682" s="1470" t="s">
        <v>4464</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4465</v>
      </c>
      <c r="D683" s="1458">
        <v>0</v>
      </c>
      <c r="E683" s="1458">
        <v>0</v>
      </c>
      <c r="F683" s="1459">
        <v>0</v>
      </c>
      <c r="G683" s="1470" t="s">
        <v>4465</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4466</v>
      </c>
      <c r="D684" s="1458">
        <v>1</v>
      </c>
      <c r="E684" s="1458">
        <v>1</v>
      </c>
      <c r="F684" s="1459">
        <v>2</v>
      </c>
      <c r="G684" s="1470" t="s">
        <v>4466</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4467</v>
      </c>
      <c r="D685" s="1458">
        <v>1</v>
      </c>
      <c r="E685" s="1458">
        <v>1</v>
      </c>
      <c r="F685" s="1459">
        <v>2</v>
      </c>
      <c r="G685" s="1470" t="s">
        <v>4467</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4468</v>
      </c>
      <c r="D686" s="1458">
        <v>0</v>
      </c>
      <c r="E686" s="1458">
        <v>0</v>
      </c>
      <c r="F686" s="1459">
        <v>0</v>
      </c>
      <c r="G686" s="1470" t="s">
        <v>4468</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4469</v>
      </c>
      <c r="D687" s="1458">
        <v>0</v>
      </c>
      <c r="E687" s="1458">
        <v>0</v>
      </c>
      <c r="F687" s="1459">
        <v>0</v>
      </c>
      <c r="G687" s="1470" t="s">
        <v>4469</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4470</v>
      </c>
      <c r="D688" s="1458">
        <v>0</v>
      </c>
      <c r="E688" s="1458">
        <v>0</v>
      </c>
      <c r="F688" s="1459">
        <v>0</v>
      </c>
      <c r="G688" s="1470" t="s">
        <v>4470</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4471</v>
      </c>
      <c r="D689" s="1458">
        <v>1</v>
      </c>
      <c r="E689" s="1458">
        <v>0</v>
      </c>
      <c r="F689" s="1459">
        <v>1</v>
      </c>
      <c r="G689" s="1470" t="s">
        <v>4471</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4472</v>
      </c>
      <c r="D690" s="1458">
        <v>1</v>
      </c>
      <c r="E690" s="1458">
        <v>0</v>
      </c>
      <c r="F690" s="1459">
        <v>1</v>
      </c>
      <c r="G690" s="1470" t="s">
        <v>4472</v>
      </c>
      <c r="H690" s="1456">
        <v>1</v>
      </c>
      <c r="I690" s="1456" t="s">
        <v>3906</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4473</v>
      </c>
      <c r="D691" s="1458">
        <v>0</v>
      </c>
      <c r="E691" s="1458">
        <v>0</v>
      </c>
      <c r="F691" s="1459">
        <v>0</v>
      </c>
      <c r="G691" s="1470" t="s">
        <v>4473</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4474</v>
      </c>
      <c r="D692" s="1458">
        <v>0</v>
      </c>
      <c r="E692" s="1458">
        <v>0</v>
      </c>
      <c r="F692" s="1459">
        <v>0</v>
      </c>
      <c r="G692" s="1470" t="s">
        <v>4474</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4475</v>
      </c>
      <c r="D693" s="1458">
        <v>0</v>
      </c>
      <c r="E693" s="1458">
        <v>0</v>
      </c>
      <c r="F693" s="1459">
        <v>0</v>
      </c>
      <c r="G693" s="1470" t="s">
        <v>4475</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4476</v>
      </c>
      <c r="D694" s="1458">
        <v>0</v>
      </c>
      <c r="E694" s="1458">
        <v>1</v>
      </c>
      <c r="F694" s="1459">
        <v>1</v>
      </c>
      <c r="G694" s="1470" t="s">
        <v>4476</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4477</v>
      </c>
      <c r="D695" s="1458">
        <v>0</v>
      </c>
      <c r="E695" s="1458">
        <v>0</v>
      </c>
      <c r="F695" s="1459">
        <v>0</v>
      </c>
      <c r="G695" s="1470" t="s">
        <v>4477</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4478</v>
      </c>
      <c r="D696" s="1458">
        <v>0</v>
      </c>
      <c r="E696" s="1458">
        <v>0</v>
      </c>
      <c r="F696" s="1459">
        <v>0</v>
      </c>
      <c r="G696" s="1470" t="s">
        <v>4478</v>
      </c>
      <c r="H696" s="1456">
        <v>0</v>
      </c>
      <c r="I696" s="1456" t="s">
        <v>3906</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4479</v>
      </c>
      <c r="D697" s="1458" t="s">
        <v>3906</v>
      </c>
      <c r="E697" s="1458" t="s">
        <v>3906</v>
      </c>
      <c r="F697" s="1459">
        <v>0</v>
      </c>
      <c r="G697" s="1470" t="s">
        <v>4479</v>
      </c>
      <c r="H697" s="1456" t="s">
        <v>3906</v>
      </c>
      <c r="I697" s="1456" t="s">
        <v>3906</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4480</v>
      </c>
      <c r="D698" s="1458">
        <v>0</v>
      </c>
      <c r="E698" s="1458">
        <v>0</v>
      </c>
      <c r="F698" s="1459">
        <v>0</v>
      </c>
      <c r="G698" s="1470" t="s">
        <v>4480</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4481</v>
      </c>
      <c r="D699" s="1458">
        <v>0</v>
      </c>
      <c r="E699" s="1458">
        <v>0</v>
      </c>
      <c r="F699" s="1459">
        <v>0</v>
      </c>
      <c r="G699" s="1470" t="s">
        <v>4481</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4482</v>
      </c>
      <c r="D700" s="1458">
        <v>1</v>
      </c>
      <c r="E700" s="1458">
        <v>1</v>
      </c>
      <c r="F700" s="1459">
        <v>2</v>
      </c>
      <c r="G700" s="1470" t="s">
        <v>4482</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4483</v>
      </c>
      <c r="D701" s="1458">
        <v>1</v>
      </c>
      <c r="E701" s="1458">
        <v>1</v>
      </c>
      <c r="F701" s="1459">
        <v>2</v>
      </c>
      <c r="G701" s="1470" t="s">
        <v>4483</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4484</v>
      </c>
      <c r="D702" s="1458">
        <v>0</v>
      </c>
      <c r="E702" s="1458">
        <v>0</v>
      </c>
      <c r="F702" s="1459">
        <v>0</v>
      </c>
      <c r="G702" s="1470" t="s">
        <v>4484</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4485</v>
      </c>
      <c r="D703" s="1458">
        <v>0</v>
      </c>
      <c r="E703" s="1458">
        <v>0</v>
      </c>
      <c r="F703" s="1459">
        <v>0</v>
      </c>
      <c r="G703" s="1470" t="s">
        <v>4485</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4486</v>
      </c>
      <c r="D704" s="1458">
        <v>1</v>
      </c>
      <c r="E704" s="1458">
        <v>1</v>
      </c>
      <c r="F704" s="1459">
        <v>2</v>
      </c>
      <c r="G704" s="1470" t="s">
        <v>4486</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4487</v>
      </c>
      <c r="D705" s="1458">
        <v>1</v>
      </c>
      <c r="E705" s="1458">
        <v>1</v>
      </c>
      <c r="F705" s="1459">
        <v>2</v>
      </c>
      <c r="G705" s="1470" t="s">
        <v>4487</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4488</v>
      </c>
      <c r="D706" s="1458">
        <v>1</v>
      </c>
      <c r="E706" s="1458">
        <v>1</v>
      </c>
      <c r="F706" s="1459">
        <v>2</v>
      </c>
      <c r="G706" s="1470" t="s">
        <v>4488</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4489</v>
      </c>
      <c r="D707" s="1458">
        <v>1</v>
      </c>
      <c r="E707" s="1458">
        <v>1</v>
      </c>
      <c r="F707" s="1459">
        <v>2</v>
      </c>
      <c r="G707" s="1470" t="s">
        <v>4489</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4490</v>
      </c>
      <c r="D708" s="1458">
        <v>1</v>
      </c>
      <c r="E708" s="1458">
        <v>1</v>
      </c>
      <c r="F708" s="1459">
        <v>2</v>
      </c>
      <c r="G708" s="1470" t="s">
        <v>4490</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4491</v>
      </c>
      <c r="D709" s="1458">
        <v>1</v>
      </c>
      <c r="E709" s="1458">
        <v>1</v>
      </c>
      <c r="F709" s="1459">
        <v>2</v>
      </c>
      <c r="G709" s="1470" t="s">
        <v>4491</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4492</v>
      </c>
      <c r="D710" s="1458">
        <v>1</v>
      </c>
      <c r="E710" s="1458">
        <v>1</v>
      </c>
      <c r="F710" s="1459">
        <v>2</v>
      </c>
      <c r="G710" s="1470" t="s">
        <v>4492</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4493</v>
      </c>
      <c r="D711" s="1458">
        <v>1</v>
      </c>
      <c r="E711" s="1458">
        <v>1</v>
      </c>
      <c r="F711" s="1459">
        <v>2</v>
      </c>
      <c r="G711" s="1470" t="s">
        <v>4493</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4494</v>
      </c>
      <c r="D712" s="1458">
        <v>1</v>
      </c>
      <c r="E712" s="1458">
        <v>1</v>
      </c>
      <c r="F712" s="1459">
        <v>2</v>
      </c>
      <c r="G712" s="1470" t="s">
        <v>4494</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4495</v>
      </c>
      <c r="D713" s="1458">
        <v>1</v>
      </c>
      <c r="E713" s="1458">
        <v>1</v>
      </c>
      <c r="F713" s="1459">
        <v>2</v>
      </c>
      <c r="G713" s="1470" t="s">
        <v>4495</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4496</v>
      </c>
      <c r="D714" s="1458">
        <v>1</v>
      </c>
      <c r="E714" s="1458">
        <v>1</v>
      </c>
      <c r="F714" s="1459">
        <v>2</v>
      </c>
      <c r="G714" s="1470" t="s">
        <v>4496</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4497</v>
      </c>
      <c r="D715" s="1458">
        <v>1</v>
      </c>
      <c r="E715" s="1458">
        <v>1</v>
      </c>
      <c r="F715" s="1459">
        <v>2</v>
      </c>
      <c r="G715" s="1470" t="s">
        <v>4497</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4498</v>
      </c>
      <c r="D716" s="1458">
        <v>1</v>
      </c>
      <c r="E716" s="1458">
        <v>1</v>
      </c>
      <c r="F716" s="1459">
        <v>2</v>
      </c>
      <c r="G716" s="1470" t="s">
        <v>4498</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4499</v>
      </c>
      <c r="D717" s="1458">
        <v>0</v>
      </c>
      <c r="E717" s="1458">
        <v>1</v>
      </c>
      <c r="F717" s="1459">
        <v>1</v>
      </c>
      <c r="G717" s="1470" t="s">
        <v>4499</v>
      </c>
      <c r="H717" s="1456">
        <v>0</v>
      </c>
      <c r="I717" s="1456" t="s">
        <v>3906</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4500</v>
      </c>
      <c r="D718" s="1458">
        <v>1</v>
      </c>
      <c r="E718" s="1458">
        <v>1</v>
      </c>
      <c r="F718" s="1459">
        <v>2</v>
      </c>
      <c r="G718" s="1470" t="s">
        <v>4500</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4501</v>
      </c>
      <c r="D719" s="1458">
        <v>1</v>
      </c>
      <c r="E719" s="1458">
        <v>1</v>
      </c>
      <c r="F719" s="1459">
        <v>2</v>
      </c>
      <c r="G719" s="1470" t="s">
        <v>4501</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4502</v>
      </c>
      <c r="D720" s="1458">
        <v>1</v>
      </c>
      <c r="E720" s="1458">
        <v>1</v>
      </c>
      <c r="F720" s="1459">
        <v>2</v>
      </c>
      <c r="G720" s="1470" t="s">
        <v>4502</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4503</v>
      </c>
      <c r="D721" s="1458">
        <v>1</v>
      </c>
      <c r="E721" s="1458">
        <v>1</v>
      </c>
      <c r="F721" s="1459">
        <v>2</v>
      </c>
      <c r="G721" s="1470" t="s">
        <v>4503</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4504</v>
      </c>
      <c r="D722" s="1458">
        <v>1</v>
      </c>
      <c r="E722" s="1458">
        <v>1</v>
      </c>
      <c r="F722" s="1459">
        <v>2</v>
      </c>
      <c r="G722" s="1470" t="s">
        <v>4504</v>
      </c>
      <c r="H722" s="1456">
        <v>1</v>
      </c>
      <c r="I722" s="1456" t="s">
        <v>3906</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4505</v>
      </c>
      <c r="D723" s="1458">
        <v>1</v>
      </c>
      <c r="E723" s="1458">
        <v>1</v>
      </c>
      <c r="F723" s="1459">
        <v>2</v>
      </c>
      <c r="G723" s="1470" t="s">
        <v>4505</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4506</v>
      </c>
      <c r="D724" s="1458">
        <v>1</v>
      </c>
      <c r="E724" s="1458">
        <v>1</v>
      </c>
      <c r="F724" s="1459">
        <v>2</v>
      </c>
      <c r="G724" s="1470" t="s">
        <v>4506</v>
      </c>
      <c r="H724" s="1456">
        <v>1</v>
      </c>
      <c r="I724" s="1456" t="s">
        <v>3906</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4507</v>
      </c>
      <c r="D725" s="1458">
        <v>1</v>
      </c>
      <c r="E725" s="1458">
        <v>1</v>
      </c>
      <c r="F725" s="1459">
        <v>2</v>
      </c>
      <c r="G725" s="1470" t="s">
        <v>4507</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4508</v>
      </c>
      <c r="D726" s="1458">
        <v>1</v>
      </c>
      <c r="E726" s="1458">
        <v>1</v>
      </c>
      <c r="F726" s="1459">
        <v>2</v>
      </c>
      <c r="G726" s="1470" t="s">
        <v>4508</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4509</v>
      </c>
      <c r="D727" s="1458">
        <v>1</v>
      </c>
      <c r="E727" s="1458">
        <v>1</v>
      </c>
      <c r="F727" s="1459">
        <v>2</v>
      </c>
      <c r="G727" s="1470" t="s">
        <v>4509</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4510</v>
      </c>
      <c r="D728" s="1458">
        <v>1</v>
      </c>
      <c r="E728" s="1458">
        <v>1</v>
      </c>
      <c r="F728" s="1459">
        <v>2</v>
      </c>
      <c r="G728" s="1470" t="s">
        <v>4510</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4511</v>
      </c>
      <c r="D729" s="1458">
        <v>1</v>
      </c>
      <c r="E729" s="1458">
        <v>1</v>
      </c>
      <c r="F729" s="1459">
        <v>2</v>
      </c>
      <c r="G729" s="1470" t="s">
        <v>4511</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4512</v>
      </c>
      <c r="D730" s="1458">
        <v>1</v>
      </c>
      <c r="E730" s="1458">
        <v>1</v>
      </c>
      <c r="F730" s="1459">
        <v>2</v>
      </c>
      <c r="G730" s="1470" t="s">
        <v>4512</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4513</v>
      </c>
      <c r="D731" s="1458">
        <v>1</v>
      </c>
      <c r="E731" s="1458">
        <v>1</v>
      </c>
      <c r="F731" s="1459">
        <v>2</v>
      </c>
      <c r="G731" s="1470" t="s">
        <v>4513</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4514</v>
      </c>
      <c r="D732" s="1458">
        <v>1</v>
      </c>
      <c r="E732" s="1458">
        <v>1</v>
      </c>
      <c r="F732" s="1459">
        <v>2</v>
      </c>
      <c r="G732" s="1470" t="s">
        <v>4514</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4515</v>
      </c>
      <c r="D733" s="1458">
        <v>1</v>
      </c>
      <c r="E733" s="1458">
        <v>1</v>
      </c>
      <c r="F733" s="1459">
        <v>2</v>
      </c>
      <c r="G733" s="1470" t="s">
        <v>4515</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4516</v>
      </c>
      <c r="D734" s="1458">
        <v>1</v>
      </c>
      <c r="E734" s="1458">
        <v>1</v>
      </c>
      <c r="F734" s="1459">
        <v>2</v>
      </c>
      <c r="G734" s="1470" t="s">
        <v>4516</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4517</v>
      </c>
      <c r="D735" s="1458">
        <v>1</v>
      </c>
      <c r="E735" s="1458">
        <v>1</v>
      </c>
      <c r="F735" s="1459">
        <v>2</v>
      </c>
      <c r="G735" s="1470" t="s">
        <v>4517</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4518</v>
      </c>
      <c r="D736" s="1458">
        <v>1</v>
      </c>
      <c r="E736" s="1458">
        <v>1</v>
      </c>
      <c r="F736" s="1459">
        <v>2</v>
      </c>
      <c r="G736" s="1470" t="s">
        <v>4518</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4519</v>
      </c>
      <c r="D737" s="1458">
        <v>1</v>
      </c>
      <c r="E737" s="1458">
        <v>1</v>
      </c>
      <c r="F737" s="1459">
        <v>2</v>
      </c>
      <c r="G737" s="1470" t="s">
        <v>4519</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4520</v>
      </c>
      <c r="D738" s="1458">
        <v>1</v>
      </c>
      <c r="E738" s="1458">
        <v>1</v>
      </c>
      <c r="F738" s="1459">
        <v>2</v>
      </c>
      <c r="G738" s="1470" t="s">
        <v>4520</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4521</v>
      </c>
      <c r="D739" s="1458">
        <v>1</v>
      </c>
      <c r="E739" s="1458">
        <v>1</v>
      </c>
      <c r="F739" s="1459">
        <v>2</v>
      </c>
      <c r="G739" s="1470" t="s">
        <v>4521</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4522</v>
      </c>
      <c r="D740" s="1458">
        <v>1</v>
      </c>
      <c r="E740" s="1458">
        <v>1</v>
      </c>
      <c r="F740" s="1459">
        <v>2</v>
      </c>
      <c r="G740" s="1470" t="s">
        <v>4522</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4523</v>
      </c>
      <c r="D741" s="1458">
        <v>1</v>
      </c>
      <c r="E741" s="1458">
        <v>1</v>
      </c>
      <c r="F741" s="1459">
        <v>2</v>
      </c>
      <c r="G741" s="1470" t="s">
        <v>4523</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4524</v>
      </c>
      <c r="D742" s="1458">
        <v>1</v>
      </c>
      <c r="E742" s="1458">
        <v>1</v>
      </c>
      <c r="F742" s="1459">
        <v>2</v>
      </c>
      <c r="G742" s="1470" t="s">
        <v>4524</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4525</v>
      </c>
      <c r="D743" s="1458">
        <v>1</v>
      </c>
      <c r="E743" s="1458">
        <v>1</v>
      </c>
      <c r="F743" s="1459">
        <v>2</v>
      </c>
      <c r="G743" s="1470" t="s">
        <v>4525</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4526</v>
      </c>
      <c r="D744" s="1458">
        <v>1</v>
      </c>
      <c r="E744" s="1458">
        <v>1</v>
      </c>
      <c r="F744" s="1459">
        <v>2</v>
      </c>
      <c r="G744" s="1470" t="s">
        <v>4526</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8">
      <c r="C745" s="1461" t="s">
        <v>4527</v>
      </c>
      <c r="D745" s="1458">
        <v>1</v>
      </c>
      <c r="E745" s="1458">
        <v>1</v>
      </c>
      <c r="F745" s="1459">
        <v>2</v>
      </c>
      <c r="G745" s="1470" t="s">
        <v>4527</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8">
      <c r="C746" s="1461" t="s">
        <v>4528</v>
      </c>
      <c r="D746" s="1458">
        <v>1</v>
      </c>
      <c r="E746" s="1458">
        <v>1</v>
      </c>
      <c r="F746" s="1459">
        <v>2</v>
      </c>
      <c r="G746" s="1470" t="s">
        <v>4528</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8">
      <c r="C747" s="1461" t="s">
        <v>4529</v>
      </c>
      <c r="D747" s="1458">
        <v>1</v>
      </c>
      <c r="E747" s="1458">
        <v>1</v>
      </c>
      <c r="F747" s="1459">
        <v>2</v>
      </c>
      <c r="G747" s="1470" t="s">
        <v>4529</v>
      </c>
      <c r="H747" s="1456">
        <v>1</v>
      </c>
      <c r="I747" s="1456" t="s">
        <v>3906</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8">
      <c r="C748" s="1461" t="s">
        <v>4530</v>
      </c>
      <c r="D748" s="1458">
        <v>1</v>
      </c>
      <c r="E748" s="1458">
        <v>1</v>
      </c>
      <c r="F748" s="1459">
        <v>2</v>
      </c>
      <c r="G748" s="1470" t="s">
        <v>4530</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8">
      <c r="C749" s="1461" t="s">
        <v>4531</v>
      </c>
      <c r="D749" s="1458">
        <v>1</v>
      </c>
      <c r="E749" s="1458">
        <v>1</v>
      </c>
      <c r="F749" s="1459">
        <v>2</v>
      </c>
      <c r="G749" s="1470" t="s">
        <v>4531</v>
      </c>
      <c r="H749" s="1456">
        <v>1</v>
      </c>
      <c r="I749" s="1456" t="s">
        <v>3906</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8">
      <c r="C750" s="1461" t="s">
        <v>4532</v>
      </c>
      <c r="D750" s="1458">
        <v>1</v>
      </c>
      <c r="E750" s="1458">
        <v>1</v>
      </c>
      <c r="F750" s="1459">
        <v>2</v>
      </c>
      <c r="G750" s="1470" t="s">
        <v>4532</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8">
      <c r="C751" s="1461" t="s">
        <v>4533</v>
      </c>
      <c r="D751" s="1458">
        <v>1</v>
      </c>
      <c r="E751" s="1458">
        <v>1</v>
      </c>
      <c r="F751" s="1459">
        <v>2</v>
      </c>
      <c r="G751" s="1470" t="s">
        <v>4533</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8">
      <c r="C752" s="1461" t="s">
        <v>4534</v>
      </c>
      <c r="D752" s="1458">
        <v>1</v>
      </c>
      <c r="E752" s="1458">
        <v>1</v>
      </c>
      <c r="F752" s="1459">
        <v>2</v>
      </c>
      <c r="G752" s="1470" t="s">
        <v>4534</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8">
      <c r="C753" s="1461" t="s">
        <v>4535</v>
      </c>
      <c r="D753" s="1458">
        <v>1</v>
      </c>
      <c r="E753" s="1458">
        <v>1</v>
      </c>
      <c r="F753" s="1459">
        <v>2</v>
      </c>
      <c r="G753" s="1470" t="s">
        <v>4535</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8">
      <c r="C754" s="1461" t="s">
        <v>4536</v>
      </c>
      <c r="D754" s="1458">
        <v>1</v>
      </c>
      <c r="E754" s="1458">
        <v>1</v>
      </c>
      <c r="F754" s="1459">
        <v>2</v>
      </c>
      <c r="G754" s="1470" t="s">
        <v>4536</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8">
      <c r="C755" s="1461" t="s">
        <v>4537</v>
      </c>
      <c r="D755" s="1458">
        <v>1</v>
      </c>
      <c r="E755" s="1458">
        <v>1</v>
      </c>
      <c r="F755" s="1459">
        <v>2</v>
      </c>
      <c r="G755" s="1470" t="s">
        <v>4537</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8">
      <c r="C756" s="1461" t="s">
        <v>4538</v>
      </c>
      <c r="D756" s="1458">
        <v>1</v>
      </c>
      <c r="E756" s="1458">
        <v>0</v>
      </c>
      <c r="F756" s="1459">
        <v>1</v>
      </c>
      <c r="G756" s="1470" t="s">
        <v>4538</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8">
      <c r="C757" s="1461" t="s">
        <v>4539</v>
      </c>
      <c r="D757" s="1458">
        <v>1</v>
      </c>
      <c r="E757" s="1458">
        <v>1</v>
      </c>
      <c r="F757" s="1459">
        <v>2</v>
      </c>
      <c r="G757" s="1470" t="s">
        <v>4539</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8">
      <c r="C758" s="1461" t="s">
        <v>4540</v>
      </c>
      <c r="D758" s="1458">
        <v>1</v>
      </c>
      <c r="E758" s="1458">
        <v>1</v>
      </c>
      <c r="F758" s="1459">
        <v>2</v>
      </c>
      <c r="G758" s="1470" t="s">
        <v>4540</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8">
      <c r="C759" s="1461" t="s">
        <v>4541</v>
      </c>
      <c r="D759" s="1458">
        <v>1</v>
      </c>
      <c r="E759" s="1458">
        <v>1</v>
      </c>
      <c r="F759" s="1459">
        <v>2</v>
      </c>
      <c r="G759" s="1470" t="s">
        <v>4541</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8">
      <c r="C760" s="1461" t="s">
        <v>4542</v>
      </c>
      <c r="D760" s="1458">
        <v>1</v>
      </c>
      <c r="E760" s="1458">
        <v>1</v>
      </c>
      <c r="F760" s="1459">
        <v>2</v>
      </c>
      <c r="G760" s="1470" t="s">
        <v>4542</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8">
      <c r="C761" s="1461" t="s">
        <v>4543</v>
      </c>
      <c r="D761" s="1458">
        <v>0</v>
      </c>
      <c r="E761" s="1458">
        <v>0</v>
      </c>
      <c r="F761" s="1459">
        <v>0</v>
      </c>
      <c r="G761" s="1470" t="s">
        <v>4543</v>
      </c>
      <c r="H761" s="1456">
        <v>0</v>
      </c>
      <c r="I761" s="1456" t="s">
        <v>3906</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8">
      <c r="C762" s="1461" t="s">
        <v>4544</v>
      </c>
      <c r="D762" s="1458">
        <v>0</v>
      </c>
      <c r="E762" s="1458">
        <v>0</v>
      </c>
      <c r="F762" s="1459">
        <v>0</v>
      </c>
      <c r="G762" s="1470" t="s">
        <v>4544</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8">
      <c r="C763" s="1461" t="s">
        <v>4545</v>
      </c>
      <c r="D763" s="1458">
        <v>0</v>
      </c>
      <c r="E763" s="1458">
        <v>0</v>
      </c>
      <c r="F763" s="1459">
        <v>0</v>
      </c>
      <c r="G763" s="1470" t="s">
        <v>4545</v>
      </c>
      <c r="H763" s="1456">
        <v>1</v>
      </c>
      <c r="I763" s="1456" t="s">
        <v>3906</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8">
      <c r="C764" s="1461" t="s">
        <v>4546</v>
      </c>
      <c r="D764" s="1458">
        <v>0</v>
      </c>
      <c r="E764" s="1458">
        <v>0</v>
      </c>
      <c r="F764" s="1459">
        <v>0</v>
      </c>
      <c r="G764" s="1470" t="s">
        <v>4546</v>
      </c>
      <c r="H764" s="1456">
        <v>0</v>
      </c>
      <c r="I764" s="1456" t="s">
        <v>3906</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8">
      <c r="C765" s="1461" t="s">
        <v>4547</v>
      </c>
      <c r="D765" s="1458">
        <v>1</v>
      </c>
      <c r="E765" s="1458">
        <v>1</v>
      </c>
      <c r="F765" s="1459">
        <v>2</v>
      </c>
      <c r="G765" s="1470" t="s">
        <v>4547</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8">
      <c r="C766" s="1461" t="s">
        <v>4548</v>
      </c>
      <c r="D766" s="1458">
        <v>1</v>
      </c>
      <c r="E766" s="1458">
        <v>0</v>
      </c>
      <c r="F766" s="1459">
        <v>1</v>
      </c>
      <c r="G766" s="1470" t="s">
        <v>4548</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8">
      <c r="C767" s="1461" t="s">
        <v>4549</v>
      </c>
      <c r="D767" s="1458">
        <v>1</v>
      </c>
      <c r="E767" s="1458">
        <v>0</v>
      </c>
      <c r="F767" s="1459">
        <v>1</v>
      </c>
      <c r="G767" s="1470" t="s">
        <v>4549</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8">
      <c r="C768" s="1461" t="s">
        <v>4550</v>
      </c>
      <c r="D768" s="1458">
        <v>1</v>
      </c>
      <c r="E768" s="1458">
        <v>1</v>
      </c>
      <c r="F768" s="1459">
        <v>2</v>
      </c>
      <c r="G768" s="1470" t="s">
        <v>4550</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8">
      <c r="C769" s="1461" t="s">
        <v>4551</v>
      </c>
      <c r="D769" s="1458">
        <v>1</v>
      </c>
      <c r="E769" s="1458">
        <v>1</v>
      </c>
      <c r="F769" s="1459">
        <v>2</v>
      </c>
      <c r="G769" s="1470" t="s">
        <v>4551</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8">
      <c r="C770" s="1461" t="s">
        <v>4552</v>
      </c>
      <c r="D770" s="1458">
        <v>1</v>
      </c>
      <c r="E770" s="1458">
        <v>1</v>
      </c>
      <c r="F770" s="1459">
        <v>2</v>
      </c>
      <c r="G770" s="1470" t="s">
        <v>4552</v>
      </c>
      <c r="H770" s="1456">
        <v>1</v>
      </c>
      <c r="I770" s="1456" t="s">
        <v>3906</v>
      </c>
      <c r="J770" s="1471">
        <v>1</v>
      </c>
      <c r="K770" s="1460"/>
      <c r="L770" s="1454">
        <v>13067030601</v>
      </c>
      <c r="M770" s="1455">
        <v>1</v>
      </c>
      <c r="N770" s="1455">
        <v>1</v>
      </c>
      <c r="O770" s="1455">
        <v>2</v>
      </c>
      <c r="P770" s="145"/>
      <c r="Q770" s="145"/>
      <c r="R770" s="145"/>
      <c r="S770" s="145"/>
      <c r="T770" s="236"/>
      <c r="U770" s="236"/>
      <c r="AA770"/>
      <c r="AB770"/>
      <c r="AC770" s="68"/>
      <c r="AD770" s="68"/>
    </row>
    <row r="771" spans="3:30" ht="13.8">
      <c r="C771" s="1461" t="s">
        <v>4553</v>
      </c>
      <c r="D771" s="1458">
        <v>1</v>
      </c>
      <c r="E771" s="1458">
        <v>1</v>
      </c>
      <c r="F771" s="1459">
        <v>2</v>
      </c>
      <c r="G771" s="1470" t="s">
        <v>4553</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8">
      <c r="C772" s="1461" t="s">
        <v>4554</v>
      </c>
      <c r="D772" s="1458">
        <v>1</v>
      </c>
      <c r="E772" s="1458">
        <v>0</v>
      </c>
      <c r="F772" s="1459">
        <v>1</v>
      </c>
      <c r="G772" s="1470" t="s">
        <v>4554</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4555</v>
      </c>
      <c r="D773" s="1458">
        <v>0</v>
      </c>
      <c r="E773" s="1458">
        <v>0</v>
      </c>
      <c r="F773" s="1459">
        <v>0</v>
      </c>
      <c r="G773" s="1470" t="s">
        <v>4555</v>
      </c>
      <c r="H773" s="1456">
        <v>0</v>
      </c>
      <c r="I773" s="1456" t="s">
        <v>3906</v>
      </c>
      <c r="J773" s="1471">
        <v>0</v>
      </c>
      <c r="K773" s="1460"/>
      <c r="L773" s="1454">
        <v>13067030800</v>
      </c>
      <c r="M773" s="1455">
        <v>0</v>
      </c>
      <c r="N773" s="1455">
        <v>0</v>
      </c>
      <c r="O773" s="1455">
        <v>0</v>
      </c>
      <c r="T773" s="44"/>
      <c r="U773" s="44"/>
      <c r="AA773"/>
      <c r="AB773"/>
      <c r="AC773" s="68"/>
      <c r="AD773" s="68"/>
    </row>
    <row r="774" spans="3:30">
      <c r="C774" s="1461" t="s">
        <v>4556</v>
      </c>
      <c r="D774" s="1458">
        <v>1</v>
      </c>
      <c r="E774" s="1458">
        <v>1</v>
      </c>
      <c r="F774" s="1459">
        <v>2</v>
      </c>
      <c r="G774" s="1470" t="s">
        <v>4556</v>
      </c>
      <c r="H774" s="1456">
        <v>1</v>
      </c>
      <c r="I774" s="1456">
        <v>1</v>
      </c>
      <c r="J774" s="1471">
        <v>2</v>
      </c>
      <c r="K774" s="1460"/>
      <c r="L774" s="1454">
        <v>13067030901</v>
      </c>
      <c r="M774" s="1455">
        <v>1</v>
      </c>
      <c r="N774" s="1455">
        <v>1</v>
      </c>
      <c r="O774" s="1455">
        <v>2</v>
      </c>
      <c r="T774" s="44"/>
      <c r="U774" s="44"/>
      <c r="AA774"/>
      <c r="AB774"/>
      <c r="AC774" s="68"/>
      <c r="AD774" s="68"/>
    </row>
    <row r="775" spans="3:30">
      <c r="C775" s="1461" t="s">
        <v>4557</v>
      </c>
      <c r="D775" s="1458">
        <v>1</v>
      </c>
      <c r="E775" s="1458">
        <v>0</v>
      </c>
      <c r="F775" s="1459">
        <v>1</v>
      </c>
      <c r="G775" s="1470" t="s">
        <v>4557</v>
      </c>
      <c r="H775" s="1456">
        <v>1</v>
      </c>
      <c r="I775" s="1456">
        <v>0</v>
      </c>
      <c r="J775" s="1471">
        <v>1</v>
      </c>
      <c r="K775" s="1460"/>
      <c r="L775" s="1454">
        <v>13067030902</v>
      </c>
      <c r="M775" s="1455">
        <v>1</v>
      </c>
      <c r="N775" s="1455">
        <v>0</v>
      </c>
      <c r="O775" s="1455">
        <v>1</v>
      </c>
      <c r="T775" s="44"/>
      <c r="U775" s="44"/>
      <c r="AA775"/>
      <c r="AB775"/>
      <c r="AC775" s="68"/>
      <c r="AD775" s="68"/>
    </row>
    <row r="776" spans="3:30">
      <c r="C776" s="1461" t="s">
        <v>4558</v>
      </c>
      <c r="D776" s="1458">
        <v>0</v>
      </c>
      <c r="E776" s="1458">
        <v>0</v>
      </c>
      <c r="F776" s="1459">
        <v>0</v>
      </c>
      <c r="G776" s="1470" t="s">
        <v>4558</v>
      </c>
      <c r="H776" s="1456">
        <v>0</v>
      </c>
      <c r="I776" s="1456">
        <v>0</v>
      </c>
      <c r="J776" s="1471">
        <v>0</v>
      </c>
      <c r="K776" s="1460"/>
      <c r="L776" s="1454">
        <v>13067030904</v>
      </c>
      <c r="M776" s="1455">
        <v>0</v>
      </c>
      <c r="N776" s="1455">
        <v>0</v>
      </c>
      <c r="O776" s="1455">
        <v>0</v>
      </c>
      <c r="T776" s="44"/>
      <c r="U776" s="44"/>
      <c r="AA776"/>
      <c r="AB776"/>
      <c r="AC776" s="68"/>
      <c r="AD776" s="68"/>
    </row>
    <row r="777" spans="3:30">
      <c r="C777" s="1461" t="s">
        <v>4559</v>
      </c>
      <c r="D777" s="1458">
        <v>0</v>
      </c>
      <c r="E777" s="1458">
        <v>0</v>
      </c>
      <c r="F777" s="1459">
        <v>0</v>
      </c>
      <c r="G777" s="1470" t="s">
        <v>4559</v>
      </c>
      <c r="H777" s="1456">
        <v>0</v>
      </c>
      <c r="I777" s="1456">
        <v>0</v>
      </c>
      <c r="J777" s="1471">
        <v>0</v>
      </c>
      <c r="K777" s="1460"/>
      <c r="L777" s="1454">
        <v>13067030905</v>
      </c>
      <c r="M777" s="1455">
        <v>0</v>
      </c>
      <c r="N777" s="1455">
        <v>0</v>
      </c>
      <c r="O777" s="1455">
        <v>0</v>
      </c>
      <c r="AA777"/>
      <c r="AB777"/>
      <c r="AC777" s="68"/>
      <c r="AD777" s="68"/>
    </row>
    <row r="778" spans="3:30">
      <c r="C778" s="1461" t="s">
        <v>4560</v>
      </c>
      <c r="D778" s="1458">
        <v>0</v>
      </c>
      <c r="E778" s="1458">
        <v>0</v>
      </c>
      <c r="F778" s="1459">
        <v>0</v>
      </c>
      <c r="G778" s="1470" t="s">
        <v>4560</v>
      </c>
      <c r="H778" s="1456">
        <v>0</v>
      </c>
      <c r="I778" s="1456">
        <v>0</v>
      </c>
      <c r="J778" s="1471">
        <v>0</v>
      </c>
      <c r="K778" s="1460"/>
      <c r="L778" s="1454">
        <v>13067031001</v>
      </c>
      <c r="M778" s="1455">
        <v>0</v>
      </c>
      <c r="N778" s="1455">
        <v>0</v>
      </c>
      <c r="O778" s="1455">
        <v>0</v>
      </c>
      <c r="AA778"/>
      <c r="AB778"/>
      <c r="AC778" s="68"/>
      <c r="AD778" s="68"/>
    </row>
    <row r="779" spans="3:30">
      <c r="C779" s="1461" t="s">
        <v>4561</v>
      </c>
      <c r="D779" s="1458">
        <v>0</v>
      </c>
      <c r="E779" s="1458">
        <v>0</v>
      </c>
      <c r="F779" s="1459">
        <v>0</v>
      </c>
      <c r="G779" s="1470" t="s">
        <v>4561</v>
      </c>
      <c r="H779" s="1456">
        <v>0</v>
      </c>
      <c r="I779" s="1456">
        <v>0</v>
      </c>
      <c r="J779" s="1471">
        <v>0</v>
      </c>
      <c r="K779" s="1460"/>
      <c r="L779" s="1454">
        <v>13067031002</v>
      </c>
      <c r="M779" s="1455">
        <v>0</v>
      </c>
      <c r="N779" s="1455">
        <v>0</v>
      </c>
      <c r="O779" s="1455">
        <v>0</v>
      </c>
      <c r="AA779"/>
      <c r="AB779"/>
      <c r="AC779" s="68"/>
      <c r="AD779" s="68"/>
    </row>
    <row r="780" spans="3:30">
      <c r="C780" s="1461" t="s">
        <v>4562</v>
      </c>
      <c r="D780" s="1458">
        <v>0</v>
      </c>
      <c r="E780" s="1458">
        <v>0</v>
      </c>
      <c r="F780" s="1459">
        <v>0</v>
      </c>
      <c r="G780" s="1470" t="s">
        <v>4562</v>
      </c>
      <c r="H780" s="1456">
        <v>0</v>
      </c>
      <c r="I780" s="1456">
        <v>0</v>
      </c>
      <c r="J780" s="1471">
        <v>0</v>
      </c>
      <c r="K780" s="1460"/>
      <c r="L780" s="1454">
        <v>13067031004</v>
      </c>
      <c r="M780" s="1455">
        <v>0</v>
      </c>
      <c r="N780" s="1455">
        <v>0</v>
      </c>
      <c r="O780" s="1455">
        <v>0</v>
      </c>
      <c r="AA780"/>
      <c r="AB780"/>
      <c r="AC780" s="68"/>
      <c r="AD780" s="68"/>
    </row>
    <row r="781" spans="3:30">
      <c r="C781" s="1461" t="s">
        <v>4563</v>
      </c>
      <c r="D781" s="1458">
        <v>0</v>
      </c>
      <c r="E781" s="1458">
        <v>0</v>
      </c>
      <c r="F781" s="1459">
        <v>0</v>
      </c>
      <c r="G781" s="1470" t="s">
        <v>4563</v>
      </c>
      <c r="H781" s="1456">
        <v>0</v>
      </c>
      <c r="I781" s="1456">
        <v>0</v>
      </c>
      <c r="J781" s="1471">
        <v>0</v>
      </c>
      <c r="K781" s="1460"/>
      <c r="L781" s="1454">
        <v>13067031005</v>
      </c>
      <c r="M781" s="1455">
        <v>0</v>
      </c>
      <c r="N781" s="1455">
        <v>0</v>
      </c>
      <c r="O781" s="1455">
        <v>0</v>
      </c>
      <c r="AA781"/>
      <c r="AB781"/>
      <c r="AC781" s="68"/>
      <c r="AD781" s="68"/>
    </row>
    <row r="782" spans="3:30">
      <c r="C782" s="1461" t="s">
        <v>4564</v>
      </c>
      <c r="D782" s="1458">
        <v>0</v>
      </c>
      <c r="E782" s="1458">
        <v>0</v>
      </c>
      <c r="F782" s="1459">
        <v>0</v>
      </c>
      <c r="G782" s="1470" t="s">
        <v>4564</v>
      </c>
      <c r="H782" s="1456">
        <v>0</v>
      </c>
      <c r="I782" s="1456">
        <v>0</v>
      </c>
      <c r="J782" s="1471">
        <v>0</v>
      </c>
      <c r="K782" s="1460"/>
      <c r="L782" s="1454">
        <v>13067031101</v>
      </c>
      <c r="M782" s="1455">
        <v>0</v>
      </c>
      <c r="N782" s="1455">
        <v>0</v>
      </c>
      <c r="O782" s="1455">
        <v>0</v>
      </c>
      <c r="AA782"/>
      <c r="AB782"/>
      <c r="AC782" s="68"/>
      <c r="AD782" s="68"/>
    </row>
    <row r="783" spans="3:30">
      <c r="C783" s="1461" t="s">
        <v>4565</v>
      </c>
      <c r="D783" s="1458">
        <v>1</v>
      </c>
      <c r="E783" s="1458">
        <v>0</v>
      </c>
      <c r="F783" s="1459">
        <v>1</v>
      </c>
      <c r="G783" s="1470" t="s">
        <v>4565</v>
      </c>
      <c r="H783" s="1456">
        <v>1</v>
      </c>
      <c r="I783" s="1456">
        <v>1</v>
      </c>
      <c r="J783" s="1471">
        <v>2</v>
      </c>
      <c r="K783" s="1460"/>
      <c r="L783" s="1454">
        <v>13067031106</v>
      </c>
      <c r="M783" s="1455">
        <v>1</v>
      </c>
      <c r="N783" s="1455">
        <v>1</v>
      </c>
      <c r="O783" s="1455">
        <v>2</v>
      </c>
      <c r="AA783"/>
      <c r="AB783"/>
      <c r="AC783" s="68"/>
      <c r="AD783" s="68"/>
    </row>
    <row r="784" spans="3:30">
      <c r="C784" s="1461" t="s">
        <v>4566</v>
      </c>
      <c r="D784" s="1458">
        <v>1</v>
      </c>
      <c r="E784" s="1458">
        <v>0</v>
      </c>
      <c r="F784" s="1459">
        <v>1</v>
      </c>
      <c r="G784" s="1470" t="s">
        <v>4566</v>
      </c>
      <c r="H784" s="1456">
        <v>1</v>
      </c>
      <c r="I784" s="1456">
        <v>1</v>
      </c>
      <c r="J784" s="1471">
        <v>2</v>
      </c>
      <c r="K784" s="1460"/>
      <c r="L784" s="1454">
        <v>13067031108</v>
      </c>
      <c r="M784" s="1455">
        <v>1</v>
      </c>
      <c r="N784" s="1455">
        <v>1</v>
      </c>
      <c r="O784" s="1455">
        <v>2</v>
      </c>
      <c r="AA784"/>
      <c r="AB784"/>
      <c r="AC784" s="68"/>
      <c r="AD784" s="68"/>
    </row>
    <row r="785" spans="3:30">
      <c r="C785" s="1461" t="s">
        <v>4567</v>
      </c>
      <c r="D785" s="1458">
        <v>1</v>
      </c>
      <c r="E785" s="1458">
        <v>0</v>
      </c>
      <c r="F785" s="1459">
        <v>1</v>
      </c>
      <c r="G785" s="1470" t="s">
        <v>4567</v>
      </c>
      <c r="H785" s="1456">
        <v>1</v>
      </c>
      <c r="I785" s="1456">
        <v>0</v>
      </c>
      <c r="J785" s="1471">
        <v>1</v>
      </c>
      <c r="K785" s="1460"/>
      <c r="L785" s="1454">
        <v>13067031110</v>
      </c>
      <c r="M785" s="1455">
        <v>1</v>
      </c>
      <c r="N785" s="1455">
        <v>0</v>
      </c>
      <c r="O785" s="1455">
        <v>1</v>
      </c>
      <c r="AA785"/>
      <c r="AB785"/>
      <c r="AC785" s="68"/>
      <c r="AD785" s="68"/>
    </row>
    <row r="786" spans="3:30">
      <c r="C786" s="1461" t="s">
        <v>4568</v>
      </c>
      <c r="D786" s="1458">
        <v>1</v>
      </c>
      <c r="E786" s="1458">
        <v>1</v>
      </c>
      <c r="F786" s="1459">
        <v>2</v>
      </c>
      <c r="G786" s="1470" t="s">
        <v>4568</v>
      </c>
      <c r="H786" s="1456">
        <v>1</v>
      </c>
      <c r="I786" s="1456">
        <v>1</v>
      </c>
      <c r="J786" s="1471">
        <v>2</v>
      </c>
      <c r="K786" s="1460"/>
      <c r="L786" s="1454">
        <v>13067031111</v>
      </c>
      <c r="M786" s="1455">
        <v>1</v>
      </c>
      <c r="N786" s="1455">
        <v>1</v>
      </c>
      <c r="O786" s="1455">
        <v>2</v>
      </c>
      <c r="AA786"/>
      <c r="AB786"/>
      <c r="AC786" s="68"/>
      <c r="AD786" s="68"/>
    </row>
    <row r="787" spans="3:30">
      <c r="C787" s="1461" t="s">
        <v>4569</v>
      </c>
      <c r="D787" s="1458">
        <v>1</v>
      </c>
      <c r="E787" s="1458">
        <v>1</v>
      </c>
      <c r="F787" s="1459">
        <v>2</v>
      </c>
      <c r="G787" s="1470" t="s">
        <v>4569</v>
      </c>
      <c r="H787" s="1456">
        <v>1</v>
      </c>
      <c r="I787" s="1456">
        <v>1</v>
      </c>
      <c r="J787" s="1471">
        <v>2</v>
      </c>
      <c r="K787" s="1460"/>
      <c r="L787" s="1454">
        <v>13067031112</v>
      </c>
      <c r="M787" s="1455">
        <v>1</v>
      </c>
      <c r="N787" s="1455">
        <v>1</v>
      </c>
      <c r="O787" s="1455">
        <v>2</v>
      </c>
      <c r="AA787"/>
      <c r="AB787"/>
      <c r="AC787" s="68"/>
      <c r="AD787" s="68"/>
    </row>
    <row r="788" spans="3:30">
      <c r="C788" s="1461" t="s">
        <v>4570</v>
      </c>
      <c r="D788" s="1458">
        <v>0</v>
      </c>
      <c r="E788" s="1458">
        <v>0</v>
      </c>
      <c r="F788" s="1459">
        <v>0</v>
      </c>
      <c r="G788" s="1470" t="s">
        <v>4570</v>
      </c>
      <c r="H788" s="1456">
        <v>1</v>
      </c>
      <c r="I788" s="1456" t="s">
        <v>3906</v>
      </c>
      <c r="J788" s="1471">
        <v>1</v>
      </c>
      <c r="K788" s="1460"/>
      <c r="L788" s="1454">
        <v>13067031113</v>
      </c>
      <c r="M788" s="1455">
        <v>1</v>
      </c>
      <c r="N788" s="1455">
        <v>0</v>
      </c>
      <c r="O788" s="1455">
        <v>1</v>
      </c>
      <c r="AA788"/>
      <c r="AB788"/>
      <c r="AC788" s="68"/>
      <c r="AD788" s="68"/>
    </row>
    <row r="789" spans="3:30">
      <c r="C789" s="1461" t="s">
        <v>4571</v>
      </c>
      <c r="D789" s="1458">
        <v>0</v>
      </c>
      <c r="E789" s="1458">
        <v>0</v>
      </c>
      <c r="F789" s="1459">
        <v>0</v>
      </c>
      <c r="G789" s="1470" t="s">
        <v>4571</v>
      </c>
      <c r="H789" s="1456">
        <v>1</v>
      </c>
      <c r="I789" s="1456">
        <v>0</v>
      </c>
      <c r="J789" s="1471">
        <v>1</v>
      </c>
      <c r="K789" s="1460"/>
      <c r="L789" s="1454">
        <v>13067031114</v>
      </c>
      <c r="M789" s="1455">
        <v>1</v>
      </c>
      <c r="N789" s="1455">
        <v>0</v>
      </c>
      <c r="O789" s="1455">
        <v>1</v>
      </c>
      <c r="AA789"/>
      <c r="AB789"/>
      <c r="AC789" s="68"/>
      <c r="AD789" s="68"/>
    </row>
    <row r="790" spans="3:30">
      <c r="C790" s="1461" t="s">
        <v>4572</v>
      </c>
      <c r="D790" s="1458">
        <v>1</v>
      </c>
      <c r="E790" s="1458">
        <v>0</v>
      </c>
      <c r="F790" s="1459">
        <v>1</v>
      </c>
      <c r="G790" s="1470" t="s">
        <v>4572</v>
      </c>
      <c r="H790" s="1456">
        <v>1</v>
      </c>
      <c r="I790" s="1456">
        <v>0</v>
      </c>
      <c r="J790" s="1471">
        <v>1</v>
      </c>
      <c r="K790" s="1460"/>
      <c r="L790" s="1454">
        <v>13067031115</v>
      </c>
      <c r="M790" s="1455">
        <v>1</v>
      </c>
      <c r="N790" s="1455">
        <v>0</v>
      </c>
      <c r="O790" s="1455">
        <v>1</v>
      </c>
      <c r="AA790"/>
      <c r="AB790"/>
      <c r="AC790" s="68"/>
      <c r="AD790" s="68"/>
    </row>
    <row r="791" spans="3:30">
      <c r="C791" s="1461" t="s">
        <v>4573</v>
      </c>
      <c r="D791" s="1458">
        <v>0</v>
      </c>
      <c r="E791" s="1458">
        <v>0</v>
      </c>
      <c r="F791" s="1459">
        <v>0</v>
      </c>
      <c r="G791" s="1470" t="s">
        <v>4573</v>
      </c>
      <c r="H791" s="1456">
        <v>0</v>
      </c>
      <c r="I791" s="1456" t="s">
        <v>3906</v>
      </c>
      <c r="J791" s="1471">
        <v>0</v>
      </c>
      <c r="K791" s="1460"/>
      <c r="L791" s="1454">
        <v>13067031116</v>
      </c>
      <c r="M791" s="1455">
        <v>0</v>
      </c>
      <c r="N791" s="1455">
        <v>0</v>
      </c>
      <c r="O791" s="1455">
        <v>0</v>
      </c>
      <c r="AA791"/>
      <c r="AB791"/>
      <c r="AC791" s="68"/>
      <c r="AD791" s="68"/>
    </row>
    <row r="792" spans="3:30">
      <c r="C792" s="1461" t="s">
        <v>4574</v>
      </c>
      <c r="D792" s="1458">
        <v>1</v>
      </c>
      <c r="E792" s="1458">
        <v>1</v>
      </c>
      <c r="F792" s="1459">
        <v>2</v>
      </c>
      <c r="G792" s="1470" t="s">
        <v>4574</v>
      </c>
      <c r="H792" s="1456">
        <v>1</v>
      </c>
      <c r="I792" s="1456">
        <v>1</v>
      </c>
      <c r="J792" s="1471">
        <v>2</v>
      </c>
      <c r="K792" s="1460"/>
      <c r="L792" s="1454">
        <v>13067031117</v>
      </c>
      <c r="M792" s="1455">
        <v>1</v>
      </c>
      <c r="N792" s="1455">
        <v>1</v>
      </c>
      <c r="O792" s="1455">
        <v>2</v>
      </c>
      <c r="AA792"/>
      <c r="AB792"/>
      <c r="AC792" s="68"/>
      <c r="AD792" s="68"/>
    </row>
    <row r="793" spans="3:30">
      <c r="C793" s="1461" t="s">
        <v>4575</v>
      </c>
      <c r="D793" s="1458">
        <v>1</v>
      </c>
      <c r="E793" s="1458">
        <v>1</v>
      </c>
      <c r="F793" s="1459">
        <v>2</v>
      </c>
      <c r="G793" s="1470" t="s">
        <v>4575</v>
      </c>
      <c r="H793" s="1456">
        <v>1</v>
      </c>
      <c r="I793" s="1456">
        <v>1</v>
      </c>
      <c r="J793" s="1471">
        <v>2</v>
      </c>
      <c r="K793" s="1460"/>
      <c r="L793" s="1454">
        <v>13067031118</v>
      </c>
      <c r="M793" s="1455">
        <v>1</v>
      </c>
      <c r="N793" s="1455">
        <v>1</v>
      </c>
      <c r="O793" s="1455">
        <v>2</v>
      </c>
      <c r="AA793"/>
      <c r="AB793"/>
      <c r="AC793" s="68"/>
      <c r="AD793" s="68"/>
    </row>
    <row r="794" spans="3:30">
      <c r="C794" s="1461" t="s">
        <v>4576</v>
      </c>
      <c r="D794" s="1458">
        <v>1</v>
      </c>
      <c r="E794" s="1458">
        <v>1</v>
      </c>
      <c r="F794" s="1459">
        <v>2</v>
      </c>
      <c r="G794" s="1470" t="s">
        <v>4576</v>
      </c>
      <c r="H794" s="1456">
        <v>1</v>
      </c>
      <c r="I794" s="1456">
        <v>1</v>
      </c>
      <c r="J794" s="1471">
        <v>2</v>
      </c>
      <c r="K794" s="1460"/>
      <c r="L794" s="1454">
        <v>13067031205</v>
      </c>
      <c r="M794" s="1455">
        <v>1</v>
      </c>
      <c r="N794" s="1455">
        <v>1</v>
      </c>
      <c r="O794" s="1455">
        <v>2</v>
      </c>
      <c r="AA794"/>
      <c r="AB794"/>
      <c r="AC794" s="68"/>
      <c r="AD794" s="68"/>
    </row>
    <row r="795" spans="3:30">
      <c r="C795" s="1461" t="s">
        <v>4577</v>
      </c>
      <c r="D795" s="1458">
        <v>1</v>
      </c>
      <c r="E795" s="1458">
        <v>1</v>
      </c>
      <c r="F795" s="1459">
        <v>2</v>
      </c>
      <c r="G795" s="1470" t="s">
        <v>4577</v>
      </c>
      <c r="H795" s="1456">
        <v>1</v>
      </c>
      <c r="I795" s="1456">
        <v>1</v>
      </c>
      <c r="J795" s="1471">
        <v>2</v>
      </c>
      <c r="K795" s="1460"/>
      <c r="L795" s="1454">
        <v>13067031206</v>
      </c>
      <c r="M795" s="1455">
        <v>1</v>
      </c>
      <c r="N795" s="1455">
        <v>1</v>
      </c>
      <c r="O795" s="1455">
        <v>2</v>
      </c>
      <c r="AA795"/>
      <c r="AB795"/>
      <c r="AC795" s="68"/>
      <c r="AD795" s="68"/>
    </row>
    <row r="796" spans="3:30">
      <c r="C796" s="1461" t="s">
        <v>4578</v>
      </c>
      <c r="D796" s="1458">
        <v>1</v>
      </c>
      <c r="E796" s="1458">
        <v>1</v>
      </c>
      <c r="F796" s="1459">
        <v>2</v>
      </c>
      <c r="G796" s="1470" t="s">
        <v>4578</v>
      </c>
      <c r="H796" s="1456">
        <v>1</v>
      </c>
      <c r="I796" s="1456" t="s">
        <v>3906</v>
      </c>
      <c r="J796" s="1471">
        <v>1</v>
      </c>
      <c r="K796" s="1460"/>
      <c r="L796" s="1454">
        <v>13067031207</v>
      </c>
      <c r="M796" s="1455">
        <v>1</v>
      </c>
      <c r="N796" s="1455">
        <v>1</v>
      </c>
      <c r="O796" s="1455">
        <v>2</v>
      </c>
      <c r="AA796"/>
      <c r="AB796"/>
      <c r="AC796" s="68"/>
      <c r="AD796" s="68"/>
    </row>
    <row r="797" spans="3:30">
      <c r="C797" s="1461" t="s">
        <v>4579</v>
      </c>
      <c r="D797" s="1458">
        <v>1</v>
      </c>
      <c r="E797" s="1458">
        <v>1</v>
      </c>
      <c r="F797" s="1459">
        <v>2</v>
      </c>
      <c r="G797" s="1470" t="s">
        <v>4579</v>
      </c>
      <c r="H797" s="1456">
        <v>1</v>
      </c>
      <c r="I797" s="1456">
        <v>1</v>
      </c>
      <c r="J797" s="1471">
        <v>2</v>
      </c>
      <c r="K797" s="1460"/>
      <c r="L797" s="1454">
        <v>13067031208</v>
      </c>
      <c r="M797" s="1455">
        <v>1</v>
      </c>
      <c r="N797" s="1455">
        <v>1</v>
      </c>
      <c r="O797" s="1455">
        <v>2</v>
      </c>
      <c r="AA797"/>
      <c r="AB797"/>
      <c r="AC797" s="68"/>
      <c r="AD797" s="68"/>
    </row>
    <row r="798" spans="3:30">
      <c r="C798" s="1461" t="s">
        <v>4580</v>
      </c>
      <c r="D798" s="1458">
        <v>1</v>
      </c>
      <c r="E798" s="1458">
        <v>1</v>
      </c>
      <c r="F798" s="1459">
        <v>2</v>
      </c>
      <c r="G798" s="1470" t="s">
        <v>4580</v>
      </c>
      <c r="H798" s="1456">
        <v>1</v>
      </c>
      <c r="I798" s="1456">
        <v>1</v>
      </c>
      <c r="J798" s="1471">
        <v>2</v>
      </c>
      <c r="K798" s="1460"/>
      <c r="L798" s="1454">
        <v>13067031209</v>
      </c>
      <c r="M798" s="1455">
        <v>1</v>
      </c>
      <c r="N798" s="1455">
        <v>1</v>
      </c>
      <c r="O798" s="1455">
        <v>2</v>
      </c>
      <c r="AA798"/>
      <c r="AB798"/>
      <c r="AC798" s="68"/>
      <c r="AD798" s="68"/>
    </row>
    <row r="799" spans="3:30">
      <c r="C799" s="1461" t="s">
        <v>4581</v>
      </c>
      <c r="D799" s="1458">
        <v>1</v>
      </c>
      <c r="E799" s="1458">
        <v>1</v>
      </c>
      <c r="F799" s="1459">
        <v>2</v>
      </c>
      <c r="G799" s="1470" t="s">
        <v>4581</v>
      </c>
      <c r="H799" s="1456">
        <v>1</v>
      </c>
      <c r="I799" s="1456">
        <v>1</v>
      </c>
      <c r="J799" s="1471">
        <v>2</v>
      </c>
      <c r="K799" s="1460"/>
      <c r="L799" s="1454">
        <v>13067031211</v>
      </c>
      <c r="M799" s="1455">
        <v>1</v>
      </c>
      <c r="N799" s="1455">
        <v>1</v>
      </c>
      <c r="O799" s="1455">
        <v>2</v>
      </c>
      <c r="AA799"/>
      <c r="AB799"/>
      <c r="AC799" s="68"/>
      <c r="AD799" s="68"/>
    </row>
    <row r="800" spans="3:30">
      <c r="C800" s="1461" t="s">
        <v>4582</v>
      </c>
      <c r="D800" s="1458">
        <v>1</v>
      </c>
      <c r="E800" s="1458">
        <v>1</v>
      </c>
      <c r="F800" s="1459">
        <v>2</v>
      </c>
      <c r="G800" s="1470" t="s">
        <v>4582</v>
      </c>
      <c r="H800" s="1456">
        <v>1</v>
      </c>
      <c r="I800" s="1456">
        <v>1</v>
      </c>
      <c r="J800" s="1471">
        <v>2</v>
      </c>
      <c r="K800" s="1460"/>
      <c r="L800" s="1454">
        <v>13067031212</v>
      </c>
      <c r="M800" s="1455">
        <v>1</v>
      </c>
      <c r="N800" s="1455">
        <v>1</v>
      </c>
      <c r="O800" s="1455">
        <v>2</v>
      </c>
      <c r="AA800"/>
      <c r="AB800"/>
      <c r="AC800" s="68"/>
      <c r="AD800" s="68"/>
    </row>
    <row r="801" spans="3:30">
      <c r="C801" s="1461" t="s">
        <v>4583</v>
      </c>
      <c r="D801" s="1458">
        <v>1</v>
      </c>
      <c r="E801" s="1458">
        <v>0</v>
      </c>
      <c r="F801" s="1459">
        <v>1</v>
      </c>
      <c r="G801" s="1470" t="s">
        <v>4583</v>
      </c>
      <c r="H801" s="1456">
        <v>1</v>
      </c>
      <c r="I801" s="1456">
        <v>0</v>
      </c>
      <c r="J801" s="1471">
        <v>1</v>
      </c>
      <c r="K801" s="1460"/>
      <c r="L801" s="1454">
        <v>13067031306</v>
      </c>
      <c r="M801" s="1455">
        <v>1</v>
      </c>
      <c r="N801" s="1455">
        <v>0</v>
      </c>
      <c r="O801" s="1455">
        <v>1</v>
      </c>
      <c r="AA801"/>
      <c r="AB801"/>
      <c r="AC801" s="68"/>
      <c r="AD801" s="68"/>
    </row>
    <row r="802" spans="3:30">
      <c r="C802" s="1461" t="s">
        <v>4584</v>
      </c>
      <c r="D802" s="1458">
        <v>1</v>
      </c>
      <c r="E802" s="1458">
        <v>1</v>
      </c>
      <c r="F802" s="1459">
        <v>2</v>
      </c>
      <c r="G802" s="1470" t="s">
        <v>4584</v>
      </c>
      <c r="H802" s="1456">
        <v>1</v>
      </c>
      <c r="I802" s="1456">
        <v>1</v>
      </c>
      <c r="J802" s="1471">
        <v>2</v>
      </c>
      <c r="K802" s="1460"/>
      <c r="L802" s="1454">
        <v>13067031307</v>
      </c>
      <c r="M802" s="1455">
        <v>1</v>
      </c>
      <c r="N802" s="1455">
        <v>1</v>
      </c>
      <c r="O802" s="1455">
        <v>2</v>
      </c>
      <c r="AA802"/>
      <c r="AB802"/>
      <c r="AC802" s="68"/>
      <c r="AD802" s="68"/>
    </row>
    <row r="803" spans="3:30">
      <c r="C803" s="1461" t="s">
        <v>4585</v>
      </c>
      <c r="D803" s="1458">
        <v>0</v>
      </c>
      <c r="E803" s="1458">
        <v>0</v>
      </c>
      <c r="F803" s="1459">
        <v>0</v>
      </c>
      <c r="G803" s="1470" t="s">
        <v>4585</v>
      </c>
      <c r="H803" s="1456">
        <v>0</v>
      </c>
      <c r="I803" s="1456">
        <v>0</v>
      </c>
      <c r="J803" s="1471">
        <v>0</v>
      </c>
      <c r="K803" s="1460"/>
      <c r="L803" s="1454">
        <v>13067031308</v>
      </c>
      <c r="M803" s="1455">
        <v>0</v>
      </c>
      <c r="N803" s="1455">
        <v>0</v>
      </c>
      <c r="O803" s="1455">
        <v>0</v>
      </c>
      <c r="AA803"/>
      <c r="AB803"/>
      <c r="AC803" s="68"/>
      <c r="AD803" s="68"/>
    </row>
    <row r="804" spans="3:30">
      <c r="C804" s="1461" t="s">
        <v>4586</v>
      </c>
      <c r="D804" s="1458">
        <v>0</v>
      </c>
      <c r="E804" s="1458">
        <v>0</v>
      </c>
      <c r="F804" s="1459">
        <v>0</v>
      </c>
      <c r="G804" s="1470" t="s">
        <v>4586</v>
      </c>
      <c r="H804" s="1456">
        <v>1</v>
      </c>
      <c r="I804" s="1456">
        <v>0</v>
      </c>
      <c r="J804" s="1471">
        <v>1</v>
      </c>
      <c r="K804" s="1460"/>
      <c r="L804" s="1454">
        <v>13067031309</v>
      </c>
      <c r="M804" s="1455">
        <v>1</v>
      </c>
      <c r="N804" s="1455">
        <v>0</v>
      </c>
      <c r="O804" s="1455">
        <v>1</v>
      </c>
      <c r="AA804"/>
      <c r="AB804"/>
      <c r="AC804" s="68"/>
      <c r="AD804" s="68"/>
    </row>
    <row r="805" spans="3:30">
      <c r="C805" s="1461" t="s">
        <v>4587</v>
      </c>
      <c r="D805" s="1458">
        <v>0</v>
      </c>
      <c r="E805" s="1458">
        <v>0</v>
      </c>
      <c r="F805" s="1459">
        <v>0</v>
      </c>
      <c r="G805" s="1470" t="s">
        <v>4587</v>
      </c>
      <c r="H805" s="1456">
        <v>0</v>
      </c>
      <c r="I805" s="1456">
        <v>0</v>
      </c>
      <c r="J805" s="1471">
        <v>0</v>
      </c>
      <c r="K805" s="1460"/>
      <c r="L805" s="1454">
        <v>13067031310</v>
      </c>
      <c r="M805" s="1455">
        <v>0</v>
      </c>
      <c r="N805" s="1455">
        <v>0</v>
      </c>
      <c r="O805" s="1455">
        <v>0</v>
      </c>
      <c r="AA805"/>
      <c r="AC805" s="68"/>
    </row>
    <row r="806" spans="3:30">
      <c r="C806" s="1461" t="s">
        <v>4588</v>
      </c>
      <c r="D806" s="1458">
        <v>0</v>
      </c>
      <c r="E806" s="1458">
        <v>0</v>
      </c>
      <c r="F806" s="1459">
        <v>0</v>
      </c>
      <c r="G806" s="1470" t="s">
        <v>4588</v>
      </c>
      <c r="H806" s="1456">
        <v>0</v>
      </c>
      <c r="I806" s="1456">
        <v>0</v>
      </c>
      <c r="J806" s="1471">
        <v>0</v>
      </c>
      <c r="K806" s="1460"/>
      <c r="L806" s="1454">
        <v>13067031311</v>
      </c>
      <c r="M806" s="1455">
        <v>0</v>
      </c>
      <c r="N806" s="1455">
        <v>0</v>
      </c>
      <c r="O806" s="1455">
        <v>0</v>
      </c>
      <c r="AA806"/>
      <c r="AC806" s="68"/>
    </row>
    <row r="807" spans="3:30">
      <c r="C807" s="1461" t="s">
        <v>4589</v>
      </c>
      <c r="D807" s="1458">
        <v>1</v>
      </c>
      <c r="E807" s="1458">
        <v>1</v>
      </c>
      <c r="F807" s="1459">
        <v>2</v>
      </c>
      <c r="G807" s="1470" t="s">
        <v>4589</v>
      </c>
      <c r="H807" s="1456">
        <v>1</v>
      </c>
      <c r="I807" s="1456">
        <v>1</v>
      </c>
      <c r="J807" s="1471">
        <v>2</v>
      </c>
      <c r="K807" s="1460"/>
      <c r="L807" s="1454">
        <v>13067031312</v>
      </c>
      <c r="M807" s="1455">
        <v>1</v>
      </c>
      <c r="N807" s="1455">
        <v>1</v>
      </c>
      <c r="O807" s="1455">
        <v>2</v>
      </c>
      <c r="AA807"/>
      <c r="AC807" s="68"/>
    </row>
    <row r="808" spans="3:30">
      <c r="C808" s="1461" t="s">
        <v>4590</v>
      </c>
      <c r="D808" s="1458">
        <v>1</v>
      </c>
      <c r="E808" s="1458">
        <v>1</v>
      </c>
      <c r="F808" s="1459">
        <v>2</v>
      </c>
      <c r="G808" s="1470" t="s">
        <v>4590</v>
      </c>
      <c r="H808" s="1456">
        <v>1</v>
      </c>
      <c r="I808" s="1456">
        <v>1</v>
      </c>
      <c r="J808" s="1471">
        <v>2</v>
      </c>
      <c r="K808" s="1460"/>
      <c r="L808" s="1454">
        <v>13067031313</v>
      </c>
      <c r="M808" s="1455">
        <v>1</v>
      </c>
      <c r="N808" s="1455">
        <v>1</v>
      </c>
      <c r="O808" s="1455">
        <v>2</v>
      </c>
      <c r="AA808"/>
      <c r="AC808" s="68"/>
    </row>
    <row r="809" spans="3:30">
      <c r="C809" s="1461" t="s">
        <v>4591</v>
      </c>
      <c r="D809" s="1458">
        <v>1</v>
      </c>
      <c r="E809" s="1458">
        <v>1</v>
      </c>
      <c r="F809" s="1459">
        <v>2</v>
      </c>
      <c r="G809" s="1470" t="s">
        <v>4591</v>
      </c>
      <c r="H809" s="1456">
        <v>1</v>
      </c>
      <c r="I809" s="1456">
        <v>1</v>
      </c>
      <c r="J809" s="1471">
        <v>2</v>
      </c>
      <c r="K809" s="1460"/>
      <c r="L809" s="1454">
        <v>13067031404</v>
      </c>
      <c r="M809" s="1455">
        <v>1</v>
      </c>
      <c r="N809" s="1455">
        <v>1</v>
      </c>
      <c r="O809" s="1455">
        <v>2</v>
      </c>
      <c r="AA809"/>
      <c r="AC809" s="68"/>
    </row>
    <row r="810" spans="3:30">
      <c r="C810" s="1461" t="s">
        <v>4592</v>
      </c>
      <c r="D810" s="1458">
        <v>0</v>
      </c>
      <c r="E810" s="1458">
        <v>1</v>
      </c>
      <c r="F810" s="1459">
        <v>1</v>
      </c>
      <c r="G810" s="1470" t="s">
        <v>4592</v>
      </c>
      <c r="H810" s="1456">
        <v>1</v>
      </c>
      <c r="I810" s="1456">
        <v>0</v>
      </c>
      <c r="J810" s="1471">
        <v>1</v>
      </c>
      <c r="K810" s="1460"/>
      <c r="L810" s="1454">
        <v>13067031405</v>
      </c>
      <c r="M810" s="1455">
        <v>1</v>
      </c>
      <c r="N810" s="1455">
        <v>1</v>
      </c>
      <c r="O810" s="1455">
        <v>1</v>
      </c>
      <c r="AA810"/>
      <c r="AC810" s="68"/>
    </row>
    <row r="811" spans="3:30">
      <c r="C811" s="1461" t="s">
        <v>4593</v>
      </c>
      <c r="D811" s="1458">
        <v>0</v>
      </c>
      <c r="E811" s="1458">
        <v>0</v>
      </c>
      <c r="F811" s="1459">
        <v>0</v>
      </c>
      <c r="G811" s="1470" t="s">
        <v>4593</v>
      </c>
      <c r="H811" s="1456">
        <v>0</v>
      </c>
      <c r="I811" s="1456">
        <v>0</v>
      </c>
      <c r="J811" s="1471">
        <v>0</v>
      </c>
      <c r="K811" s="1460"/>
      <c r="L811" s="1454">
        <v>13067031406</v>
      </c>
      <c r="M811" s="1455">
        <v>0</v>
      </c>
      <c r="N811" s="1455">
        <v>0</v>
      </c>
      <c r="O811" s="1455">
        <v>0</v>
      </c>
      <c r="AA811"/>
      <c r="AC811" s="68"/>
    </row>
    <row r="812" spans="3:30">
      <c r="C812" s="1461" t="s">
        <v>4594</v>
      </c>
      <c r="D812" s="1458">
        <v>0</v>
      </c>
      <c r="E812" s="1458">
        <v>0</v>
      </c>
      <c r="F812" s="1459">
        <v>0</v>
      </c>
      <c r="G812" s="1470" t="s">
        <v>4594</v>
      </c>
      <c r="H812" s="1456">
        <v>1</v>
      </c>
      <c r="I812" s="1456">
        <v>0</v>
      </c>
      <c r="J812" s="1471">
        <v>0</v>
      </c>
      <c r="K812" s="1460"/>
      <c r="L812" s="1454">
        <v>13067031408</v>
      </c>
      <c r="M812" s="1455">
        <v>1</v>
      </c>
      <c r="N812" s="1455">
        <v>0</v>
      </c>
      <c r="O812" s="1455">
        <v>0</v>
      </c>
      <c r="AA812"/>
      <c r="AC812" s="68"/>
    </row>
    <row r="813" spans="3:30">
      <c r="C813" s="1461" t="s">
        <v>4595</v>
      </c>
      <c r="D813" s="1458">
        <v>0</v>
      </c>
      <c r="E813" s="1458">
        <v>0</v>
      </c>
      <c r="F813" s="1459">
        <v>0</v>
      </c>
      <c r="G813" s="1470" t="s">
        <v>4595</v>
      </c>
      <c r="H813" s="1456">
        <v>0</v>
      </c>
      <c r="I813" s="1456">
        <v>0</v>
      </c>
      <c r="J813" s="1471">
        <v>0</v>
      </c>
      <c r="K813" s="1460"/>
      <c r="L813" s="1454">
        <v>13067031409</v>
      </c>
      <c r="M813" s="1455">
        <v>0</v>
      </c>
      <c r="N813" s="1455">
        <v>0</v>
      </c>
      <c r="O813" s="1455">
        <v>0</v>
      </c>
      <c r="AA813"/>
      <c r="AC813" s="68"/>
    </row>
    <row r="814" spans="3:30">
      <c r="C814" s="1461" t="s">
        <v>4596</v>
      </c>
      <c r="D814" s="1458">
        <v>1</v>
      </c>
      <c r="E814" s="1458">
        <v>0</v>
      </c>
      <c r="F814" s="1459">
        <v>1</v>
      </c>
      <c r="G814" s="1470" t="s">
        <v>4596</v>
      </c>
      <c r="H814" s="1456">
        <v>1</v>
      </c>
      <c r="I814" s="1456">
        <v>1</v>
      </c>
      <c r="J814" s="1471">
        <v>2</v>
      </c>
      <c r="K814" s="1460"/>
      <c r="L814" s="1454">
        <v>13067031503</v>
      </c>
      <c r="M814" s="1455">
        <v>1</v>
      </c>
      <c r="N814" s="1455">
        <v>1</v>
      </c>
      <c r="O814" s="1455">
        <v>2</v>
      </c>
      <c r="AA814"/>
      <c r="AC814" s="68"/>
    </row>
    <row r="815" spans="3:30">
      <c r="C815" s="1461" t="s">
        <v>4597</v>
      </c>
      <c r="D815" s="1458">
        <v>1</v>
      </c>
      <c r="E815" s="1458">
        <v>1</v>
      </c>
      <c r="F815" s="1459">
        <v>2</v>
      </c>
      <c r="G815" s="1470" t="s">
        <v>4597</v>
      </c>
      <c r="H815" s="1456">
        <v>1</v>
      </c>
      <c r="I815" s="1456">
        <v>1</v>
      </c>
      <c r="J815" s="1471">
        <v>2</v>
      </c>
      <c r="K815" s="1460"/>
      <c r="L815" s="1454">
        <v>13067031505</v>
      </c>
      <c r="M815" s="1455">
        <v>1</v>
      </c>
      <c r="N815" s="1455">
        <v>1</v>
      </c>
      <c r="O815" s="1455">
        <v>2</v>
      </c>
      <c r="AA815"/>
      <c r="AC815" s="68"/>
    </row>
    <row r="816" spans="3:30">
      <c r="C816" s="1461" t="s">
        <v>4598</v>
      </c>
      <c r="D816" s="1458">
        <v>0</v>
      </c>
      <c r="E816" s="1458">
        <v>1</v>
      </c>
      <c r="F816" s="1459">
        <v>1</v>
      </c>
      <c r="G816" s="1470" t="s">
        <v>4598</v>
      </c>
      <c r="H816" s="1456">
        <v>0</v>
      </c>
      <c r="I816" s="1456">
        <v>0</v>
      </c>
      <c r="J816" s="1471">
        <v>0</v>
      </c>
      <c r="K816" s="1460"/>
      <c r="L816" s="1454">
        <v>13067031506</v>
      </c>
      <c r="M816" s="1455">
        <v>0</v>
      </c>
      <c r="N816" s="1455">
        <v>1</v>
      </c>
      <c r="O816" s="1455">
        <v>1</v>
      </c>
      <c r="AA816"/>
      <c r="AC816" s="68"/>
    </row>
    <row r="817" spans="3:29">
      <c r="C817" s="1461" t="s">
        <v>4599</v>
      </c>
      <c r="D817" s="1458">
        <v>0</v>
      </c>
      <c r="E817" s="1458">
        <v>0</v>
      </c>
      <c r="F817" s="1459">
        <v>0</v>
      </c>
      <c r="G817" s="1470" t="s">
        <v>4599</v>
      </c>
      <c r="H817" s="1456">
        <v>0</v>
      </c>
      <c r="I817" s="1456">
        <v>1</v>
      </c>
      <c r="J817" s="1471">
        <v>1</v>
      </c>
      <c r="K817" s="1460"/>
      <c r="L817" s="1454">
        <v>13067031507</v>
      </c>
      <c r="M817" s="1455">
        <v>0</v>
      </c>
      <c r="N817" s="1455">
        <v>1</v>
      </c>
      <c r="O817" s="1455">
        <v>1</v>
      </c>
      <c r="AA817"/>
      <c r="AC817" s="68"/>
    </row>
    <row r="818" spans="3:29">
      <c r="C818" s="1461" t="s">
        <v>4600</v>
      </c>
      <c r="D818" s="1458">
        <v>1</v>
      </c>
      <c r="E818" s="1458">
        <v>1</v>
      </c>
      <c r="F818" s="1459">
        <v>2</v>
      </c>
      <c r="G818" s="1470" t="s">
        <v>4600</v>
      </c>
      <c r="H818" s="1456">
        <v>1</v>
      </c>
      <c r="I818" s="1456">
        <v>1</v>
      </c>
      <c r="J818" s="1471">
        <v>2</v>
      </c>
      <c r="K818" s="1460"/>
      <c r="L818" s="1454">
        <v>13067031508</v>
      </c>
      <c r="M818" s="1455">
        <v>1</v>
      </c>
      <c r="N818" s="1455">
        <v>1</v>
      </c>
      <c r="O818" s="1455">
        <v>2</v>
      </c>
      <c r="AA818"/>
      <c r="AC818" s="68"/>
    </row>
    <row r="819" spans="3:29">
      <c r="C819" s="1461" t="s">
        <v>4601</v>
      </c>
      <c r="D819" s="1458">
        <v>1</v>
      </c>
      <c r="E819" s="1458">
        <v>1</v>
      </c>
      <c r="F819" s="1459">
        <v>2</v>
      </c>
      <c r="G819" s="1470" t="s">
        <v>4601</v>
      </c>
      <c r="H819" s="1456">
        <v>1</v>
      </c>
      <c r="I819" s="1456">
        <v>1</v>
      </c>
      <c r="J819" s="1471">
        <v>2</v>
      </c>
      <c r="K819" s="1460"/>
      <c r="L819" s="1454">
        <v>13067031509</v>
      </c>
      <c r="M819" s="1455">
        <v>1</v>
      </c>
      <c r="N819" s="1455">
        <v>1</v>
      </c>
      <c r="O819" s="1455">
        <v>2</v>
      </c>
      <c r="AA819"/>
      <c r="AC819" s="68"/>
    </row>
    <row r="820" spans="3:29">
      <c r="C820" s="1461" t="s">
        <v>4602</v>
      </c>
      <c r="D820" s="1458">
        <v>0</v>
      </c>
      <c r="E820" s="1458">
        <v>0</v>
      </c>
      <c r="F820" s="1459">
        <v>0</v>
      </c>
      <c r="G820" s="1470" t="s">
        <v>4602</v>
      </c>
      <c r="H820" s="1456">
        <v>0</v>
      </c>
      <c r="I820" s="1456">
        <v>0</v>
      </c>
      <c r="J820" s="1471">
        <v>0</v>
      </c>
      <c r="K820" s="1460"/>
      <c r="L820" s="1454">
        <v>13069010100</v>
      </c>
      <c r="M820" s="1455">
        <v>0</v>
      </c>
      <c r="N820" s="1455">
        <v>0</v>
      </c>
      <c r="O820" s="1455">
        <v>0</v>
      </c>
      <c r="AA820"/>
      <c r="AC820" s="68"/>
    </row>
    <row r="821" spans="3:29">
      <c r="C821" s="1461" t="s">
        <v>4603</v>
      </c>
      <c r="D821" s="1458">
        <v>0</v>
      </c>
      <c r="E821" s="1458">
        <v>0</v>
      </c>
      <c r="F821" s="1459">
        <v>0</v>
      </c>
      <c r="G821" s="1470" t="s">
        <v>4603</v>
      </c>
      <c r="H821" s="1456">
        <v>0</v>
      </c>
      <c r="I821" s="1456" t="s">
        <v>3906</v>
      </c>
      <c r="J821" s="1471">
        <v>0</v>
      </c>
      <c r="K821" s="1460"/>
      <c r="L821" s="1454">
        <v>13069010200</v>
      </c>
      <c r="M821" s="1455">
        <v>0</v>
      </c>
      <c r="N821" s="1455">
        <v>0</v>
      </c>
      <c r="O821" s="1455">
        <v>0</v>
      </c>
      <c r="AA821"/>
      <c r="AC821" s="68"/>
    </row>
    <row r="822" spans="3:29">
      <c r="C822" s="1461" t="s">
        <v>4604</v>
      </c>
      <c r="D822" s="1458">
        <v>0</v>
      </c>
      <c r="E822" s="1458">
        <v>0</v>
      </c>
      <c r="F822" s="1459">
        <v>0</v>
      </c>
      <c r="G822" s="1470" t="s">
        <v>4604</v>
      </c>
      <c r="H822" s="1456">
        <v>0</v>
      </c>
      <c r="I822" s="1456">
        <v>0</v>
      </c>
      <c r="J822" s="1471">
        <v>0</v>
      </c>
      <c r="K822" s="1460"/>
      <c r="L822" s="1454">
        <v>13069010300</v>
      </c>
      <c r="M822" s="1455">
        <v>0</v>
      </c>
      <c r="N822" s="1455">
        <v>0</v>
      </c>
      <c r="O822" s="1455">
        <v>0</v>
      </c>
      <c r="AA822"/>
      <c r="AC822" s="68"/>
    </row>
    <row r="823" spans="3:29">
      <c r="C823" s="1461" t="s">
        <v>4605</v>
      </c>
      <c r="D823" s="1458">
        <v>0</v>
      </c>
      <c r="E823" s="1458">
        <v>0</v>
      </c>
      <c r="F823" s="1459">
        <v>0</v>
      </c>
      <c r="G823" s="1470" t="s">
        <v>4605</v>
      </c>
      <c r="H823" s="1456">
        <v>0</v>
      </c>
      <c r="I823" s="1456">
        <v>0</v>
      </c>
      <c r="J823" s="1471">
        <v>0</v>
      </c>
      <c r="K823" s="1460"/>
      <c r="L823" s="1454">
        <v>13069010400</v>
      </c>
      <c r="M823" s="1455">
        <v>0</v>
      </c>
      <c r="N823" s="1455">
        <v>0</v>
      </c>
      <c r="O823" s="1455">
        <v>0</v>
      </c>
      <c r="AA823"/>
      <c r="AC823" s="68"/>
    </row>
    <row r="824" spans="3:29">
      <c r="C824" s="1461" t="s">
        <v>4606</v>
      </c>
      <c r="D824" s="1458">
        <v>0</v>
      </c>
      <c r="E824" s="1458">
        <v>0</v>
      </c>
      <c r="F824" s="1459">
        <v>0</v>
      </c>
      <c r="G824" s="1470" t="s">
        <v>4606</v>
      </c>
      <c r="H824" s="1456">
        <v>0</v>
      </c>
      <c r="I824" s="1456">
        <v>0</v>
      </c>
      <c r="J824" s="1471">
        <v>0</v>
      </c>
      <c r="K824" s="1460"/>
      <c r="L824" s="1454">
        <v>13069010500</v>
      </c>
      <c r="M824" s="1455">
        <v>0</v>
      </c>
      <c r="N824" s="1455">
        <v>0</v>
      </c>
      <c r="O824" s="1455">
        <v>0</v>
      </c>
      <c r="AA824"/>
      <c r="AC824" s="68"/>
    </row>
    <row r="825" spans="3:29">
      <c r="C825" s="1461" t="s">
        <v>4607</v>
      </c>
      <c r="D825" s="1458">
        <v>1</v>
      </c>
      <c r="E825" s="1458">
        <v>1</v>
      </c>
      <c r="F825" s="1459">
        <v>2</v>
      </c>
      <c r="G825" s="1470" t="s">
        <v>4607</v>
      </c>
      <c r="H825" s="1456">
        <v>0</v>
      </c>
      <c r="I825" s="1456">
        <v>0</v>
      </c>
      <c r="J825" s="1471">
        <v>0</v>
      </c>
      <c r="K825" s="1460"/>
      <c r="L825" s="1454">
        <v>13069010600</v>
      </c>
      <c r="M825" s="1455">
        <v>1</v>
      </c>
      <c r="N825" s="1455">
        <v>1</v>
      </c>
      <c r="O825" s="1455">
        <v>2</v>
      </c>
      <c r="AA825"/>
      <c r="AC825" s="68"/>
    </row>
    <row r="826" spans="3:29">
      <c r="C826" s="1461" t="s">
        <v>4608</v>
      </c>
      <c r="D826" s="1458">
        <v>0</v>
      </c>
      <c r="E826" s="1458">
        <v>0</v>
      </c>
      <c r="F826" s="1459">
        <v>0</v>
      </c>
      <c r="G826" s="1470" t="s">
        <v>4608</v>
      </c>
      <c r="H826" s="1456">
        <v>0</v>
      </c>
      <c r="I826" s="1456">
        <v>0</v>
      </c>
      <c r="J826" s="1471">
        <v>0</v>
      </c>
      <c r="K826" s="1460"/>
      <c r="L826" s="1454">
        <v>13069010700</v>
      </c>
      <c r="M826" s="1455">
        <v>0</v>
      </c>
      <c r="N826" s="1455">
        <v>0</v>
      </c>
      <c r="O826" s="1455">
        <v>0</v>
      </c>
      <c r="AA826"/>
      <c r="AC826" s="68"/>
    </row>
    <row r="827" spans="3:29">
      <c r="C827" s="1461" t="s">
        <v>4609</v>
      </c>
      <c r="D827" s="1458">
        <v>0</v>
      </c>
      <c r="E827" s="1458">
        <v>0</v>
      </c>
      <c r="F827" s="1459">
        <v>0</v>
      </c>
      <c r="G827" s="1470" t="s">
        <v>4609</v>
      </c>
      <c r="H827" s="1456">
        <v>0</v>
      </c>
      <c r="I827" s="1456">
        <v>0</v>
      </c>
      <c r="J827" s="1471">
        <v>0</v>
      </c>
      <c r="K827" s="1460"/>
      <c r="L827" s="1454">
        <v>13069010801</v>
      </c>
      <c r="M827" s="1455">
        <v>0</v>
      </c>
      <c r="N827" s="1455">
        <v>0</v>
      </c>
      <c r="O827" s="1455">
        <v>0</v>
      </c>
      <c r="AA827"/>
      <c r="AC827" s="68"/>
    </row>
    <row r="828" spans="3:29">
      <c r="C828" s="1461" t="s">
        <v>4610</v>
      </c>
      <c r="D828" s="1458">
        <v>0</v>
      </c>
      <c r="E828" s="1458">
        <v>0</v>
      </c>
      <c r="F828" s="1459">
        <v>0</v>
      </c>
      <c r="G828" s="1470" t="s">
        <v>4610</v>
      </c>
      <c r="H828" s="1456">
        <v>0</v>
      </c>
      <c r="I828" s="1456">
        <v>0</v>
      </c>
      <c r="J828" s="1471">
        <v>0</v>
      </c>
      <c r="K828" s="1460"/>
      <c r="L828" s="1454">
        <v>13069010802</v>
      </c>
      <c r="M828" s="1455">
        <v>0</v>
      </c>
      <c r="N828" s="1455">
        <v>0</v>
      </c>
      <c r="O828" s="1455">
        <v>0</v>
      </c>
      <c r="AA828"/>
      <c r="AC828" s="68"/>
    </row>
    <row r="829" spans="3:29">
      <c r="C829" s="1461" t="s">
        <v>4611</v>
      </c>
      <c r="D829" s="1458">
        <v>0</v>
      </c>
      <c r="E829" s="1458">
        <v>0</v>
      </c>
      <c r="F829" s="1459">
        <v>0</v>
      </c>
      <c r="G829" s="1470" t="s">
        <v>4611</v>
      </c>
      <c r="H829" s="1456">
        <v>0</v>
      </c>
      <c r="I829" s="1456">
        <v>0</v>
      </c>
      <c r="J829" s="1471">
        <v>0</v>
      </c>
      <c r="K829" s="1460"/>
      <c r="L829" s="1454">
        <v>13071970100</v>
      </c>
      <c r="M829" s="1455">
        <v>0</v>
      </c>
      <c r="N829" s="1455">
        <v>0</v>
      </c>
      <c r="O829" s="1455">
        <v>0</v>
      </c>
      <c r="AA829"/>
      <c r="AC829" s="68"/>
    </row>
    <row r="830" spans="3:29">
      <c r="C830" s="1461" t="s">
        <v>4612</v>
      </c>
      <c r="D830" s="1458">
        <v>0</v>
      </c>
      <c r="E830" s="1458">
        <v>0</v>
      </c>
      <c r="F830" s="1459">
        <v>0</v>
      </c>
      <c r="G830" s="1470" t="s">
        <v>4612</v>
      </c>
      <c r="H830" s="1456">
        <v>0</v>
      </c>
      <c r="I830" s="1456">
        <v>0</v>
      </c>
      <c r="J830" s="1471">
        <v>0</v>
      </c>
      <c r="K830" s="1460"/>
      <c r="L830" s="1454">
        <v>13071970200</v>
      </c>
      <c r="M830" s="1455">
        <v>0</v>
      </c>
      <c r="N830" s="1455">
        <v>0</v>
      </c>
      <c r="O830" s="1455">
        <v>0</v>
      </c>
      <c r="AA830"/>
      <c r="AC830" s="68"/>
    </row>
    <row r="831" spans="3:29">
      <c r="C831" s="1461" t="s">
        <v>4613</v>
      </c>
      <c r="D831" s="1458">
        <v>0</v>
      </c>
      <c r="E831" s="1458">
        <v>0</v>
      </c>
      <c r="F831" s="1459">
        <v>0</v>
      </c>
      <c r="G831" s="1470" t="s">
        <v>4613</v>
      </c>
      <c r="H831" s="1456">
        <v>0</v>
      </c>
      <c r="I831" s="1456">
        <v>0</v>
      </c>
      <c r="J831" s="1471">
        <v>0</v>
      </c>
      <c r="K831" s="1460"/>
      <c r="L831" s="1454">
        <v>13071970300</v>
      </c>
      <c r="M831" s="1455">
        <v>0</v>
      </c>
      <c r="N831" s="1455">
        <v>0</v>
      </c>
      <c r="O831" s="1455">
        <v>0</v>
      </c>
      <c r="AA831"/>
      <c r="AC831" s="68"/>
    </row>
    <row r="832" spans="3:29">
      <c r="C832" s="1461" t="s">
        <v>4614</v>
      </c>
      <c r="D832" s="1458">
        <v>0</v>
      </c>
      <c r="E832" s="1458">
        <v>0</v>
      </c>
      <c r="F832" s="1459">
        <v>0</v>
      </c>
      <c r="G832" s="1470" t="s">
        <v>4614</v>
      </c>
      <c r="H832" s="1456">
        <v>0</v>
      </c>
      <c r="I832" s="1456">
        <v>0</v>
      </c>
      <c r="J832" s="1471">
        <v>0</v>
      </c>
      <c r="K832" s="1460"/>
      <c r="L832" s="1454">
        <v>13071970400</v>
      </c>
      <c r="M832" s="1455">
        <v>0</v>
      </c>
      <c r="N832" s="1455">
        <v>0</v>
      </c>
      <c r="O832" s="1455">
        <v>0</v>
      </c>
      <c r="AA832"/>
      <c r="AC832" s="68"/>
    </row>
    <row r="833" spans="3:29">
      <c r="C833" s="1461" t="s">
        <v>4615</v>
      </c>
      <c r="D833" s="1458">
        <v>0</v>
      </c>
      <c r="E833" s="1458">
        <v>0</v>
      </c>
      <c r="F833" s="1459">
        <v>0</v>
      </c>
      <c r="G833" s="1470" t="s">
        <v>4615</v>
      </c>
      <c r="H833" s="1456">
        <v>0</v>
      </c>
      <c r="I833" s="1456">
        <v>0</v>
      </c>
      <c r="J833" s="1471">
        <v>0</v>
      </c>
      <c r="K833" s="1460"/>
      <c r="L833" s="1454">
        <v>13071970500</v>
      </c>
      <c r="M833" s="1455">
        <v>0</v>
      </c>
      <c r="N833" s="1455">
        <v>0</v>
      </c>
      <c r="O833" s="1455">
        <v>0</v>
      </c>
      <c r="AA833"/>
      <c r="AC833" s="68"/>
    </row>
    <row r="834" spans="3:29">
      <c r="C834" s="1461" t="s">
        <v>4616</v>
      </c>
      <c r="D834" s="1458">
        <v>0</v>
      </c>
      <c r="E834" s="1458">
        <v>0</v>
      </c>
      <c r="F834" s="1459">
        <v>0</v>
      </c>
      <c r="G834" s="1470" t="s">
        <v>4616</v>
      </c>
      <c r="H834" s="1456">
        <v>0</v>
      </c>
      <c r="I834" s="1456">
        <v>0</v>
      </c>
      <c r="J834" s="1471">
        <v>0</v>
      </c>
      <c r="K834" s="1460"/>
      <c r="L834" s="1454">
        <v>13071970600</v>
      </c>
      <c r="M834" s="1455">
        <v>0</v>
      </c>
      <c r="N834" s="1455">
        <v>0</v>
      </c>
      <c r="O834" s="1455">
        <v>0</v>
      </c>
      <c r="AA834"/>
      <c r="AC834" s="68"/>
    </row>
    <row r="835" spans="3:29">
      <c r="C835" s="1461" t="s">
        <v>4617</v>
      </c>
      <c r="D835" s="1458">
        <v>0</v>
      </c>
      <c r="E835" s="1458">
        <v>0</v>
      </c>
      <c r="F835" s="1459">
        <v>0</v>
      </c>
      <c r="G835" s="1470" t="s">
        <v>4617</v>
      </c>
      <c r="H835" s="1456">
        <v>0</v>
      </c>
      <c r="I835" s="1456">
        <v>0</v>
      </c>
      <c r="J835" s="1471">
        <v>0</v>
      </c>
      <c r="K835" s="1460"/>
      <c r="L835" s="1454">
        <v>13071970701</v>
      </c>
      <c r="M835" s="1455">
        <v>0</v>
      </c>
      <c r="N835" s="1455">
        <v>0</v>
      </c>
      <c r="O835" s="1455">
        <v>0</v>
      </c>
      <c r="AA835"/>
      <c r="AC835" s="68"/>
    </row>
    <row r="836" spans="3:29">
      <c r="C836" s="1461" t="s">
        <v>4618</v>
      </c>
      <c r="D836" s="1458">
        <v>0</v>
      </c>
      <c r="E836" s="1458">
        <v>0</v>
      </c>
      <c r="F836" s="1459">
        <v>0</v>
      </c>
      <c r="G836" s="1470" t="s">
        <v>4618</v>
      </c>
      <c r="H836" s="1456">
        <v>0</v>
      </c>
      <c r="I836" s="1456">
        <v>0</v>
      </c>
      <c r="J836" s="1471">
        <v>0</v>
      </c>
      <c r="K836" s="1460"/>
      <c r="L836" s="1454">
        <v>13071970702</v>
      </c>
      <c r="M836" s="1455">
        <v>0</v>
      </c>
      <c r="N836" s="1455">
        <v>0</v>
      </c>
      <c r="O836" s="1455">
        <v>0</v>
      </c>
      <c r="AA836"/>
      <c r="AC836" s="68"/>
    </row>
    <row r="837" spans="3:29">
      <c r="C837" s="1461" t="s">
        <v>4619</v>
      </c>
      <c r="D837" s="1458">
        <v>0</v>
      </c>
      <c r="E837" s="1458">
        <v>0</v>
      </c>
      <c r="F837" s="1459">
        <v>0</v>
      </c>
      <c r="G837" s="1470" t="s">
        <v>4619</v>
      </c>
      <c r="H837" s="1456">
        <v>0</v>
      </c>
      <c r="I837" s="1456">
        <v>0</v>
      </c>
      <c r="J837" s="1471">
        <v>0</v>
      </c>
      <c r="K837" s="1460"/>
      <c r="L837" s="1454">
        <v>13071970800</v>
      </c>
      <c r="M837" s="1455">
        <v>0</v>
      </c>
      <c r="N837" s="1455">
        <v>0</v>
      </c>
      <c r="O837" s="1455">
        <v>0</v>
      </c>
      <c r="AA837"/>
      <c r="AC837" s="68"/>
    </row>
    <row r="838" spans="3:29">
      <c r="C838" s="1461" t="s">
        <v>4620</v>
      </c>
      <c r="D838" s="1458">
        <v>0</v>
      </c>
      <c r="E838" s="1458">
        <v>0</v>
      </c>
      <c r="F838" s="1459">
        <v>0</v>
      </c>
      <c r="G838" s="1470" t="s">
        <v>4620</v>
      </c>
      <c r="H838" s="1456">
        <v>0</v>
      </c>
      <c r="I838" s="1456">
        <v>0</v>
      </c>
      <c r="J838" s="1471">
        <v>0</v>
      </c>
      <c r="K838" s="1460"/>
      <c r="L838" s="1454">
        <v>13071970900</v>
      </c>
      <c r="M838" s="1455">
        <v>0</v>
      </c>
      <c r="N838" s="1455">
        <v>0</v>
      </c>
      <c r="O838" s="1455">
        <v>0</v>
      </c>
      <c r="AA838"/>
      <c r="AC838" s="68"/>
    </row>
    <row r="839" spans="3:29">
      <c r="C839" s="1461" t="s">
        <v>4621</v>
      </c>
      <c r="D839" s="1458">
        <v>1</v>
      </c>
      <c r="E839" s="1458">
        <v>1</v>
      </c>
      <c r="F839" s="1459">
        <v>2</v>
      </c>
      <c r="G839" s="1470" t="s">
        <v>4621</v>
      </c>
      <c r="H839" s="1456">
        <v>1</v>
      </c>
      <c r="I839" s="1456" t="s">
        <v>3906</v>
      </c>
      <c r="J839" s="1471">
        <v>1</v>
      </c>
      <c r="K839" s="1460"/>
      <c r="L839" s="1454">
        <v>13073030102</v>
      </c>
      <c r="M839" s="1455">
        <v>1</v>
      </c>
      <c r="N839" s="1455">
        <v>1</v>
      </c>
      <c r="O839" s="1455">
        <v>2</v>
      </c>
      <c r="AA839"/>
      <c r="AC839" s="68"/>
    </row>
    <row r="840" spans="3:29">
      <c r="C840" s="1461" t="s">
        <v>4622</v>
      </c>
      <c r="D840" s="1458">
        <v>1</v>
      </c>
      <c r="E840" s="1458">
        <v>1</v>
      </c>
      <c r="F840" s="1459">
        <v>2</v>
      </c>
      <c r="G840" s="1470" t="s">
        <v>4622</v>
      </c>
      <c r="H840" s="1456">
        <v>1</v>
      </c>
      <c r="I840" s="1456">
        <v>1</v>
      </c>
      <c r="J840" s="1471">
        <v>2</v>
      </c>
      <c r="K840" s="1460"/>
      <c r="L840" s="1454">
        <v>13073030103</v>
      </c>
      <c r="M840" s="1455">
        <v>1</v>
      </c>
      <c r="N840" s="1455">
        <v>1</v>
      </c>
      <c r="O840" s="1455">
        <v>2</v>
      </c>
      <c r="AA840"/>
      <c r="AC840" s="68"/>
    </row>
    <row r="841" spans="3:29">
      <c r="C841" s="1461" t="s">
        <v>4623</v>
      </c>
      <c r="D841" s="1458">
        <v>1</v>
      </c>
      <c r="E841" s="1458">
        <v>1</v>
      </c>
      <c r="F841" s="1459">
        <v>2</v>
      </c>
      <c r="G841" s="1470" t="s">
        <v>4623</v>
      </c>
      <c r="H841" s="1456">
        <v>1</v>
      </c>
      <c r="I841" s="1456">
        <v>1</v>
      </c>
      <c r="J841" s="1471">
        <v>2</v>
      </c>
      <c r="K841" s="1460"/>
      <c r="L841" s="1454">
        <v>13073030105</v>
      </c>
      <c r="M841" s="1455">
        <v>1</v>
      </c>
      <c r="N841" s="1455">
        <v>1</v>
      </c>
      <c r="O841" s="1455">
        <v>2</v>
      </c>
      <c r="AA841"/>
      <c r="AC841" s="68"/>
    </row>
    <row r="842" spans="3:29">
      <c r="C842" s="1461" t="s">
        <v>4624</v>
      </c>
      <c r="D842" s="1458">
        <v>1</v>
      </c>
      <c r="E842" s="1458">
        <v>1</v>
      </c>
      <c r="F842" s="1459">
        <v>2</v>
      </c>
      <c r="G842" s="1470" t="s">
        <v>4624</v>
      </c>
      <c r="H842" s="1456">
        <v>1</v>
      </c>
      <c r="I842" s="1456">
        <v>1</v>
      </c>
      <c r="J842" s="1471">
        <v>2</v>
      </c>
      <c r="K842" s="1460"/>
      <c r="L842" s="1454">
        <v>13073030106</v>
      </c>
      <c r="M842" s="1455">
        <v>1</v>
      </c>
      <c r="N842" s="1455">
        <v>1</v>
      </c>
      <c r="O842" s="1455">
        <v>2</v>
      </c>
      <c r="AA842"/>
      <c r="AC842" s="68"/>
    </row>
    <row r="843" spans="3:29">
      <c r="C843" s="1461" t="s">
        <v>4625</v>
      </c>
      <c r="D843" s="1458">
        <v>1</v>
      </c>
      <c r="E843" s="1458">
        <v>1</v>
      </c>
      <c r="F843" s="1459">
        <v>2</v>
      </c>
      <c r="G843" s="1470" t="s">
        <v>4625</v>
      </c>
      <c r="H843" s="1456">
        <v>0</v>
      </c>
      <c r="I843" s="1456">
        <v>1</v>
      </c>
      <c r="J843" s="1471">
        <v>1</v>
      </c>
      <c r="K843" s="1460"/>
      <c r="L843" s="1454">
        <v>13073030201</v>
      </c>
      <c r="M843" s="1455">
        <v>1</v>
      </c>
      <c r="N843" s="1455">
        <v>1</v>
      </c>
      <c r="O843" s="1455">
        <v>2</v>
      </c>
      <c r="AA843"/>
      <c r="AC843" s="68"/>
    </row>
    <row r="844" spans="3:29">
      <c r="C844" s="1461" t="s">
        <v>4626</v>
      </c>
      <c r="D844" s="1458">
        <v>0</v>
      </c>
      <c r="E844" s="1458">
        <v>1</v>
      </c>
      <c r="F844" s="1459">
        <v>1</v>
      </c>
      <c r="G844" s="1470" t="s">
        <v>4626</v>
      </c>
      <c r="H844" s="1456">
        <v>0</v>
      </c>
      <c r="I844" s="1456">
        <v>1</v>
      </c>
      <c r="J844" s="1471">
        <v>1</v>
      </c>
      <c r="K844" s="1460"/>
      <c r="L844" s="1454">
        <v>13073030202</v>
      </c>
      <c r="M844" s="1455">
        <v>0</v>
      </c>
      <c r="N844" s="1455">
        <v>1</v>
      </c>
      <c r="O844" s="1455">
        <v>1</v>
      </c>
      <c r="AA844"/>
      <c r="AC844" s="68"/>
    </row>
    <row r="845" spans="3:29">
      <c r="C845" s="1461" t="s">
        <v>4627</v>
      </c>
      <c r="D845" s="1458">
        <v>1</v>
      </c>
      <c r="E845" s="1458">
        <v>1</v>
      </c>
      <c r="F845" s="1459">
        <v>2</v>
      </c>
      <c r="G845" s="1470" t="s">
        <v>4627</v>
      </c>
      <c r="H845" s="1456">
        <v>1</v>
      </c>
      <c r="I845" s="1456">
        <v>1</v>
      </c>
      <c r="J845" s="1471">
        <v>2</v>
      </c>
      <c r="K845" s="1460"/>
      <c r="L845" s="1454">
        <v>13073030203</v>
      </c>
      <c r="M845" s="1455">
        <v>1</v>
      </c>
      <c r="N845" s="1455">
        <v>1</v>
      </c>
      <c r="O845" s="1455">
        <v>2</v>
      </c>
      <c r="AA845"/>
      <c r="AC845" s="68"/>
    </row>
    <row r="846" spans="3:29">
      <c r="C846" s="1461" t="s">
        <v>4628</v>
      </c>
      <c r="D846" s="1458">
        <v>1</v>
      </c>
      <c r="E846" s="1458">
        <v>1</v>
      </c>
      <c r="F846" s="1459">
        <v>2</v>
      </c>
      <c r="G846" s="1470" t="s">
        <v>4628</v>
      </c>
      <c r="H846" s="1456">
        <v>1</v>
      </c>
      <c r="I846" s="1456">
        <v>1</v>
      </c>
      <c r="J846" s="1471">
        <v>2</v>
      </c>
      <c r="K846" s="1460"/>
      <c r="L846" s="1454">
        <v>13073030302</v>
      </c>
      <c r="M846" s="1455">
        <v>1</v>
      </c>
      <c r="N846" s="1455">
        <v>1</v>
      </c>
      <c r="O846" s="1455">
        <v>2</v>
      </c>
      <c r="AA846"/>
      <c r="AC846" s="68"/>
    </row>
    <row r="847" spans="3:29">
      <c r="C847" s="1461" t="s">
        <v>4629</v>
      </c>
      <c r="D847" s="1458">
        <v>1</v>
      </c>
      <c r="E847" s="1458">
        <v>1</v>
      </c>
      <c r="F847" s="1459">
        <v>2</v>
      </c>
      <c r="G847" s="1470" t="s">
        <v>4629</v>
      </c>
      <c r="H847" s="1456">
        <v>1</v>
      </c>
      <c r="I847" s="1456">
        <v>1</v>
      </c>
      <c r="J847" s="1471">
        <v>2</v>
      </c>
      <c r="K847" s="1460"/>
      <c r="L847" s="1454">
        <v>13073030304</v>
      </c>
      <c r="M847" s="1455">
        <v>1</v>
      </c>
      <c r="N847" s="1455">
        <v>1</v>
      </c>
      <c r="O847" s="1455">
        <v>2</v>
      </c>
    </row>
    <row r="848" spans="3:29">
      <c r="C848" s="1461" t="s">
        <v>4630</v>
      </c>
      <c r="D848" s="1458">
        <v>1</v>
      </c>
      <c r="E848" s="1458">
        <v>1</v>
      </c>
      <c r="F848" s="1459">
        <v>2</v>
      </c>
      <c r="G848" s="1470" t="s">
        <v>4630</v>
      </c>
      <c r="H848" s="1456">
        <v>1</v>
      </c>
      <c r="I848" s="1456">
        <v>1</v>
      </c>
      <c r="J848" s="1471">
        <v>2</v>
      </c>
      <c r="K848" s="1460"/>
      <c r="L848" s="1454">
        <v>13073030306</v>
      </c>
      <c r="M848" s="1455">
        <v>1</v>
      </c>
      <c r="N848" s="1455">
        <v>1</v>
      </c>
      <c r="O848" s="1455">
        <v>2</v>
      </c>
    </row>
    <row r="849" spans="3:28">
      <c r="C849" s="1461" t="s">
        <v>4631</v>
      </c>
      <c r="D849" s="1458">
        <v>1</v>
      </c>
      <c r="E849" s="1458">
        <v>1</v>
      </c>
      <c r="F849" s="1459">
        <v>2</v>
      </c>
      <c r="G849" s="1470" t="s">
        <v>4631</v>
      </c>
      <c r="H849" s="1456">
        <v>1</v>
      </c>
      <c r="I849" s="1456">
        <v>1</v>
      </c>
      <c r="J849" s="1471">
        <v>2</v>
      </c>
      <c r="K849" s="1460"/>
      <c r="L849" s="1454">
        <v>13073030307</v>
      </c>
      <c r="M849" s="1455">
        <v>1</v>
      </c>
      <c r="N849" s="1455">
        <v>1</v>
      </c>
      <c r="O849" s="1455">
        <v>2</v>
      </c>
    </row>
    <row r="850" spans="3:28">
      <c r="C850" s="1461" t="s">
        <v>4632</v>
      </c>
      <c r="D850" s="1458">
        <v>1</v>
      </c>
      <c r="E850" s="1458">
        <v>1</v>
      </c>
      <c r="F850" s="1459">
        <v>2</v>
      </c>
      <c r="G850" s="1470" t="s">
        <v>4632</v>
      </c>
      <c r="H850" s="1456">
        <v>1</v>
      </c>
      <c r="I850" s="1456">
        <v>1</v>
      </c>
      <c r="J850" s="1471">
        <v>2</v>
      </c>
      <c r="K850" s="1460"/>
      <c r="L850" s="1454">
        <v>13073030308</v>
      </c>
      <c r="M850" s="1455">
        <v>1</v>
      </c>
      <c r="N850" s="1455">
        <v>1</v>
      </c>
      <c r="O850" s="1455">
        <v>2</v>
      </c>
    </row>
    <row r="851" spans="3:28">
      <c r="C851" s="1461" t="s">
        <v>4633</v>
      </c>
      <c r="D851" s="1458">
        <v>1</v>
      </c>
      <c r="E851" s="1458">
        <v>1</v>
      </c>
      <c r="F851" s="1459">
        <v>2</v>
      </c>
      <c r="G851" s="1470" t="s">
        <v>4633</v>
      </c>
      <c r="H851" s="1456">
        <v>1</v>
      </c>
      <c r="I851" s="1456">
        <v>1</v>
      </c>
      <c r="J851" s="1471">
        <v>2</v>
      </c>
      <c r="K851" s="1460"/>
      <c r="L851" s="1454">
        <v>13073030309</v>
      </c>
      <c r="M851" s="1455">
        <v>1</v>
      </c>
      <c r="N851" s="1455">
        <v>1</v>
      </c>
      <c r="O851" s="1455">
        <v>2</v>
      </c>
    </row>
    <row r="852" spans="3:28">
      <c r="C852" s="1461" t="s">
        <v>4634</v>
      </c>
      <c r="D852" s="1458">
        <v>0</v>
      </c>
      <c r="E852" s="1458">
        <v>0</v>
      </c>
      <c r="F852" s="1459">
        <v>0</v>
      </c>
      <c r="G852" s="1470" t="s">
        <v>4634</v>
      </c>
      <c r="H852" s="1456">
        <v>0</v>
      </c>
      <c r="I852" s="1456">
        <v>0</v>
      </c>
      <c r="J852" s="1471">
        <v>0</v>
      </c>
      <c r="K852" s="1460"/>
      <c r="L852" s="1454">
        <v>13073030401</v>
      </c>
      <c r="M852" s="1455">
        <v>0</v>
      </c>
      <c r="N852" s="1455">
        <v>0</v>
      </c>
      <c r="O852" s="1455">
        <v>0</v>
      </c>
      <c r="AA852"/>
      <c r="AB852"/>
    </row>
    <row r="853" spans="3:28">
      <c r="C853" s="1461" t="s">
        <v>4635</v>
      </c>
      <c r="D853" s="1458">
        <v>1</v>
      </c>
      <c r="E853" s="1458">
        <v>1</v>
      </c>
      <c r="F853" s="1459">
        <v>2</v>
      </c>
      <c r="G853" s="1470" t="s">
        <v>4635</v>
      </c>
      <c r="H853" s="1456">
        <v>1</v>
      </c>
      <c r="I853" s="1456">
        <v>1</v>
      </c>
      <c r="J853" s="1471">
        <v>2</v>
      </c>
      <c r="K853" s="1460"/>
      <c r="L853" s="1454">
        <v>13073030402</v>
      </c>
      <c r="M853" s="1455">
        <v>1</v>
      </c>
      <c r="N853" s="1455">
        <v>1</v>
      </c>
      <c r="O853" s="1455">
        <v>2</v>
      </c>
      <c r="AA853"/>
      <c r="AB853"/>
    </row>
    <row r="854" spans="3:28">
      <c r="C854" s="1461" t="s">
        <v>4636</v>
      </c>
      <c r="D854" s="1458">
        <v>1</v>
      </c>
      <c r="E854" s="1458">
        <v>1</v>
      </c>
      <c r="F854" s="1459">
        <v>2</v>
      </c>
      <c r="G854" s="1470" t="s">
        <v>4636</v>
      </c>
      <c r="H854" s="1456">
        <v>1</v>
      </c>
      <c r="I854" s="1456">
        <v>0</v>
      </c>
      <c r="J854" s="1471">
        <v>1</v>
      </c>
      <c r="K854" s="1460"/>
      <c r="L854" s="1454">
        <v>13073030503</v>
      </c>
      <c r="M854" s="1455">
        <v>1</v>
      </c>
      <c r="N854" s="1455">
        <v>1</v>
      </c>
      <c r="O854" s="1455">
        <v>2</v>
      </c>
      <c r="AA854"/>
      <c r="AB854"/>
    </row>
    <row r="855" spans="3:28">
      <c r="C855" s="1461" t="s">
        <v>4637</v>
      </c>
      <c r="D855" s="1458">
        <v>1</v>
      </c>
      <c r="E855" s="1458">
        <v>1</v>
      </c>
      <c r="F855" s="1459">
        <v>2</v>
      </c>
      <c r="G855" s="1470" t="s">
        <v>4637</v>
      </c>
      <c r="H855" s="1456">
        <v>0</v>
      </c>
      <c r="I855" s="1456">
        <v>1</v>
      </c>
      <c r="J855" s="1471">
        <v>1</v>
      </c>
      <c r="K855" s="1460"/>
      <c r="L855" s="1454">
        <v>13073030504</v>
      </c>
      <c r="M855" s="1455">
        <v>1</v>
      </c>
      <c r="N855" s="1455">
        <v>1</v>
      </c>
      <c r="O855" s="1455">
        <v>2</v>
      </c>
      <c r="AA855"/>
      <c r="AB855"/>
    </row>
    <row r="856" spans="3:28">
      <c r="C856" s="1461" t="s">
        <v>4638</v>
      </c>
      <c r="D856" s="1458">
        <v>1</v>
      </c>
      <c r="E856" s="1458">
        <v>1</v>
      </c>
      <c r="F856" s="1459">
        <v>2</v>
      </c>
      <c r="G856" s="1470" t="s">
        <v>4638</v>
      </c>
      <c r="H856" s="1456">
        <v>0</v>
      </c>
      <c r="I856" s="1456" t="s">
        <v>3906</v>
      </c>
      <c r="J856" s="1471">
        <v>0</v>
      </c>
      <c r="K856" s="1460"/>
      <c r="L856" s="1454">
        <v>13073030505</v>
      </c>
      <c r="M856" s="1455">
        <v>1</v>
      </c>
      <c r="N856" s="1455">
        <v>1</v>
      </c>
      <c r="O856" s="1455">
        <v>2</v>
      </c>
      <c r="AA856"/>
      <c r="AB856"/>
    </row>
    <row r="857" spans="3:28">
      <c r="C857" s="1461" t="s">
        <v>4639</v>
      </c>
      <c r="D857" s="1458">
        <v>0</v>
      </c>
      <c r="E857" s="1458">
        <v>1</v>
      </c>
      <c r="F857" s="1459">
        <v>1</v>
      </c>
      <c r="G857" s="1470" t="s">
        <v>4639</v>
      </c>
      <c r="H857" s="1456">
        <v>0</v>
      </c>
      <c r="I857" s="1456">
        <v>0</v>
      </c>
      <c r="J857" s="1471">
        <v>0</v>
      </c>
      <c r="K857" s="1460"/>
      <c r="L857" s="1454">
        <v>13073030506</v>
      </c>
      <c r="M857" s="1455">
        <v>0</v>
      </c>
      <c r="N857" s="1455">
        <v>1</v>
      </c>
      <c r="O857" s="1455">
        <v>1</v>
      </c>
      <c r="AA857"/>
      <c r="AB857"/>
    </row>
    <row r="858" spans="3:28">
      <c r="C858" s="1461" t="s">
        <v>4640</v>
      </c>
      <c r="D858" s="1458">
        <v>0</v>
      </c>
      <c r="E858" s="1458">
        <v>0</v>
      </c>
      <c r="F858" s="1459">
        <v>0</v>
      </c>
      <c r="G858" s="1470" t="s">
        <v>4640</v>
      </c>
      <c r="H858" s="1456">
        <v>0</v>
      </c>
      <c r="I858" s="1456">
        <v>0</v>
      </c>
      <c r="J858" s="1471">
        <v>0</v>
      </c>
      <c r="K858" s="1460"/>
      <c r="L858" s="1454">
        <v>13073030603</v>
      </c>
      <c r="M858" s="1455">
        <v>0</v>
      </c>
      <c r="N858" s="1455">
        <v>0</v>
      </c>
      <c r="O858" s="1455">
        <v>0</v>
      </c>
      <c r="AA858"/>
      <c r="AB858"/>
    </row>
    <row r="859" spans="3:28">
      <c r="C859" s="1461" t="s">
        <v>4641</v>
      </c>
      <c r="D859" s="1458">
        <v>0</v>
      </c>
      <c r="E859" s="1458">
        <v>0</v>
      </c>
      <c r="F859" s="1459">
        <v>0</v>
      </c>
      <c r="G859" s="1470" t="s">
        <v>4641</v>
      </c>
      <c r="H859" s="1456">
        <v>0</v>
      </c>
      <c r="I859" s="1456">
        <v>0</v>
      </c>
      <c r="J859" s="1471">
        <v>0</v>
      </c>
      <c r="K859" s="1460"/>
      <c r="L859" s="1454">
        <v>13075960100</v>
      </c>
      <c r="M859" s="1455">
        <v>0</v>
      </c>
      <c r="N859" s="1455">
        <v>0</v>
      </c>
      <c r="O859" s="1455">
        <v>0</v>
      </c>
      <c r="AA859"/>
      <c r="AB859"/>
    </row>
    <row r="860" spans="3:28">
      <c r="C860" s="1461" t="s">
        <v>4642</v>
      </c>
      <c r="D860" s="1458">
        <v>0</v>
      </c>
      <c r="E860" s="1458">
        <v>0</v>
      </c>
      <c r="F860" s="1459">
        <v>0</v>
      </c>
      <c r="G860" s="1470" t="s">
        <v>4642</v>
      </c>
      <c r="H860" s="1456">
        <v>0</v>
      </c>
      <c r="I860" s="1456">
        <v>0</v>
      </c>
      <c r="J860" s="1471">
        <v>0</v>
      </c>
      <c r="K860" s="1460"/>
      <c r="L860" s="1454">
        <v>13075960200</v>
      </c>
      <c r="M860" s="1455">
        <v>0</v>
      </c>
      <c r="N860" s="1455">
        <v>0</v>
      </c>
      <c r="O860" s="1455">
        <v>0</v>
      </c>
      <c r="AA860"/>
      <c r="AB860"/>
    </row>
    <row r="861" spans="3:28">
      <c r="C861" s="1461" t="s">
        <v>4643</v>
      </c>
      <c r="D861" s="1458">
        <v>0</v>
      </c>
      <c r="E861" s="1458">
        <v>0</v>
      </c>
      <c r="F861" s="1459">
        <v>0</v>
      </c>
      <c r="G861" s="1470" t="s">
        <v>4643</v>
      </c>
      <c r="H861" s="1456">
        <v>0</v>
      </c>
      <c r="I861" s="1456">
        <v>0</v>
      </c>
      <c r="J861" s="1471">
        <v>0</v>
      </c>
      <c r="K861" s="1460"/>
      <c r="L861" s="1454">
        <v>13075960300</v>
      </c>
      <c r="M861" s="1455">
        <v>0</v>
      </c>
      <c r="N861" s="1455">
        <v>0</v>
      </c>
      <c r="O861" s="1455">
        <v>0</v>
      </c>
      <c r="AA861"/>
      <c r="AB861"/>
    </row>
    <row r="862" spans="3:28">
      <c r="C862" s="1461" t="s">
        <v>4644</v>
      </c>
      <c r="D862" s="1458">
        <v>0</v>
      </c>
      <c r="E862" s="1458">
        <v>0</v>
      </c>
      <c r="F862" s="1459">
        <v>0</v>
      </c>
      <c r="G862" s="1470" t="s">
        <v>4644</v>
      </c>
      <c r="H862" s="1456">
        <v>0</v>
      </c>
      <c r="I862" s="1456">
        <v>0</v>
      </c>
      <c r="J862" s="1471">
        <v>0</v>
      </c>
      <c r="K862" s="1460"/>
      <c r="L862" s="1454">
        <v>13075960400</v>
      </c>
      <c r="M862" s="1455">
        <v>0</v>
      </c>
      <c r="N862" s="1455">
        <v>0</v>
      </c>
      <c r="O862" s="1455">
        <v>0</v>
      </c>
      <c r="AA862"/>
      <c r="AB862"/>
    </row>
    <row r="863" spans="3:28">
      <c r="C863" s="1461" t="s">
        <v>4645</v>
      </c>
      <c r="D863" s="1458">
        <v>1</v>
      </c>
      <c r="E863" s="1458">
        <v>1</v>
      </c>
      <c r="F863" s="1459">
        <v>2</v>
      </c>
      <c r="G863" s="1470" t="s">
        <v>4645</v>
      </c>
      <c r="H863" s="1456">
        <v>1</v>
      </c>
      <c r="I863" s="1456">
        <v>0</v>
      </c>
      <c r="J863" s="1471">
        <v>1</v>
      </c>
      <c r="K863" s="1460"/>
      <c r="L863" s="1454">
        <v>13077170100</v>
      </c>
      <c r="M863" s="1455">
        <v>1</v>
      </c>
      <c r="N863" s="1455">
        <v>1</v>
      </c>
      <c r="O863" s="1455">
        <v>2</v>
      </c>
      <c r="AA863"/>
      <c r="AB863"/>
    </row>
    <row r="864" spans="3:28">
      <c r="C864" s="1461" t="s">
        <v>4646</v>
      </c>
      <c r="D864" s="1458">
        <v>1</v>
      </c>
      <c r="E864" s="1458">
        <v>0</v>
      </c>
      <c r="F864" s="1459">
        <v>1</v>
      </c>
      <c r="G864" s="1470" t="s">
        <v>4646</v>
      </c>
      <c r="H864" s="1456">
        <v>1</v>
      </c>
      <c r="I864" s="1456">
        <v>0</v>
      </c>
      <c r="J864" s="1471">
        <v>1</v>
      </c>
      <c r="K864" s="1460"/>
      <c r="L864" s="1454">
        <v>13077170200</v>
      </c>
      <c r="M864" s="1455">
        <v>1</v>
      </c>
      <c r="N864" s="1455">
        <v>0</v>
      </c>
      <c r="O864" s="1455">
        <v>1</v>
      </c>
      <c r="AA864"/>
      <c r="AB864"/>
    </row>
    <row r="865" spans="3:28">
      <c r="C865" s="1461" t="s">
        <v>4647</v>
      </c>
      <c r="D865" s="1458">
        <v>1</v>
      </c>
      <c r="E865" s="1458">
        <v>1</v>
      </c>
      <c r="F865" s="1459">
        <v>2</v>
      </c>
      <c r="G865" s="1470" t="s">
        <v>4647</v>
      </c>
      <c r="H865" s="1456">
        <v>1</v>
      </c>
      <c r="I865" s="1456">
        <v>1</v>
      </c>
      <c r="J865" s="1471">
        <v>2</v>
      </c>
      <c r="K865" s="1460"/>
      <c r="L865" s="1454">
        <v>13077170303</v>
      </c>
      <c r="M865" s="1455">
        <v>1</v>
      </c>
      <c r="N865" s="1455">
        <v>1</v>
      </c>
      <c r="O865" s="1455">
        <v>2</v>
      </c>
      <c r="AA865"/>
      <c r="AB865"/>
    </row>
    <row r="866" spans="3:28">
      <c r="C866" s="1461" t="s">
        <v>4648</v>
      </c>
      <c r="D866" s="1458">
        <v>1</v>
      </c>
      <c r="E866" s="1458">
        <v>1</v>
      </c>
      <c r="F866" s="1459">
        <v>2</v>
      </c>
      <c r="G866" s="1470" t="s">
        <v>4648</v>
      </c>
      <c r="H866" s="1456">
        <v>1</v>
      </c>
      <c r="I866" s="1456">
        <v>1</v>
      </c>
      <c r="J866" s="1471">
        <v>2</v>
      </c>
      <c r="K866" s="1460"/>
      <c r="L866" s="1454">
        <v>13077170304</v>
      </c>
      <c r="M866" s="1455">
        <v>1</v>
      </c>
      <c r="N866" s="1455">
        <v>1</v>
      </c>
      <c r="O866" s="1455">
        <v>2</v>
      </c>
      <c r="AA866"/>
      <c r="AB866"/>
    </row>
    <row r="867" spans="3:28">
      <c r="C867" s="1461" t="s">
        <v>4649</v>
      </c>
      <c r="D867" s="1458">
        <v>0</v>
      </c>
      <c r="E867" s="1458">
        <v>0</v>
      </c>
      <c r="F867" s="1459">
        <v>0</v>
      </c>
      <c r="G867" s="1470" t="s">
        <v>4649</v>
      </c>
      <c r="H867" s="1456">
        <v>0</v>
      </c>
      <c r="I867" s="1456">
        <v>0</v>
      </c>
      <c r="J867" s="1471">
        <v>0</v>
      </c>
      <c r="K867" s="1460"/>
      <c r="L867" s="1454">
        <v>13077170305</v>
      </c>
      <c r="M867" s="1455">
        <v>0</v>
      </c>
      <c r="N867" s="1455">
        <v>0</v>
      </c>
      <c r="O867" s="1455">
        <v>0</v>
      </c>
      <c r="AA867"/>
      <c r="AB867"/>
    </row>
    <row r="868" spans="3:28">
      <c r="C868" s="1461" t="s">
        <v>4650</v>
      </c>
      <c r="D868" s="1458">
        <v>1</v>
      </c>
      <c r="E868" s="1458">
        <v>1</v>
      </c>
      <c r="F868" s="1459">
        <v>2</v>
      </c>
      <c r="G868" s="1470" t="s">
        <v>4650</v>
      </c>
      <c r="H868" s="1456">
        <v>1</v>
      </c>
      <c r="I868" s="1456">
        <v>1</v>
      </c>
      <c r="J868" s="1471">
        <v>2</v>
      </c>
      <c r="K868" s="1460"/>
      <c r="L868" s="1454">
        <v>13077170306</v>
      </c>
      <c r="M868" s="1455">
        <v>1</v>
      </c>
      <c r="N868" s="1455">
        <v>1</v>
      </c>
      <c r="O868" s="1455">
        <v>2</v>
      </c>
      <c r="AA868"/>
      <c r="AB868"/>
    </row>
    <row r="869" spans="3:28">
      <c r="C869" s="1461" t="s">
        <v>4651</v>
      </c>
      <c r="D869" s="1458">
        <v>1</v>
      </c>
      <c r="E869" s="1458">
        <v>1</v>
      </c>
      <c r="F869" s="1459">
        <v>2</v>
      </c>
      <c r="G869" s="1470" t="s">
        <v>4651</v>
      </c>
      <c r="H869" s="1456">
        <v>1</v>
      </c>
      <c r="I869" s="1456">
        <v>1</v>
      </c>
      <c r="J869" s="1471">
        <v>2</v>
      </c>
      <c r="K869" s="1460"/>
      <c r="L869" s="1454">
        <v>13077170402</v>
      </c>
      <c r="M869" s="1455">
        <v>1</v>
      </c>
      <c r="N869" s="1455">
        <v>1</v>
      </c>
      <c r="O869" s="1455">
        <v>2</v>
      </c>
      <c r="AA869"/>
      <c r="AB869"/>
    </row>
    <row r="870" spans="3:28">
      <c r="C870" s="1461" t="s">
        <v>4652</v>
      </c>
      <c r="D870" s="1458">
        <v>1</v>
      </c>
      <c r="E870" s="1458">
        <v>1</v>
      </c>
      <c r="F870" s="1459">
        <v>2</v>
      </c>
      <c r="G870" s="1470" t="s">
        <v>4652</v>
      </c>
      <c r="H870" s="1456">
        <v>1</v>
      </c>
      <c r="I870" s="1456">
        <v>1</v>
      </c>
      <c r="J870" s="1471">
        <v>2</v>
      </c>
      <c r="K870" s="1460"/>
      <c r="L870" s="1454">
        <v>13077170403</v>
      </c>
      <c r="M870" s="1455">
        <v>1</v>
      </c>
      <c r="N870" s="1455">
        <v>1</v>
      </c>
      <c r="O870" s="1455">
        <v>2</v>
      </c>
      <c r="AA870"/>
      <c r="AB870"/>
    </row>
    <row r="871" spans="3:28">
      <c r="C871" s="1461" t="s">
        <v>4653</v>
      </c>
      <c r="D871" s="1458">
        <v>1</v>
      </c>
      <c r="E871" s="1458">
        <v>1</v>
      </c>
      <c r="F871" s="1459">
        <v>2</v>
      </c>
      <c r="G871" s="1470" t="s">
        <v>4653</v>
      </c>
      <c r="H871" s="1456">
        <v>1</v>
      </c>
      <c r="I871" s="1456">
        <v>1</v>
      </c>
      <c r="J871" s="1471">
        <v>2</v>
      </c>
      <c r="K871" s="1460"/>
      <c r="L871" s="1454">
        <v>13077170404</v>
      </c>
      <c r="M871" s="1455">
        <v>1</v>
      </c>
      <c r="N871" s="1455">
        <v>1</v>
      </c>
      <c r="O871" s="1455">
        <v>2</v>
      </c>
      <c r="AA871"/>
      <c r="AB871"/>
    </row>
    <row r="872" spans="3:28">
      <c r="C872" s="1461" t="s">
        <v>4654</v>
      </c>
      <c r="D872" s="1458">
        <v>1</v>
      </c>
      <c r="E872" s="1458">
        <v>1</v>
      </c>
      <c r="F872" s="1459">
        <v>2</v>
      </c>
      <c r="G872" s="1470" t="s">
        <v>4654</v>
      </c>
      <c r="H872" s="1456">
        <v>1</v>
      </c>
      <c r="I872" s="1456">
        <v>1</v>
      </c>
      <c r="J872" s="1471">
        <v>2</v>
      </c>
      <c r="K872" s="1460"/>
      <c r="L872" s="1454">
        <v>13077170405</v>
      </c>
      <c r="M872" s="1455">
        <v>1</v>
      </c>
      <c r="N872" s="1455">
        <v>1</v>
      </c>
      <c r="O872" s="1455">
        <v>2</v>
      </c>
      <c r="AA872"/>
      <c r="AB872"/>
    </row>
    <row r="873" spans="3:28">
      <c r="C873" s="1461" t="s">
        <v>4655</v>
      </c>
      <c r="D873" s="1458">
        <v>1</v>
      </c>
      <c r="E873" s="1458">
        <v>1</v>
      </c>
      <c r="F873" s="1459">
        <v>2</v>
      </c>
      <c r="G873" s="1470" t="s">
        <v>4655</v>
      </c>
      <c r="H873" s="1456">
        <v>1</v>
      </c>
      <c r="I873" s="1456">
        <v>1</v>
      </c>
      <c r="J873" s="1471">
        <v>2</v>
      </c>
      <c r="K873" s="1460"/>
      <c r="L873" s="1454">
        <v>13077170406</v>
      </c>
      <c r="M873" s="1455">
        <v>1</v>
      </c>
      <c r="N873" s="1455">
        <v>1</v>
      </c>
      <c r="O873" s="1455">
        <v>2</v>
      </c>
      <c r="AA873"/>
      <c r="AB873"/>
    </row>
    <row r="874" spans="3:28">
      <c r="C874" s="1461" t="s">
        <v>4656</v>
      </c>
      <c r="D874" s="1458">
        <v>1</v>
      </c>
      <c r="E874" s="1458">
        <v>1</v>
      </c>
      <c r="F874" s="1459">
        <v>2</v>
      </c>
      <c r="G874" s="1470" t="s">
        <v>4656</v>
      </c>
      <c r="H874" s="1456">
        <v>1</v>
      </c>
      <c r="I874" s="1456">
        <v>1</v>
      </c>
      <c r="J874" s="1471">
        <v>2</v>
      </c>
      <c r="K874" s="1460"/>
      <c r="L874" s="1454">
        <v>13077170501</v>
      </c>
      <c r="M874" s="1455">
        <v>1</v>
      </c>
      <c r="N874" s="1455">
        <v>1</v>
      </c>
      <c r="O874" s="1455">
        <v>2</v>
      </c>
      <c r="AA874"/>
      <c r="AB874"/>
    </row>
    <row r="875" spans="3:28">
      <c r="C875" s="1461" t="s">
        <v>4657</v>
      </c>
      <c r="D875" s="1458">
        <v>1</v>
      </c>
      <c r="E875" s="1458">
        <v>1</v>
      </c>
      <c r="F875" s="1459">
        <v>2</v>
      </c>
      <c r="G875" s="1470" t="s">
        <v>4657</v>
      </c>
      <c r="H875" s="1456">
        <v>1</v>
      </c>
      <c r="I875" s="1456">
        <v>1</v>
      </c>
      <c r="J875" s="1471">
        <v>2</v>
      </c>
      <c r="K875" s="1460"/>
      <c r="L875" s="1454">
        <v>13077170502</v>
      </c>
      <c r="M875" s="1455">
        <v>1</v>
      </c>
      <c r="N875" s="1455">
        <v>1</v>
      </c>
      <c r="O875" s="1455">
        <v>2</v>
      </c>
      <c r="AA875"/>
      <c r="AB875"/>
    </row>
    <row r="876" spans="3:28">
      <c r="C876" s="1461" t="s">
        <v>4658</v>
      </c>
      <c r="D876" s="1458">
        <v>1</v>
      </c>
      <c r="E876" s="1458">
        <v>1</v>
      </c>
      <c r="F876" s="1459">
        <v>2</v>
      </c>
      <c r="G876" s="1470" t="s">
        <v>4658</v>
      </c>
      <c r="H876" s="1456">
        <v>1</v>
      </c>
      <c r="I876" s="1456">
        <v>1</v>
      </c>
      <c r="J876" s="1471">
        <v>2</v>
      </c>
      <c r="K876" s="1460"/>
      <c r="L876" s="1454">
        <v>13077170503</v>
      </c>
      <c r="M876" s="1455">
        <v>1</v>
      </c>
      <c r="N876" s="1455">
        <v>1</v>
      </c>
      <c r="O876" s="1455">
        <v>2</v>
      </c>
      <c r="AA876"/>
      <c r="AB876"/>
    </row>
    <row r="877" spans="3:28">
      <c r="C877" s="1461" t="s">
        <v>4659</v>
      </c>
      <c r="D877" s="1458">
        <v>0</v>
      </c>
      <c r="E877" s="1458">
        <v>0</v>
      </c>
      <c r="F877" s="1459">
        <v>0</v>
      </c>
      <c r="G877" s="1470" t="s">
        <v>4659</v>
      </c>
      <c r="H877" s="1456">
        <v>0</v>
      </c>
      <c r="I877" s="1456">
        <v>0</v>
      </c>
      <c r="J877" s="1471">
        <v>0</v>
      </c>
      <c r="K877" s="1460"/>
      <c r="L877" s="1454">
        <v>13077170601</v>
      </c>
      <c r="M877" s="1455">
        <v>0</v>
      </c>
      <c r="N877" s="1455">
        <v>0</v>
      </c>
      <c r="O877" s="1455">
        <v>0</v>
      </c>
      <c r="AA877"/>
      <c r="AB877"/>
    </row>
    <row r="878" spans="3:28">
      <c r="C878" s="1461" t="s">
        <v>4660</v>
      </c>
      <c r="D878" s="1458">
        <v>1</v>
      </c>
      <c r="E878" s="1458">
        <v>1</v>
      </c>
      <c r="F878" s="1459">
        <v>2</v>
      </c>
      <c r="G878" s="1470" t="s">
        <v>4660</v>
      </c>
      <c r="H878" s="1456">
        <v>1</v>
      </c>
      <c r="I878" s="1456" t="s">
        <v>3906</v>
      </c>
      <c r="J878" s="1471">
        <v>1</v>
      </c>
      <c r="K878" s="1460"/>
      <c r="L878" s="1454">
        <v>13077170602</v>
      </c>
      <c r="M878" s="1455">
        <v>1</v>
      </c>
      <c r="N878" s="1455">
        <v>1</v>
      </c>
      <c r="O878" s="1455">
        <v>2</v>
      </c>
      <c r="AA878"/>
      <c r="AB878"/>
    </row>
    <row r="879" spans="3:28">
      <c r="C879" s="1461" t="s">
        <v>4661</v>
      </c>
      <c r="D879" s="1458">
        <v>1</v>
      </c>
      <c r="E879" s="1458">
        <v>1</v>
      </c>
      <c r="F879" s="1459">
        <v>2</v>
      </c>
      <c r="G879" s="1470" t="s">
        <v>4661</v>
      </c>
      <c r="H879" s="1456">
        <v>1</v>
      </c>
      <c r="I879" s="1456">
        <v>1</v>
      </c>
      <c r="J879" s="1471">
        <v>2</v>
      </c>
      <c r="K879" s="1460"/>
      <c r="L879" s="1454">
        <v>13077170603</v>
      </c>
      <c r="M879" s="1455">
        <v>1</v>
      </c>
      <c r="N879" s="1455">
        <v>1</v>
      </c>
      <c r="O879" s="1455">
        <v>2</v>
      </c>
      <c r="AA879"/>
      <c r="AB879"/>
    </row>
    <row r="880" spans="3:28">
      <c r="C880" s="1461" t="s">
        <v>4662</v>
      </c>
      <c r="D880" s="1458">
        <v>0</v>
      </c>
      <c r="E880" s="1458">
        <v>0</v>
      </c>
      <c r="F880" s="1459">
        <v>0</v>
      </c>
      <c r="G880" s="1470" t="s">
        <v>4662</v>
      </c>
      <c r="H880" s="1456">
        <v>0</v>
      </c>
      <c r="I880" s="1456">
        <v>0</v>
      </c>
      <c r="J880" s="1471">
        <v>0</v>
      </c>
      <c r="K880" s="1460"/>
      <c r="L880" s="1454">
        <v>13077170700</v>
      </c>
      <c r="M880" s="1455">
        <v>0</v>
      </c>
      <c r="N880" s="1455">
        <v>0</v>
      </c>
      <c r="O880" s="1455">
        <v>0</v>
      </c>
      <c r="AA880"/>
      <c r="AB880"/>
    </row>
    <row r="881" spans="3:28">
      <c r="C881" s="1461" t="s">
        <v>4663</v>
      </c>
      <c r="D881" s="1458">
        <v>0</v>
      </c>
      <c r="E881" s="1458">
        <v>1</v>
      </c>
      <c r="F881" s="1459">
        <v>1</v>
      </c>
      <c r="G881" s="1470" t="s">
        <v>4663</v>
      </c>
      <c r="H881" s="1456">
        <v>0</v>
      </c>
      <c r="I881" s="1456">
        <v>0</v>
      </c>
      <c r="J881" s="1471">
        <v>0</v>
      </c>
      <c r="K881" s="1460"/>
      <c r="L881" s="1454">
        <v>13077170801</v>
      </c>
      <c r="M881" s="1455">
        <v>0</v>
      </c>
      <c r="N881" s="1455">
        <v>1</v>
      </c>
      <c r="O881" s="1455">
        <v>1</v>
      </c>
      <c r="AA881"/>
      <c r="AB881"/>
    </row>
    <row r="882" spans="3:28">
      <c r="C882" s="1461" t="s">
        <v>4664</v>
      </c>
      <c r="D882" s="1458">
        <v>1</v>
      </c>
      <c r="E882" s="1458">
        <v>1</v>
      </c>
      <c r="F882" s="1459">
        <v>2</v>
      </c>
      <c r="G882" s="1470" t="s">
        <v>4664</v>
      </c>
      <c r="H882" s="1456">
        <v>1</v>
      </c>
      <c r="I882" s="1456">
        <v>1</v>
      </c>
      <c r="J882" s="1471">
        <v>2</v>
      </c>
      <c r="K882" s="1460"/>
      <c r="L882" s="1454">
        <v>13077170802</v>
      </c>
      <c r="M882" s="1455">
        <v>1</v>
      </c>
      <c r="N882" s="1455">
        <v>1</v>
      </c>
      <c r="O882" s="1455">
        <v>2</v>
      </c>
      <c r="AA882"/>
      <c r="AB882"/>
    </row>
    <row r="883" spans="3:28">
      <c r="C883" s="1461" t="s">
        <v>4665</v>
      </c>
      <c r="D883" s="1458">
        <v>0</v>
      </c>
      <c r="E883" s="1458">
        <v>0</v>
      </c>
      <c r="F883" s="1459">
        <v>0</v>
      </c>
      <c r="G883" s="1470" t="s">
        <v>4665</v>
      </c>
      <c r="H883" s="1456">
        <v>0</v>
      </c>
      <c r="I883" s="1456">
        <v>0</v>
      </c>
      <c r="J883" s="1471">
        <v>0</v>
      </c>
      <c r="K883" s="1460"/>
      <c r="L883" s="1454">
        <v>13079070100</v>
      </c>
      <c r="M883" s="1455">
        <v>0</v>
      </c>
      <c r="N883" s="1455">
        <v>0</v>
      </c>
      <c r="O883" s="1455">
        <v>0</v>
      </c>
      <c r="AA883"/>
      <c r="AB883"/>
    </row>
    <row r="884" spans="3:28">
      <c r="C884" s="1461" t="s">
        <v>4666</v>
      </c>
      <c r="D884" s="1458">
        <v>0</v>
      </c>
      <c r="E884" s="1458">
        <v>1</v>
      </c>
      <c r="F884" s="1459">
        <v>1</v>
      </c>
      <c r="G884" s="1470" t="s">
        <v>4666</v>
      </c>
      <c r="H884" s="1456">
        <v>0</v>
      </c>
      <c r="I884" s="1456">
        <v>1</v>
      </c>
      <c r="J884" s="1471">
        <v>1</v>
      </c>
      <c r="K884" s="1460"/>
      <c r="L884" s="1454">
        <v>13079070201</v>
      </c>
      <c r="M884" s="1455">
        <v>0</v>
      </c>
      <c r="N884" s="1455">
        <v>1</v>
      </c>
      <c r="O884" s="1455">
        <v>1</v>
      </c>
      <c r="AA884"/>
      <c r="AB884"/>
    </row>
    <row r="885" spans="3:28">
      <c r="C885" s="1461" t="s">
        <v>4667</v>
      </c>
      <c r="D885" s="1458">
        <v>0</v>
      </c>
      <c r="E885" s="1458">
        <v>1</v>
      </c>
      <c r="F885" s="1459">
        <v>1</v>
      </c>
      <c r="G885" s="1470" t="s">
        <v>4667</v>
      </c>
      <c r="H885" s="1456">
        <v>0</v>
      </c>
      <c r="I885" s="1456">
        <v>0</v>
      </c>
      <c r="J885" s="1471">
        <v>0</v>
      </c>
      <c r="K885" s="1460"/>
      <c r="L885" s="1454">
        <v>13079070202</v>
      </c>
      <c r="M885" s="1455">
        <v>0</v>
      </c>
      <c r="N885" s="1455">
        <v>1</v>
      </c>
      <c r="O885" s="1455">
        <v>1</v>
      </c>
      <c r="AA885"/>
      <c r="AB885"/>
    </row>
    <row r="886" spans="3:28">
      <c r="C886" s="1461" t="s">
        <v>4668</v>
      </c>
      <c r="D886" s="1458">
        <v>0</v>
      </c>
      <c r="E886" s="1458">
        <v>0</v>
      </c>
      <c r="F886" s="1459">
        <v>0</v>
      </c>
      <c r="G886" s="1470" t="s">
        <v>4668</v>
      </c>
      <c r="H886" s="1456">
        <v>0</v>
      </c>
      <c r="I886" s="1456">
        <v>0</v>
      </c>
      <c r="J886" s="1471">
        <v>0</v>
      </c>
      <c r="K886" s="1460"/>
      <c r="L886" s="1454">
        <v>13081010100</v>
      </c>
      <c r="M886" s="1455">
        <v>0</v>
      </c>
      <c r="N886" s="1455">
        <v>0</v>
      </c>
      <c r="O886" s="1455">
        <v>0</v>
      </c>
      <c r="AA886"/>
      <c r="AB886"/>
    </row>
    <row r="887" spans="3:28">
      <c r="C887" s="1461" t="s">
        <v>4669</v>
      </c>
      <c r="D887" s="1458">
        <v>0</v>
      </c>
      <c r="E887" s="1458">
        <v>0</v>
      </c>
      <c r="F887" s="1459">
        <v>0</v>
      </c>
      <c r="G887" s="1470" t="s">
        <v>4669</v>
      </c>
      <c r="H887" s="1456">
        <v>0</v>
      </c>
      <c r="I887" s="1456">
        <v>0</v>
      </c>
      <c r="J887" s="1471">
        <v>0</v>
      </c>
      <c r="K887" s="1460"/>
      <c r="L887" s="1454">
        <v>13081010201</v>
      </c>
      <c r="M887" s="1455">
        <v>0</v>
      </c>
      <c r="N887" s="1455">
        <v>0</v>
      </c>
      <c r="O887" s="1455">
        <v>0</v>
      </c>
      <c r="AA887"/>
      <c r="AB887"/>
    </row>
    <row r="888" spans="3:28">
      <c r="C888" s="1461" t="s">
        <v>4670</v>
      </c>
      <c r="D888" s="1458">
        <v>0</v>
      </c>
      <c r="E888" s="1458">
        <v>0</v>
      </c>
      <c r="F888" s="1459">
        <v>0</v>
      </c>
      <c r="G888" s="1470" t="s">
        <v>4670</v>
      </c>
      <c r="H888" s="1456">
        <v>0</v>
      </c>
      <c r="I888" s="1456">
        <v>0</v>
      </c>
      <c r="J888" s="1471">
        <v>0</v>
      </c>
      <c r="K888" s="1460"/>
      <c r="L888" s="1454">
        <v>13081010202</v>
      </c>
      <c r="M888" s="1455">
        <v>0</v>
      </c>
      <c r="N888" s="1455">
        <v>0</v>
      </c>
      <c r="O888" s="1455">
        <v>0</v>
      </c>
      <c r="AA888"/>
      <c r="AB888"/>
    </row>
    <row r="889" spans="3:28">
      <c r="C889" s="1461" t="s">
        <v>4671</v>
      </c>
      <c r="D889" s="1458">
        <v>0</v>
      </c>
      <c r="E889" s="1458">
        <v>0</v>
      </c>
      <c r="F889" s="1459">
        <v>0</v>
      </c>
      <c r="G889" s="1470" t="s">
        <v>4671</v>
      </c>
      <c r="H889" s="1456">
        <v>0</v>
      </c>
      <c r="I889" s="1456">
        <v>0</v>
      </c>
      <c r="J889" s="1471">
        <v>0</v>
      </c>
      <c r="K889" s="1460"/>
      <c r="L889" s="1454">
        <v>13081010300</v>
      </c>
      <c r="M889" s="1455">
        <v>0</v>
      </c>
      <c r="N889" s="1455">
        <v>0</v>
      </c>
      <c r="O889" s="1455">
        <v>0</v>
      </c>
      <c r="AA889"/>
      <c r="AB889"/>
    </row>
    <row r="890" spans="3:28">
      <c r="C890" s="1461" t="s">
        <v>4672</v>
      </c>
      <c r="D890" s="1458">
        <v>0</v>
      </c>
      <c r="E890" s="1458">
        <v>0</v>
      </c>
      <c r="F890" s="1459">
        <v>0</v>
      </c>
      <c r="G890" s="1470" t="s">
        <v>4672</v>
      </c>
      <c r="H890" s="1456">
        <v>0</v>
      </c>
      <c r="I890" s="1456">
        <v>0</v>
      </c>
      <c r="J890" s="1471">
        <v>0</v>
      </c>
      <c r="K890" s="1460"/>
      <c r="L890" s="1454">
        <v>13081010400</v>
      </c>
      <c r="M890" s="1455">
        <v>0</v>
      </c>
      <c r="N890" s="1455">
        <v>0</v>
      </c>
      <c r="O890" s="1455">
        <v>0</v>
      </c>
      <c r="AA890"/>
      <c r="AB890"/>
    </row>
    <row r="891" spans="3:28">
      <c r="C891" s="1461" t="s">
        <v>4673</v>
      </c>
      <c r="D891" s="1458">
        <v>0</v>
      </c>
      <c r="E891" s="1458">
        <v>0</v>
      </c>
      <c r="F891" s="1459">
        <v>0</v>
      </c>
      <c r="G891" s="1470" t="s">
        <v>4673</v>
      </c>
      <c r="H891" s="1456">
        <v>0</v>
      </c>
      <c r="I891" s="1456">
        <v>0</v>
      </c>
      <c r="J891" s="1471">
        <v>0</v>
      </c>
      <c r="K891" s="1460"/>
      <c r="L891" s="1454">
        <v>13081010500</v>
      </c>
      <c r="M891" s="1455">
        <v>0</v>
      </c>
      <c r="N891" s="1455">
        <v>0</v>
      </c>
      <c r="O891" s="1455">
        <v>0</v>
      </c>
      <c r="AA891"/>
      <c r="AB891"/>
    </row>
    <row r="892" spans="3:28">
      <c r="C892" s="1461" t="s">
        <v>4674</v>
      </c>
      <c r="D892" s="1458">
        <v>0</v>
      </c>
      <c r="E892" s="1458">
        <v>0</v>
      </c>
      <c r="F892" s="1459">
        <v>0</v>
      </c>
      <c r="G892" s="1470" t="s">
        <v>4674</v>
      </c>
      <c r="H892" s="1456">
        <v>0</v>
      </c>
      <c r="I892" s="1456">
        <v>0</v>
      </c>
      <c r="J892" s="1471">
        <v>0</v>
      </c>
      <c r="K892" s="1460"/>
      <c r="L892" s="1454">
        <v>13083040101</v>
      </c>
      <c r="M892" s="1455">
        <v>0</v>
      </c>
      <c r="N892" s="1455">
        <v>0</v>
      </c>
      <c r="O892" s="1455">
        <v>0</v>
      </c>
      <c r="AA892"/>
      <c r="AB892"/>
    </row>
    <row r="893" spans="3:28">
      <c r="C893" s="1461" t="s">
        <v>4675</v>
      </c>
      <c r="D893" s="1458">
        <v>1</v>
      </c>
      <c r="E893" s="1458">
        <v>1</v>
      </c>
      <c r="F893" s="1459">
        <v>2</v>
      </c>
      <c r="G893" s="1470" t="s">
        <v>4675</v>
      </c>
      <c r="H893" s="1456">
        <v>0</v>
      </c>
      <c r="I893" s="1456">
        <v>1</v>
      </c>
      <c r="J893" s="1471">
        <v>1</v>
      </c>
      <c r="K893" s="1460"/>
      <c r="L893" s="1454">
        <v>13083040102</v>
      </c>
      <c r="M893" s="1455">
        <v>1</v>
      </c>
      <c r="N893" s="1455">
        <v>1</v>
      </c>
      <c r="O893" s="1455">
        <v>2</v>
      </c>
      <c r="AA893"/>
      <c r="AB893"/>
    </row>
    <row r="894" spans="3:28">
      <c r="C894" s="1461" t="s">
        <v>4676</v>
      </c>
      <c r="D894" s="1458">
        <v>0</v>
      </c>
      <c r="E894" s="1458">
        <v>0</v>
      </c>
      <c r="F894" s="1459">
        <v>0</v>
      </c>
      <c r="G894" s="1470" t="s">
        <v>4676</v>
      </c>
      <c r="H894" s="1456">
        <v>0</v>
      </c>
      <c r="I894" s="1456">
        <v>0</v>
      </c>
      <c r="J894" s="1471">
        <v>0</v>
      </c>
      <c r="K894" s="1460"/>
      <c r="L894" s="1454">
        <v>13083040200</v>
      </c>
      <c r="M894" s="1455">
        <v>0</v>
      </c>
      <c r="N894" s="1455">
        <v>0</v>
      </c>
      <c r="O894" s="1455">
        <v>0</v>
      </c>
      <c r="AA894"/>
      <c r="AB894"/>
    </row>
    <row r="895" spans="3:28">
      <c r="C895" s="1461" t="s">
        <v>4677</v>
      </c>
      <c r="D895" s="1458">
        <v>1</v>
      </c>
      <c r="E895" s="1458">
        <v>1</v>
      </c>
      <c r="F895" s="1459">
        <v>2</v>
      </c>
      <c r="G895" s="1470" t="s">
        <v>4677</v>
      </c>
      <c r="H895" s="1456">
        <v>0</v>
      </c>
      <c r="I895" s="1456">
        <v>1</v>
      </c>
      <c r="J895" s="1471">
        <v>1</v>
      </c>
      <c r="K895" s="1460"/>
      <c r="L895" s="1454">
        <v>13083040300</v>
      </c>
      <c r="M895" s="1455">
        <v>1</v>
      </c>
      <c r="N895" s="1455">
        <v>1</v>
      </c>
      <c r="O895" s="1455">
        <v>2</v>
      </c>
      <c r="AA895"/>
      <c r="AB895"/>
    </row>
    <row r="896" spans="3:28">
      <c r="C896" s="1461" t="s">
        <v>4678</v>
      </c>
      <c r="D896" s="1458">
        <v>1</v>
      </c>
      <c r="E896" s="1458">
        <v>1</v>
      </c>
      <c r="F896" s="1459">
        <v>2</v>
      </c>
      <c r="G896" s="1470" t="s">
        <v>4678</v>
      </c>
      <c r="H896" s="1456">
        <v>1</v>
      </c>
      <c r="I896" s="1456">
        <v>1</v>
      </c>
      <c r="J896" s="1471">
        <v>2</v>
      </c>
      <c r="K896" s="1460"/>
      <c r="L896" s="1454">
        <v>13085970100</v>
      </c>
      <c r="M896" s="1455">
        <v>1</v>
      </c>
      <c r="N896" s="1455">
        <v>1</v>
      </c>
      <c r="O896" s="1455">
        <v>2</v>
      </c>
      <c r="AA896"/>
      <c r="AB896"/>
    </row>
    <row r="897" spans="3:28">
      <c r="C897" s="1461" t="s">
        <v>4679</v>
      </c>
      <c r="D897" s="1458">
        <v>1</v>
      </c>
      <c r="E897" s="1458">
        <v>1</v>
      </c>
      <c r="F897" s="1459">
        <v>2</v>
      </c>
      <c r="G897" s="1470" t="s">
        <v>4679</v>
      </c>
      <c r="H897" s="1456">
        <v>1</v>
      </c>
      <c r="I897" s="1456">
        <v>1</v>
      </c>
      <c r="J897" s="1471">
        <v>2</v>
      </c>
      <c r="K897" s="1460"/>
      <c r="L897" s="1454">
        <v>13085970201</v>
      </c>
      <c r="M897" s="1455">
        <v>1</v>
      </c>
      <c r="N897" s="1455">
        <v>1</v>
      </c>
      <c r="O897" s="1455">
        <v>2</v>
      </c>
      <c r="AA897"/>
      <c r="AB897"/>
    </row>
    <row r="898" spans="3:28">
      <c r="C898" s="1461" t="s">
        <v>4680</v>
      </c>
      <c r="D898" s="1458">
        <v>0</v>
      </c>
      <c r="E898" s="1458">
        <v>1</v>
      </c>
      <c r="F898" s="1459">
        <v>1</v>
      </c>
      <c r="G898" s="1470" t="s">
        <v>4680</v>
      </c>
      <c r="H898" s="1456">
        <v>1</v>
      </c>
      <c r="I898" s="1456">
        <v>0</v>
      </c>
      <c r="J898" s="1471">
        <v>1</v>
      </c>
      <c r="K898" s="1460"/>
      <c r="L898" s="1454">
        <v>13085970202</v>
      </c>
      <c r="M898" s="1455">
        <v>1</v>
      </c>
      <c r="N898" s="1455">
        <v>1</v>
      </c>
      <c r="O898" s="1455">
        <v>1</v>
      </c>
      <c r="AA898"/>
      <c r="AB898"/>
    </row>
    <row r="899" spans="3:28">
      <c r="C899" s="1461" t="s">
        <v>4681</v>
      </c>
      <c r="D899" s="1458">
        <v>1</v>
      </c>
      <c r="E899" s="1458">
        <v>0</v>
      </c>
      <c r="F899" s="1459">
        <v>1</v>
      </c>
      <c r="G899" s="1470" t="s">
        <v>4681</v>
      </c>
      <c r="H899" s="1456">
        <v>0</v>
      </c>
      <c r="I899" s="1456">
        <v>0</v>
      </c>
      <c r="J899" s="1471">
        <v>0</v>
      </c>
      <c r="K899" s="1460"/>
      <c r="L899" s="1454">
        <v>13087970100</v>
      </c>
      <c r="M899" s="1455">
        <v>1</v>
      </c>
      <c r="N899" s="1455">
        <v>0</v>
      </c>
      <c r="O899" s="1455">
        <v>1</v>
      </c>
      <c r="AA899"/>
      <c r="AB899"/>
    </row>
    <row r="900" spans="3:28">
      <c r="C900" s="1461" t="s">
        <v>4682</v>
      </c>
      <c r="D900" s="1458">
        <v>0</v>
      </c>
      <c r="E900" s="1458">
        <v>0</v>
      </c>
      <c r="F900" s="1459">
        <v>0</v>
      </c>
      <c r="G900" s="1470" t="s">
        <v>4682</v>
      </c>
      <c r="H900" s="1456">
        <v>0</v>
      </c>
      <c r="I900" s="1456">
        <v>0</v>
      </c>
      <c r="J900" s="1471">
        <v>0</v>
      </c>
      <c r="K900" s="1460"/>
      <c r="L900" s="1454">
        <v>13087970200</v>
      </c>
      <c r="M900" s="1455">
        <v>0</v>
      </c>
      <c r="N900" s="1455">
        <v>0</v>
      </c>
      <c r="O900" s="1455">
        <v>0</v>
      </c>
      <c r="AA900"/>
      <c r="AB900"/>
    </row>
    <row r="901" spans="3:28">
      <c r="C901" s="1461" t="s">
        <v>4683</v>
      </c>
      <c r="D901" s="1458">
        <v>0</v>
      </c>
      <c r="E901" s="1458">
        <v>0</v>
      </c>
      <c r="F901" s="1459">
        <v>0</v>
      </c>
      <c r="G901" s="1470" t="s">
        <v>4683</v>
      </c>
      <c r="H901" s="1456">
        <v>0</v>
      </c>
      <c r="I901" s="1456">
        <v>0</v>
      </c>
      <c r="J901" s="1471">
        <v>0</v>
      </c>
      <c r="K901" s="1460"/>
      <c r="L901" s="1454">
        <v>13087970300</v>
      </c>
      <c r="M901" s="1455">
        <v>0</v>
      </c>
      <c r="N901" s="1455">
        <v>0</v>
      </c>
      <c r="O901" s="1455">
        <v>0</v>
      </c>
      <c r="AA901"/>
      <c r="AB901"/>
    </row>
    <row r="902" spans="3:28">
      <c r="C902" s="1461" t="s">
        <v>4684</v>
      </c>
      <c r="D902" s="1458">
        <v>0</v>
      </c>
      <c r="E902" s="1458">
        <v>0</v>
      </c>
      <c r="F902" s="1459">
        <v>0</v>
      </c>
      <c r="G902" s="1470" t="s">
        <v>4684</v>
      </c>
      <c r="H902" s="1456">
        <v>0</v>
      </c>
      <c r="I902" s="1456">
        <v>0</v>
      </c>
      <c r="J902" s="1471">
        <v>0</v>
      </c>
      <c r="K902" s="1460"/>
      <c r="L902" s="1454">
        <v>13087970400</v>
      </c>
      <c r="M902" s="1455">
        <v>0</v>
      </c>
      <c r="N902" s="1455">
        <v>0</v>
      </c>
      <c r="O902" s="1455">
        <v>0</v>
      </c>
      <c r="AA902"/>
      <c r="AB902"/>
    </row>
    <row r="903" spans="3:28">
      <c r="C903" s="1461" t="s">
        <v>4685</v>
      </c>
      <c r="D903" s="1458">
        <v>1</v>
      </c>
      <c r="E903" s="1458">
        <v>0</v>
      </c>
      <c r="F903" s="1459">
        <v>1</v>
      </c>
      <c r="G903" s="1470" t="s">
        <v>4685</v>
      </c>
      <c r="H903" s="1456">
        <v>0</v>
      </c>
      <c r="I903" s="1456">
        <v>1</v>
      </c>
      <c r="J903" s="1471">
        <v>1</v>
      </c>
      <c r="K903" s="1460"/>
      <c r="L903" s="1454">
        <v>13087970600</v>
      </c>
      <c r="M903" s="1455">
        <v>1</v>
      </c>
      <c r="N903" s="1455">
        <v>1</v>
      </c>
      <c r="O903" s="1455">
        <v>1</v>
      </c>
      <c r="AA903"/>
      <c r="AB903"/>
    </row>
    <row r="904" spans="3:28">
      <c r="C904" s="1461" t="s">
        <v>4686</v>
      </c>
      <c r="D904" s="1458">
        <v>0</v>
      </c>
      <c r="E904" s="1458">
        <v>0</v>
      </c>
      <c r="F904" s="1459">
        <v>0</v>
      </c>
      <c r="G904" s="1470" t="s">
        <v>4686</v>
      </c>
      <c r="H904" s="1456">
        <v>0</v>
      </c>
      <c r="I904" s="1456">
        <v>0</v>
      </c>
      <c r="J904" s="1471">
        <v>0</v>
      </c>
      <c r="K904" s="1460"/>
      <c r="L904" s="1454">
        <v>13087970700</v>
      </c>
      <c r="M904" s="1455">
        <v>0</v>
      </c>
      <c r="N904" s="1455">
        <v>0</v>
      </c>
      <c r="O904" s="1455">
        <v>0</v>
      </c>
      <c r="AA904"/>
      <c r="AB904"/>
    </row>
    <row r="905" spans="3:28">
      <c r="C905" s="1461" t="s">
        <v>4687</v>
      </c>
      <c r="D905" s="1458">
        <v>0</v>
      </c>
      <c r="E905" s="1458">
        <v>0</v>
      </c>
      <c r="F905" s="1459">
        <v>0</v>
      </c>
      <c r="G905" s="1470" t="s">
        <v>4687</v>
      </c>
      <c r="H905" s="1456">
        <v>0</v>
      </c>
      <c r="I905" s="1456">
        <v>0</v>
      </c>
      <c r="J905" s="1471">
        <v>0</v>
      </c>
      <c r="K905" s="1460"/>
      <c r="L905" s="1454">
        <v>13087970800</v>
      </c>
      <c r="M905" s="1455">
        <v>0</v>
      </c>
      <c r="N905" s="1455">
        <v>0</v>
      </c>
      <c r="O905" s="1455">
        <v>0</v>
      </c>
      <c r="AA905"/>
      <c r="AB905"/>
    </row>
    <row r="906" spans="3:28">
      <c r="C906" s="1461" t="s">
        <v>4688</v>
      </c>
      <c r="D906" s="1458">
        <v>1</v>
      </c>
      <c r="E906" s="1458">
        <v>1</v>
      </c>
      <c r="F906" s="1459">
        <v>2</v>
      </c>
      <c r="G906" s="1470" t="s">
        <v>4688</v>
      </c>
      <c r="H906" s="1456">
        <v>1</v>
      </c>
      <c r="I906" s="1456">
        <v>1</v>
      </c>
      <c r="J906" s="1471">
        <v>2</v>
      </c>
      <c r="K906" s="1460"/>
      <c r="L906" s="1454">
        <v>13089020100</v>
      </c>
      <c r="M906" s="1455">
        <v>1</v>
      </c>
      <c r="N906" s="1455">
        <v>1</v>
      </c>
      <c r="O906" s="1455">
        <v>2</v>
      </c>
      <c r="AA906"/>
      <c r="AB906"/>
    </row>
    <row r="907" spans="3:28">
      <c r="C907" s="1461" t="s">
        <v>4689</v>
      </c>
      <c r="D907" s="1458">
        <v>1</v>
      </c>
      <c r="E907" s="1458">
        <v>1</v>
      </c>
      <c r="F907" s="1459">
        <v>2</v>
      </c>
      <c r="G907" s="1470" t="s">
        <v>4689</v>
      </c>
      <c r="H907" s="1456">
        <v>1</v>
      </c>
      <c r="I907" s="1456">
        <v>1</v>
      </c>
      <c r="J907" s="1471">
        <v>2</v>
      </c>
      <c r="K907" s="1460"/>
      <c r="L907" s="1454">
        <v>13089020200</v>
      </c>
      <c r="M907" s="1455">
        <v>1</v>
      </c>
      <c r="N907" s="1455">
        <v>1</v>
      </c>
      <c r="O907" s="1455">
        <v>2</v>
      </c>
      <c r="AA907"/>
      <c r="AB907"/>
    </row>
    <row r="908" spans="3:28">
      <c r="C908" s="1461" t="s">
        <v>4690</v>
      </c>
      <c r="D908" s="1458">
        <v>1</v>
      </c>
      <c r="E908" s="1458">
        <v>1</v>
      </c>
      <c r="F908" s="1459">
        <v>2</v>
      </c>
      <c r="G908" s="1470" t="s">
        <v>4690</v>
      </c>
      <c r="H908" s="1456">
        <v>1</v>
      </c>
      <c r="I908" s="1456" t="s">
        <v>3906</v>
      </c>
      <c r="J908" s="1471">
        <v>1</v>
      </c>
      <c r="K908" s="1460"/>
      <c r="L908" s="1454">
        <v>13089020300</v>
      </c>
      <c r="M908" s="1455">
        <v>1</v>
      </c>
      <c r="N908" s="1455">
        <v>1</v>
      </c>
      <c r="O908" s="1455">
        <v>2</v>
      </c>
      <c r="AA908"/>
      <c r="AB908"/>
    </row>
    <row r="909" spans="3:28">
      <c r="C909" s="1461" t="s">
        <v>4691</v>
      </c>
      <c r="D909" s="1458">
        <v>1</v>
      </c>
      <c r="E909" s="1458">
        <v>1</v>
      </c>
      <c r="F909" s="1459">
        <v>2</v>
      </c>
      <c r="G909" s="1470" t="s">
        <v>4691</v>
      </c>
      <c r="H909" s="1456">
        <v>1</v>
      </c>
      <c r="I909" s="1456" t="s">
        <v>3906</v>
      </c>
      <c r="J909" s="1471">
        <v>1</v>
      </c>
      <c r="K909" s="1460"/>
      <c r="L909" s="1454">
        <v>13089020400</v>
      </c>
      <c r="M909" s="1455">
        <v>1</v>
      </c>
      <c r="N909" s="1455">
        <v>1</v>
      </c>
      <c r="O909" s="1455">
        <v>2</v>
      </c>
      <c r="AA909"/>
      <c r="AB909"/>
    </row>
    <row r="910" spans="3:28">
      <c r="C910" s="1461" t="s">
        <v>4692</v>
      </c>
      <c r="D910" s="1458">
        <v>0</v>
      </c>
      <c r="E910" s="1458">
        <v>0</v>
      </c>
      <c r="F910" s="1459">
        <v>0</v>
      </c>
      <c r="G910" s="1470" t="s">
        <v>4692</v>
      </c>
      <c r="H910" s="1456">
        <v>0</v>
      </c>
      <c r="I910" s="1456">
        <v>0</v>
      </c>
      <c r="J910" s="1471">
        <v>0</v>
      </c>
      <c r="K910" s="1460"/>
      <c r="L910" s="1454">
        <v>13089020500</v>
      </c>
      <c r="M910" s="1455">
        <v>0</v>
      </c>
      <c r="N910" s="1455">
        <v>0</v>
      </c>
      <c r="O910" s="1455">
        <v>0</v>
      </c>
      <c r="AA910"/>
      <c r="AB910"/>
    </row>
    <row r="911" spans="3:28">
      <c r="C911" s="1461" t="s">
        <v>4693</v>
      </c>
      <c r="D911" s="1458">
        <v>0</v>
      </c>
      <c r="E911" s="1458">
        <v>0</v>
      </c>
      <c r="F911" s="1459">
        <v>0</v>
      </c>
      <c r="G911" s="1470" t="s">
        <v>4693</v>
      </c>
      <c r="H911" s="1456">
        <v>0</v>
      </c>
      <c r="I911" s="1456">
        <v>0</v>
      </c>
      <c r="J911" s="1471">
        <v>0</v>
      </c>
      <c r="K911" s="1460"/>
      <c r="L911" s="1454">
        <v>13089020600</v>
      </c>
      <c r="M911" s="1455">
        <v>0</v>
      </c>
      <c r="N911" s="1455">
        <v>0</v>
      </c>
      <c r="O911" s="1455">
        <v>0</v>
      </c>
      <c r="AA911"/>
      <c r="AB911"/>
    </row>
    <row r="912" spans="3:28">
      <c r="C912" s="1461" t="s">
        <v>4694</v>
      </c>
      <c r="D912" s="1458">
        <v>1</v>
      </c>
      <c r="E912" s="1458">
        <v>0</v>
      </c>
      <c r="F912" s="1459">
        <v>1</v>
      </c>
      <c r="G912" s="1470" t="s">
        <v>4694</v>
      </c>
      <c r="H912" s="1456">
        <v>1</v>
      </c>
      <c r="I912" s="1456">
        <v>1</v>
      </c>
      <c r="J912" s="1471">
        <v>2</v>
      </c>
      <c r="K912" s="1460"/>
      <c r="L912" s="1454">
        <v>13089020700</v>
      </c>
      <c r="M912" s="1455">
        <v>1</v>
      </c>
      <c r="N912" s="1455">
        <v>1</v>
      </c>
      <c r="O912" s="1455">
        <v>2</v>
      </c>
      <c r="AA912"/>
      <c r="AB912"/>
    </row>
    <row r="913" spans="3:28">
      <c r="C913" s="1461" t="s">
        <v>4695</v>
      </c>
      <c r="D913" s="1458">
        <v>1</v>
      </c>
      <c r="E913" s="1458">
        <v>1</v>
      </c>
      <c r="F913" s="1459">
        <v>2</v>
      </c>
      <c r="G913" s="1470" t="s">
        <v>4695</v>
      </c>
      <c r="H913" s="1456">
        <v>1</v>
      </c>
      <c r="I913" s="1456">
        <v>1</v>
      </c>
      <c r="J913" s="1471">
        <v>2</v>
      </c>
      <c r="K913" s="1460"/>
      <c r="L913" s="1454">
        <v>13089020801</v>
      </c>
      <c r="M913" s="1455">
        <v>1</v>
      </c>
      <c r="N913" s="1455">
        <v>1</v>
      </c>
      <c r="O913" s="1455">
        <v>2</v>
      </c>
      <c r="AA913"/>
      <c r="AB913"/>
    </row>
    <row r="914" spans="3:28">
      <c r="C914" s="1461" t="s">
        <v>4696</v>
      </c>
      <c r="D914" s="1458">
        <v>1</v>
      </c>
      <c r="E914" s="1458">
        <v>0</v>
      </c>
      <c r="F914" s="1459">
        <v>1</v>
      </c>
      <c r="G914" s="1470" t="s">
        <v>4696</v>
      </c>
      <c r="H914" s="1456">
        <v>1</v>
      </c>
      <c r="I914" s="1456">
        <v>0</v>
      </c>
      <c r="J914" s="1471">
        <v>1</v>
      </c>
      <c r="K914" s="1460"/>
      <c r="L914" s="1454">
        <v>13089020802</v>
      </c>
      <c r="M914" s="1455">
        <v>1</v>
      </c>
      <c r="N914" s="1455">
        <v>0</v>
      </c>
      <c r="O914" s="1455">
        <v>1</v>
      </c>
      <c r="AA914"/>
      <c r="AB914"/>
    </row>
    <row r="915" spans="3:28">
      <c r="C915" s="1461" t="s">
        <v>4697</v>
      </c>
      <c r="D915" s="1458">
        <v>1</v>
      </c>
      <c r="E915" s="1458">
        <v>0</v>
      </c>
      <c r="F915" s="1459">
        <v>1</v>
      </c>
      <c r="G915" s="1470" t="s">
        <v>4697</v>
      </c>
      <c r="H915" s="1456">
        <v>1</v>
      </c>
      <c r="I915" s="1456">
        <v>0</v>
      </c>
      <c r="J915" s="1471">
        <v>1</v>
      </c>
      <c r="K915" s="1460"/>
      <c r="L915" s="1454">
        <v>13089020900</v>
      </c>
      <c r="M915" s="1455">
        <v>1</v>
      </c>
      <c r="N915" s="1455">
        <v>0</v>
      </c>
      <c r="O915" s="1455">
        <v>1</v>
      </c>
      <c r="AA915"/>
      <c r="AB915"/>
    </row>
    <row r="916" spans="3:28">
      <c r="C916" s="1461" t="s">
        <v>4698</v>
      </c>
      <c r="D916" s="1458">
        <v>1</v>
      </c>
      <c r="E916" s="1458">
        <v>1</v>
      </c>
      <c r="F916" s="1459">
        <v>2</v>
      </c>
      <c r="G916" s="1470" t="s">
        <v>4698</v>
      </c>
      <c r="H916" s="1456">
        <v>1</v>
      </c>
      <c r="I916" s="1456">
        <v>1</v>
      </c>
      <c r="J916" s="1471">
        <v>2</v>
      </c>
      <c r="K916" s="1460"/>
      <c r="L916" s="1454">
        <v>13089021101</v>
      </c>
      <c r="M916" s="1455">
        <v>1</v>
      </c>
      <c r="N916" s="1455">
        <v>1</v>
      </c>
      <c r="O916" s="1455">
        <v>2</v>
      </c>
      <c r="AA916"/>
      <c r="AB916"/>
    </row>
    <row r="917" spans="3:28">
      <c r="C917" s="1461" t="s">
        <v>4699</v>
      </c>
      <c r="D917" s="1458">
        <v>1</v>
      </c>
      <c r="E917" s="1458">
        <v>1</v>
      </c>
      <c r="F917" s="1459">
        <v>2</v>
      </c>
      <c r="G917" s="1470" t="s">
        <v>4699</v>
      </c>
      <c r="H917" s="1456">
        <v>1</v>
      </c>
      <c r="I917" s="1456">
        <v>1</v>
      </c>
      <c r="J917" s="1471">
        <v>2</v>
      </c>
      <c r="K917" s="1460"/>
      <c r="L917" s="1454">
        <v>13089021102</v>
      </c>
      <c r="M917" s="1455">
        <v>1</v>
      </c>
      <c r="N917" s="1455">
        <v>1</v>
      </c>
      <c r="O917" s="1455">
        <v>2</v>
      </c>
      <c r="AA917"/>
      <c r="AB917"/>
    </row>
    <row r="918" spans="3:28">
      <c r="C918" s="1461" t="s">
        <v>4700</v>
      </c>
      <c r="D918" s="1458">
        <v>1</v>
      </c>
      <c r="E918" s="1458">
        <v>1</v>
      </c>
      <c r="F918" s="1459">
        <v>2</v>
      </c>
      <c r="G918" s="1470" t="s">
        <v>4700</v>
      </c>
      <c r="H918" s="1456">
        <v>1</v>
      </c>
      <c r="I918" s="1456">
        <v>1</v>
      </c>
      <c r="J918" s="1471">
        <v>2</v>
      </c>
      <c r="K918" s="1460"/>
      <c r="L918" s="1454">
        <v>13089021202</v>
      </c>
      <c r="M918" s="1455">
        <v>1</v>
      </c>
      <c r="N918" s="1455">
        <v>1</v>
      </c>
      <c r="O918" s="1455">
        <v>2</v>
      </c>
      <c r="AA918"/>
      <c r="AB918"/>
    </row>
    <row r="919" spans="3:28">
      <c r="C919" s="1461" t="s">
        <v>4701</v>
      </c>
      <c r="D919" s="1458">
        <v>0</v>
      </c>
      <c r="E919" s="1458">
        <v>0</v>
      </c>
      <c r="F919" s="1459">
        <v>0</v>
      </c>
      <c r="G919" s="1470" t="s">
        <v>4701</v>
      </c>
      <c r="H919" s="1456">
        <v>0</v>
      </c>
      <c r="I919" s="1456" t="s">
        <v>3906</v>
      </c>
      <c r="J919" s="1471">
        <v>0</v>
      </c>
      <c r="K919" s="1460"/>
      <c r="L919" s="1454">
        <v>13089021204</v>
      </c>
      <c r="M919" s="1455">
        <v>0</v>
      </c>
      <c r="N919" s="1455">
        <v>0</v>
      </c>
      <c r="O919" s="1455">
        <v>0</v>
      </c>
      <c r="AA919"/>
      <c r="AB919"/>
    </row>
    <row r="920" spans="3:28">
      <c r="C920" s="1461" t="s">
        <v>4702</v>
      </c>
      <c r="D920" s="1458">
        <v>1</v>
      </c>
      <c r="E920" s="1458">
        <v>1</v>
      </c>
      <c r="F920" s="1459">
        <v>2</v>
      </c>
      <c r="G920" s="1470" t="s">
        <v>4702</v>
      </c>
      <c r="H920" s="1456">
        <v>1</v>
      </c>
      <c r="I920" s="1456">
        <v>1</v>
      </c>
      <c r="J920" s="1471">
        <v>2</v>
      </c>
      <c r="K920" s="1460"/>
      <c r="L920" s="1454">
        <v>13089021208</v>
      </c>
      <c r="M920" s="1455">
        <v>1</v>
      </c>
      <c r="N920" s="1455">
        <v>1</v>
      </c>
      <c r="O920" s="1455">
        <v>2</v>
      </c>
      <c r="AA920"/>
      <c r="AB920"/>
    </row>
    <row r="921" spans="3:28">
      <c r="C921" s="1461" t="s">
        <v>4703</v>
      </c>
      <c r="D921" s="1458">
        <v>1</v>
      </c>
      <c r="E921" s="1458">
        <v>1</v>
      </c>
      <c r="F921" s="1459">
        <v>2</v>
      </c>
      <c r="G921" s="1470" t="s">
        <v>4703</v>
      </c>
      <c r="H921" s="1456">
        <v>1</v>
      </c>
      <c r="I921" s="1456">
        <v>1</v>
      </c>
      <c r="J921" s="1471">
        <v>2</v>
      </c>
      <c r="K921" s="1460"/>
      <c r="L921" s="1454">
        <v>13089021209</v>
      </c>
      <c r="M921" s="1455">
        <v>1</v>
      </c>
      <c r="N921" s="1455">
        <v>1</v>
      </c>
      <c r="O921" s="1455">
        <v>2</v>
      </c>
      <c r="AA921"/>
      <c r="AB921"/>
    </row>
    <row r="922" spans="3:28">
      <c r="C922" s="1461" t="s">
        <v>4704</v>
      </c>
      <c r="D922" s="1458">
        <v>1</v>
      </c>
      <c r="E922" s="1458">
        <v>1</v>
      </c>
      <c r="F922" s="1459">
        <v>2</v>
      </c>
      <c r="G922" s="1470" t="s">
        <v>4704</v>
      </c>
      <c r="H922" s="1456">
        <v>1</v>
      </c>
      <c r="I922" s="1456">
        <v>1</v>
      </c>
      <c r="J922" s="1471">
        <v>2</v>
      </c>
      <c r="K922" s="1460"/>
      <c r="L922" s="1454">
        <v>13089021210</v>
      </c>
      <c r="M922" s="1455">
        <v>1</v>
      </c>
      <c r="N922" s="1455">
        <v>1</v>
      </c>
      <c r="O922" s="1455">
        <v>2</v>
      </c>
      <c r="AA922"/>
      <c r="AB922"/>
    </row>
    <row r="923" spans="3:28">
      <c r="C923" s="1461" t="s">
        <v>4705</v>
      </c>
      <c r="D923" s="1458">
        <v>1</v>
      </c>
      <c r="E923" s="1458">
        <v>1</v>
      </c>
      <c r="F923" s="1459">
        <v>2</v>
      </c>
      <c r="G923" s="1470" t="s">
        <v>4705</v>
      </c>
      <c r="H923" s="1456">
        <v>1</v>
      </c>
      <c r="I923" s="1456">
        <v>1</v>
      </c>
      <c r="J923" s="1471">
        <v>2</v>
      </c>
      <c r="K923" s="1460"/>
      <c r="L923" s="1454">
        <v>13089021211</v>
      </c>
      <c r="M923" s="1455">
        <v>1</v>
      </c>
      <c r="N923" s="1455">
        <v>1</v>
      </c>
      <c r="O923" s="1455">
        <v>2</v>
      </c>
      <c r="AA923"/>
      <c r="AB923"/>
    </row>
    <row r="924" spans="3:28">
      <c r="C924" s="1461" t="s">
        <v>4706</v>
      </c>
      <c r="D924" s="1458">
        <v>1</v>
      </c>
      <c r="E924" s="1458">
        <v>1</v>
      </c>
      <c r="F924" s="1459">
        <v>2</v>
      </c>
      <c r="G924" s="1470" t="s">
        <v>4706</v>
      </c>
      <c r="H924" s="1456">
        <v>1</v>
      </c>
      <c r="I924" s="1456">
        <v>1</v>
      </c>
      <c r="J924" s="1471">
        <v>2</v>
      </c>
      <c r="K924" s="1460"/>
      <c r="L924" s="1454">
        <v>13089021213</v>
      </c>
      <c r="M924" s="1455">
        <v>1</v>
      </c>
      <c r="N924" s="1455">
        <v>1</v>
      </c>
      <c r="O924" s="1455">
        <v>2</v>
      </c>
      <c r="AA924"/>
      <c r="AB924"/>
    </row>
    <row r="925" spans="3:28">
      <c r="C925" s="1461" t="s">
        <v>4707</v>
      </c>
      <c r="D925" s="1458">
        <v>1</v>
      </c>
      <c r="E925" s="1458">
        <v>1</v>
      </c>
      <c r="F925" s="1459">
        <v>2</v>
      </c>
      <c r="G925" s="1470" t="s">
        <v>4707</v>
      </c>
      <c r="H925" s="1456">
        <v>1</v>
      </c>
      <c r="I925" s="1456" t="s">
        <v>3906</v>
      </c>
      <c r="J925" s="1471">
        <v>1</v>
      </c>
      <c r="K925" s="1460"/>
      <c r="L925" s="1454">
        <v>13089021214</v>
      </c>
      <c r="M925" s="1455">
        <v>1</v>
      </c>
      <c r="N925" s="1455">
        <v>1</v>
      </c>
      <c r="O925" s="1455">
        <v>2</v>
      </c>
      <c r="AA925"/>
      <c r="AB925"/>
    </row>
    <row r="926" spans="3:28">
      <c r="C926" s="1461" t="s">
        <v>4708</v>
      </c>
      <c r="D926" s="1458">
        <v>1</v>
      </c>
      <c r="E926" s="1458">
        <v>1</v>
      </c>
      <c r="F926" s="1459">
        <v>2</v>
      </c>
      <c r="G926" s="1470" t="s">
        <v>4708</v>
      </c>
      <c r="H926" s="1456">
        <v>1</v>
      </c>
      <c r="I926" s="1456">
        <v>1</v>
      </c>
      <c r="J926" s="1471">
        <v>2</v>
      </c>
      <c r="K926" s="1460"/>
      <c r="L926" s="1454">
        <v>13089021215</v>
      </c>
      <c r="M926" s="1455">
        <v>1</v>
      </c>
      <c r="N926" s="1455">
        <v>1</v>
      </c>
      <c r="O926" s="1455">
        <v>2</v>
      </c>
      <c r="AA926"/>
      <c r="AB926"/>
    </row>
    <row r="927" spans="3:28">
      <c r="C927" s="1461" t="s">
        <v>4709</v>
      </c>
      <c r="D927" s="1458">
        <v>1</v>
      </c>
      <c r="E927" s="1458">
        <v>1</v>
      </c>
      <c r="F927" s="1459">
        <v>2</v>
      </c>
      <c r="G927" s="1470" t="s">
        <v>4709</v>
      </c>
      <c r="H927" s="1456">
        <v>1</v>
      </c>
      <c r="I927" s="1456">
        <v>1</v>
      </c>
      <c r="J927" s="1471">
        <v>2</v>
      </c>
      <c r="K927" s="1460"/>
      <c r="L927" s="1454">
        <v>13089021216</v>
      </c>
      <c r="M927" s="1455">
        <v>1</v>
      </c>
      <c r="N927" s="1455">
        <v>1</v>
      </c>
      <c r="O927" s="1455">
        <v>2</v>
      </c>
      <c r="AA927"/>
      <c r="AB927"/>
    </row>
    <row r="928" spans="3:28">
      <c r="C928" s="1461" t="s">
        <v>4710</v>
      </c>
      <c r="D928" s="1458">
        <v>1</v>
      </c>
      <c r="E928" s="1458">
        <v>1</v>
      </c>
      <c r="F928" s="1459">
        <v>2</v>
      </c>
      <c r="G928" s="1470" t="s">
        <v>4710</v>
      </c>
      <c r="H928" s="1456">
        <v>1</v>
      </c>
      <c r="I928" s="1456">
        <v>1</v>
      </c>
      <c r="J928" s="1471">
        <v>2</v>
      </c>
      <c r="K928" s="1460"/>
      <c r="L928" s="1454">
        <v>13089021217</v>
      </c>
      <c r="M928" s="1455">
        <v>1</v>
      </c>
      <c r="N928" s="1455">
        <v>1</v>
      </c>
      <c r="O928" s="1455">
        <v>2</v>
      </c>
      <c r="AA928"/>
      <c r="AB928"/>
    </row>
    <row r="929" spans="3:28">
      <c r="C929" s="1461" t="s">
        <v>4711</v>
      </c>
      <c r="D929" s="1458">
        <v>1</v>
      </c>
      <c r="E929" s="1458">
        <v>1</v>
      </c>
      <c r="F929" s="1459">
        <v>2</v>
      </c>
      <c r="G929" s="1470" t="s">
        <v>4711</v>
      </c>
      <c r="H929" s="1456">
        <v>1</v>
      </c>
      <c r="I929" s="1456">
        <v>1</v>
      </c>
      <c r="J929" s="1471">
        <v>2</v>
      </c>
      <c r="K929" s="1460"/>
      <c r="L929" s="1454">
        <v>13089021218</v>
      </c>
      <c r="M929" s="1455">
        <v>1</v>
      </c>
      <c r="N929" s="1455">
        <v>1</v>
      </c>
      <c r="O929" s="1455">
        <v>2</v>
      </c>
      <c r="AA929"/>
      <c r="AB929"/>
    </row>
    <row r="930" spans="3:28">
      <c r="C930" s="1461" t="s">
        <v>4712</v>
      </c>
      <c r="D930" s="1458">
        <v>0</v>
      </c>
      <c r="E930" s="1458">
        <v>0</v>
      </c>
      <c r="F930" s="1459">
        <v>0</v>
      </c>
      <c r="G930" s="1470" t="s">
        <v>4712</v>
      </c>
      <c r="H930" s="1456">
        <v>1</v>
      </c>
      <c r="I930" s="1456">
        <v>0</v>
      </c>
      <c r="J930" s="1471">
        <v>1</v>
      </c>
      <c r="K930" s="1460"/>
      <c r="L930" s="1454">
        <v>13089021301</v>
      </c>
      <c r="M930" s="1455">
        <v>1</v>
      </c>
      <c r="N930" s="1455">
        <v>0</v>
      </c>
      <c r="O930" s="1455">
        <v>1</v>
      </c>
      <c r="AA930"/>
      <c r="AB930"/>
    </row>
    <row r="931" spans="3:28">
      <c r="C931" s="1461" t="s">
        <v>4713</v>
      </c>
      <c r="D931" s="1458">
        <v>0</v>
      </c>
      <c r="E931" s="1458">
        <v>0</v>
      </c>
      <c r="F931" s="1459">
        <v>0</v>
      </c>
      <c r="G931" s="1470" t="s">
        <v>4713</v>
      </c>
      <c r="H931" s="1456">
        <v>0</v>
      </c>
      <c r="I931" s="1456">
        <v>0</v>
      </c>
      <c r="J931" s="1471">
        <v>0</v>
      </c>
      <c r="K931" s="1460"/>
      <c r="L931" s="1454">
        <v>13089021303</v>
      </c>
      <c r="M931" s="1455">
        <v>0</v>
      </c>
      <c r="N931" s="1455">
        <v>0</v>
      </c>
      <c r="O931" s="1455">
        <v>0</v>
      </c>
      <c r="AA931"/>
      <c r="AB931"/>
    </row>
    <row r="932" spans="3:28">
      <c r="C932" s="1461" t="s">
        <v>4714</v>
      </c>
      <c r="D932" s="1458">
        <v>0</v>
      </c>
      <c r="E932" s="1458">
        <v>0</v>
      </c>
      <c r="F932" s="1459">
        <v>0</v>
      </c>
      <c r="G932" s="1470" t="s">
        <v>4714</v>
      </c>
      <c r="H932" s="1456">
        <v>1</v>
      </c>
      <c r="I932" s="1456">
        <v>0</v>
      </c>
      <c r="J932" s="1471">
        <v>1</v>
      </c>
      <c r="K932" s="1460"/>
      <c r="L932" s="1454">
        <v>13089021305</v>
      </c>
      <c r="M932" s="1455">
        <v>1</v>
      </c>
      <c r="N932" s="1455">
        <v>0</v>
      </c>
      <c r="O932" s="1455">
        <v>1</v>
      </c>
      <c r="AA932"/>
      <c r="AB932"/>
    </row>
    <row r="933" spans="3:28">
      <c r="C933" s="1461" t="s">
        <v>4715</v>
      </c>
      <c r="D933" s="1458">
        <v>1</v>
      </c>
      <c r="E933" s="1458">
        <v>0</v>
      </c>
      <c r="F933" s="1459">
        <v>1</v>
      </c>
      <c r="G933" s="1470" t="s">
        <v>4715</v>
      </c>
      <c r="H933" s="1456">
        <v>1</v>
      </c>
      <c r="I933" s="1456">
        <v>0</v>
      </c>
      <c r="J933" s="1471">
        <v>1</v>
      </c>
      <c r="K933" s="1460"/>
      <c r="L933" s="1454">
        <v>13089021306</v>
      </c>
      <c r="M933" s="1455">
        <v>1</v>
      </c>
      <c r="N933" s="1455">
        <v>0</v>
      </c>
      <c r="O933" s="1455">
        <v>1</v>
      </c>
      <c r="AA933"/>
      <c r="AB933"/>
    </row>
    <row r="934" spans="3:28">
      <c r="C934" s="1461" t="s">
        <v>4716</v>
      </c>
      <c r="D934" s="1458">
        <v>0</v>
      </c>
      <c r="E934" s="1458">
        <v>0</v>
      </c>
      <c r="F934" s="1459">
        <v>0</v>
      </c>
      <c r="G934" s="1470" t="s">
        <v>4716</v>
      </c>
      <c r="H934" s="1456">
        <v>1</v>
      </c>
      <c r="I934" s="1456">
        <v>0</v>
      </c>
      <c r="J934" s="1471">
        <v>1</v>
      </c>
      <c r="K934" s="1460"/>
      <c r="L934" s="1454">
        <v>13089021307</v>
      </c>
      <c r="M934" s="1455">
        <v>1</v>
      </c>
      <c r="N934" s="1455">
        <v>0</v>
      </c>
      <c r="O934" s="1455">
        <v>1</v>
      </c>
      <c r="AA934"/>
      <c r="AB934"/>
    </row>
    <row r="935" spans="3:28">
      <c r="C935" s="1461" t="s">
        <v>4717</v>
      </c>
      <c r="D935" s="1458">
        <v>1</v>
      </c>
      <c r="E935" s="1458">
        <v>0</v>
      </c>
      <c r="F935" s="1459">
        <v>1</v>
      </c>
      <c r="G935" s="1470" t="s">
        <v>4717</v>
      </c>
      <c r="H935" s="1456">
        <v>1</v>
      </c>
      <c r="I935" s="1456">
        <v>0</v>
      </c>
      <c r="J935" s="1471">
        <v>1</v>
      </c>
      <c r="K935" s="1460"/>
      <c r="L935" s="1454">
        <v>13089021308</v>
      </c>
      <c r="M935" s="1455">
        <v>1</v>
      </c>
      <c r="N935" s="1455">
        <v>0</v>
      </c>
      <c r="O935" s="1455">
        <v>1</v>
      </c>
      <c r="AA935"/>
      <c r="AB935"/>
    </row>
    <row r="936" spans="3:28">
      <c r="C936" s="1461" t="s">
        <v>4718</v>
      </c>
      <c r="D936" s="1458">
        <v>1</v>
      </c>
      <c r="E936" s="1458">
        <v>1</v>
      </c>
      <c r="F936" s="1459">
        <v>2</v>
      </c>
      <c r="G936" s="1470" t="s">
        <v>4718</v>
      </c>
      <c r="H936" s="1456">
        <v>1</v>
      </c>
      <c r="I936" s="1456">
        <v>1</v>
      </c>
      <c r="J936" s="1471">
        <v>2</v>
      </c>
      <c r="K936" s="1460"/>
      <c r="L936" s="1454">
        <v>13089021405</v>
      </c>
      <c r="M936" s="1455">
        <v>1</v>
      </c>
      <c r="N936" s="1455">
        <v>1</v>
      </c>
      <c r="O936" s="1455">
        <v>2</v>
      </c>
      <c r="AA936"/>
      <c r="AB936"/>
    </row>
    <row r="937" spans="3:28">
      <c r="C937" s="1461" t="s">
        <v>4719</v>
      </c>
      <c r="D937" s="1458">
        <v>0</v>
      </c>
      <c r="E937" s="1458">
        <v>0</v>
      </c>
      <c r="F937" s="1459">
        <v>0</v>
      </c>
      <c r="G937" s="1470" t="s">
        <v>4719</v>
      </c>
      <c r="H937" s="1456">
        <v>1</v>
      </c>
      <c r="I937" s="1456" t="s">
        <v>3906</v>
      </c>
      <c r="J937" s="1471">
        <v>1</v>
      </c>
      <c r="K937" s="1460"/>
      <c r="L937" s="1454">
        <v>13089021409</v>
      </c>
      <c r="M937" s="1455">
        <v>1</v>
      </c>
      <c r="N937" s="1455">
        <v>0</v>
      </c>
      <c r="O937" s="1455">
        <v>1</v>
      </c>
      <c r="AA937"/>
      <c r="AB937"/>
    </row>
    <row r="938" spans="3:28">
      <c r="C938" s="1461" t="s">
        <v>4720</v>
      </c>
      <c r="D938" s="1458">
        <v>1</v>
      </c>
      <c r="E938" s="1458">
        <v>0</v>
      </c>
      <c r="F938" s="1459">
        <v>1</v>
      </c>
      <c r="G938" s="1470" t="s">
        <v>4720</v>
      </c>
      <c r="H938" s="1456">
        <v>1</v>
      </c>
      <c r="I938" s="1456" t="s">
        <v>3906</v>
      </c>
      <c r="J938" s="1471">
        <v>1</v>
      </c>
      <c r="K938" s="1460"/>
      <c r="L938" s="1454">
        <v>13089021410</v>
      </c>
      <c r="M938" s="1455">
        <v>1</v>
      </c>
      <c r="N938" s="1455">
        <v>0</v>
      </c>
      <c r="O938" s="1455">
        <v>1</v>
      </c>
      <c r="AA938"/>
      <c r="AB938"/>
    </row>
    <row r="939" spans="3:28">
      <c r="C939" s="1461" t="s">
        <v>4721</v>
      </c>
      <c r="D939" s="1458">
        <v>1</v>
      </c>
      <c r="E939" s="1458">
        <v>1</v>
      </c>
      <c r="F939" s="1459">
        <v>2</v>
      </c>
      <c r="G939" s="1470" t="s">
        <v>4721</v>
      </c>
      <c r="H939" s="1456">
        <v>1</v>
      </c>
      <c r="I939" s="1456">
        <v>1</v>
      </c>
      <c r="J939" s="1471">
        <v>2</v>
      </c>
      <c r="K939" s="1460"/>
      <c r="L939" s="1454">
        <v>13089021411</v>
      </c>
      <c r="M939" s="1455">
        <v>1</v>
      </c>
      <c r="N939" s="1455">
        <v>1</v>
      </c>
      <c r="O939" s="1455">
        <v>2</v>
      </c>
      <c r="AA939"/>
      <c r="AB939"/>
    </row>
    <row r="940" spans="3:28">
      <c r="C940" s="1461" t="s">
        <v>4722</v>
      </c>
      <c r="D940" s="1458">
        <v>1</v>
      </c>
      <c r="E940" s="1458">
        <v>1</v>
      </c>
      <c r="F940" s="1459">
        <v>2</v>
      </c>
      <c r="G940" s="1470" t="s">
        <v>4722</v>
      </c>
      <c r="H940" s="1456">
        <v>1</v>
      </c>
      <c r="I940" s="1456">
        <v>1</v>
      </c>
      <c r="J940" s="1471">
        <v>2</v>
      </c>
      <c r="K940" s="1460"/>
      <c r="L940" s="1454">
        <v>13089021412</v>
      </c>
      <c r="M940" s="1455">
        <v>1</v>
      </c>
      <c r="N940" s="1455">
        <v>1</v>
      </c>
      <c r="O940" s="1455">
        <v>2</v>
      </c>
      <c r="AA940"/>
      <c r="AB940"/>
    </row>
    <row r="941" spans="3:28">
      <c r="C941" s="1461" t="s">
        <v>4723</v>
      </c>
      <c r="D941" s="1458">
        <v>0</v>
      </c>
      <c r="E941" s="1458">
        <v>0</v>
      </c>
      <c r="F941" s="1459">
        <v>0</v>
      </c>
      <c r="G941" s="1470" t="s">
        <v>4723</v>
      </c>
      <c r="H941" s="1456">
        <v>1</v>
      </c>
      <c r="I941" s="1456">
        <v>0</v>
      </c>
      <c r="J941" s="1471">
        <v>1</v>
      </c>
      <c r="K941" s="1460"/>
      <c r="L941" s="1454">
        <v>13089021413</v>
      </c>
      <c r="M941" s="1455">
        <v>1</v>
      </c>
      <c r="N941" s="1455">
        <v>0</v>
      </c>
      <c r="O941" s="1455">
        <v>1</v>
      </c>
      <c r="AA941"/>
      <c r="AB941"/>
    </row>
    <row r="942" spans="3:28">
      <c r="C942" s="1461" t="s">
        <v>4724</v>
      </c>
      <c r="D942" s="1458">
        <v>1</v>
      </c>
      <c r="E942" s="1458">
        <v>0</v>
      </c>
      <c r="F942" s="1459">
        <v>1</v>
      </c>
      <c r="G942" s="1470" t="s">
        <v>4724</v>
      </c>
      <c r="H942" s="1456">
        <v>0</v>
      </c>
      <c r="I942" s="1456">
        <v>0</v>
      </c>
      <c r="J942" s="1471">
        <v>0</v>
      </c>
      <c r="K942" s="1460"/>
      <c r="L942" s="1454">
        <v>13089021414</v>
      </c>
      <c r="M942" s="1455">
        <v>1</v>
      </c>
      <c r="N942" s="1455">
        <v>0</v>
      </c>
      <c r="O942" s="1455">
        <v>1</v>
      </c>
      <c r="AA942"/>
      <c r="AB942"/>
    </row>
    <row r="943" spans="3:28">
      <c r="C943" s="1461" t="s">
        <v>4725</v>
      </c>
      <c r="D943" s="1458">
        <v>1</v>
      </c>
      <c r="E943" s="1458">
        <v>1</v>
      </c>
      <c r="F943" s="1459">
        <v>2</v>
      </c>
      <c r="G943" s="1470" t="s">
        <v>4725</v>
      </c>
      <c r="H943" s="1456">
        <v>1</v>
      </c>
      <c r="I943" s="1456" t="s">
        <v>3906</v>
      </c>
      <c r="J943" s="1471">
        <v>1</v>
      </c>
      <c r="K943" s="1460"/>
      <c r="L943" s="1454">
        <v>13089021415</v>
      </c>
      <c r="M943" s="1455">
        <v>1</v>
      </c>
      <c r="N943" s="1455">
        <v>1</v>
      </c>
      <c r="O943" s="1455">
        <v>2</v>
      </c>
      <c r="AA943"/>
      <c r="AB943"/>
    </row>
    <row r="944" spans="3:28">
      <c r="C944" s="1461" t="s">
        <v>4726</v>
      </c>
      <c r="D944" s="1458">
        <v>1</v>
      </c>
      <c r="E944" s="1458">
        <v>0</v>
      </c>
      <c r="F944" s="1459">
        <v>1</v>
      </c>
      <c r="G944" s="1470" t="s">
        <v>4726</v>
      </c>
      <c r="H944" s="1456">
        <v>1</v>
      </c>
      <c r="I944" s="1456">
        <v>0</v>
      </c>
      <c r="J944" s="1471">
        <v>1</v>
      </c>
      <c r="K944" s="1460"/>
      <c r="L944" s="1454">
        <v>13089021416</v>
      </c>
      <c r="M944" s="1455">
        <v>1</v>
      </c>
      <c r="N944" s="1455">
        <v>0</v>
      </c>
      <c r="O944" s="1455">
        <v>1</v>
      </c>
      <c r="AA944"/>
      <c r="AB944"/>
    </row>
    <row r="945" spans="3:28">
      <c r="C945" s="1461" t="s">
        <v>4727</v>
      </c>
      <c r="D945" s="1458">
        <v>0</v>
      </c>
      <c r="E945" s="1458">
        <v>0</v>
      </c>
      <c r="F945" s="1459">
        <v>0</v>
      </c>
      <c r="G945" s="1470" t="s">
        <v>4727</v>
      </c>
      <c r="H945" s="1456">
        <v>1</v>
      </c>
      <c r="I945" s="1456" t="s">
        <v>3906</v>
      </c>
      <c r="J945" s="1471">
        <v>1</v>
      </c>
      <c r="K945" s="1460"/>
      <c r="L945" s="1454">
        <v>13089021417</v>
      </c>
      <c r="M945" s="1455">
        <v>1</v>
      </c>
      <c r="N945" s="1455">
        <v>0</v>
      </c>
      <c r="O945" s="1455">
        <v>1</v>
      </c>
      <c r="AA945"/>
      <c r="AB945"/>
    </row>
    <row r="946" spans="3:28">
      <c r="C946" s="1461" t="s">
        <v>4728</v>
      </c>
      <c r="D946" s="1458">
        <v>1</v>
      </c>
      <c r="E946" s="1458">
        <v>1</v>
      </c>
      <c r="F946" s="1459">
        <v>2</v>
      </c>
      <c r="G946" s="1470" t="s">
        <v>4728</v>
      </c>
      <c r="H946" s="1456">
        <v>1</v>
      </c>
      <c r="I946" s="1456">
        <v>1</v>
      </c>
      <c r="J946" s="1471">
        <v>2</v>
      </c>
      <c r="K946" s="1460"/>
      <c r="L946" s="1454">
        <v>13089021502</v>
      </c>
      <c r="M946" s="1455">
        <v>1</v>
      </c>
      <c r="N946" s="1455">
        <v>1</v>
      </c>
      <c r="O946" s="1455">
        <v>2</v>
      </c>
      <c r="AA946"/>
      <c r="AB946"/>
    </row>
    <row r="947" spans="3:28">
      <c r="C947" s="1461" t="s">
        <v>4729</v>
      </c>
      <c r="D947" s="1458">
        <v>1</v>
      </c>
      <c r="E947" s="1458">
        <v>0</v>
      </c>
      <c r="F947" s="1459">
        <v>1</v>
      </c>
      <c r="G947" s="1470" t="s">
        <v>4729</v>
      </c>
      <c r="H947" s="1456">
        <v>1</v>
      </c>
      <c r="I947" s="1456">
        <v>1</v>
      </c>
      <c r="J947" s="1471">
        <v>2</v>
      </c>
      <c r="K947" s="1460"/>
      <c r="L947" s="1454">
        <v>13089021503</v>
      </c>
      <c r="M947" s="1455">
        <v>1</v>
      </c>
      <c r="N947" s="1455">
        <v>1</v>
      </c>
      <c r="O947" s="1455">
        <v>2</v>
      </c>
      <c r="AA947"/>
      <c r="AB947"/>
    </row>
    <row r="948" spans="3:28">
      <c r="C948" s="1461" t="s">
        <v>4730</v>
      </c>
      <c r="D948" s="1458">
        <v>1</v>
      </c>
      <c r="E948" s="1458">
        <v>1</v>
      </c>
      <c r="F948" s="1459">
        <v>2</v>
      </c>
      <c r="G948" s="1470" t="s">
        <v>4730</v>
      </c>
      <c r="H948" s="1456">
        <v>1</v>
      </c>
      <c r="I948" s="1456" t="s">
        <v>3906</v>
      </c>
      <c r="J948" s="1471">
        <v>1</v>
      </c>
      <c r="K948" s="1460"/>
      <c r="L948" s="1454">
        <v>13089021504</v>
      </c>
      <c r="M948" s="1455">
        <v>1</v>
      </c>
      <c r="N948" s="1455">
        <v>1</v>
      </c>
      <c r="O948" s="1455">
        <v>2</v>
      </c>
      <c r="AA948"/>
      <c r="AB948"/>
    </row>
    <row r="949" spans="3:28">
      <c r="C949" s="1461" t="s">
        <v>4731</v>
      </c>
      <c r="D949" s="1458">
        <v>1</v>
      </c>
      <c r="E949" s="1458">
        <v>1</v>
      </c>
      <c r="F949" s="1459">
        <v>2</v>
      </c>
      <c r="G949" s="1470" t="s">
        <v>4731</v>
      </c>
      <c r="H949" s="1456">
        <v>1</v>
      </c>
      <c r="I949" s="1456">
        <v>1</v>
      </c>
      <c r="J949" s="1471">
        <v>2</v>
      </c>
      <c r="K949" s="1460"/>
      <c r="L949" s="1454">
        <v>13089021602</v>
      </c>
      <c r="M949" s="1455">
        <v>1</v>
      </c>
      <c r="N949" s="1455">
        <v>1</v>
      </c>
      <c r="O949" s="1455">
        <v>2</v>
      </c>
      <c r="AA949"/>
      <c r="AB949"/>
    </row>
    <row r="950" spans="3:28">
      <c r="C950" s="1461" t="s">
        <v>4732</v>
      </c>
      <c r="D950" s="1458">
        <v>1</v>
      </c>
      <c r="E950" s="1458">
        <v>1</v>
      </c>
      <c r="F950" s="1459">
        <v>2</v>
      </c>
      <c r="G950" s="1470" t="s">
        <v>4732</v>
      </c>
      <c r="H950" s="1456">
        <v>1</v>
      </c>
      <c r="I950" s="1456">
        <v>1</v>
      </c>
      <c r="J950" s="1471">
        <v>2</v>
      </c>
      <c r="K950" s="1460"/>
      <c r="L950" s="1454">
        <v>13089021603</v>
      </c>
      <c r="M950" s="1455">
        <v>1</v>
      </c>
      <c r="N950" s="1455">
        <v>1</v>
      </c>
      <c r="O950" s="1455">
        <v>2</v>
      </c>
      <c r="AA950"/>
      <c r="AB950"/>
    </row>
    <row r="951" spans="3:28">
      <c r="C951" s="1461" t="s">
        <v>4733</v>
      </c>
      <c r="D951" s="1458">
        <v>1</v>
      </c>
      <c r="E951" s="1458">
        <v>1</v>
      </c>
      <c r="F951" s="1459">
        <v>2</v>
      </c>
      <c r="G951" s="1470" t="s">
        <v>4733</v>
      </c>
      <c r="H951" s="1456">
        <v>1</v>
      </c>
      <c r="I951" s="1456">
        <v>1</v>
      </c>
      <c r="J951" s="1471">
        <v>2</v>
      </c>
      <c r="K951" s="1460"/>
      <c r="L951" s="1454">
        <v>13089021604</v>
      </c>
      <c r="M951" s="1455">
        <v>1</v>
      </c>
      <c r="N951" s="1455">
        <v>1</v>
      </c>
      <c r="O951" s="1455">
        <v>2</v>
      </c>
      <c r="AA951"/>
      <c r="AB951"/>
    </row>
    <row r="952" spans="3:28">
      <c r="C952" s="1461" t="s">
        <v>4734</v>
      </c>
      <c r="D952" s="1458">
        <v>1</v>
      </c>
      <c r="E952" s="1458">
        <v>1</v>
      </c>
      <c r="F952" s="1459">
        <v>2</v>
      </c>
      <c r="G952" s="1470" t="s">
        <v>4734</v>
      </c>
      <c r="H952" s="1456">
        <v>1</v>
      </c>
      <c r="I952" s="1456">
        <v>1</v>
      </c>
      <c r="J952" s="1471">
        <v>2</v>
      </c>
      <c r="K952" s="1460"/>
      <c r="L952" s="1454">
        <v>13089021605</v>
      </c>
      <c r="M952" s="1455">
        <v>1</v>
      </c>
      <c r="N952" s="1455">
        <v>1</v>
      </c>
      <c r="O952" s="1455">
        <v>2</v>
      </c>
      <c r="AA952"/>
      <c r="AB952"/>
    </row>
    <row r="953" spans="3:28">
      <c r="C953" s="1461" t="s">
        <v>4735</v>
      </c>
      <c r="D953" s="1458">
        <v>1</v>
      </c>
      <c r="E953" s="1458">
        <v>1</v>
      </c>
      <c r="F953" s="1459">
        <v>2</v>
      </c>
      <c r="G953" s="1470" t="s">
        <v>4735</v>
      </c>
      <c r="H953" s="1456">
        <v>1</v>
      </c>
      <c r="I953" s="1456">
        <v>1</v>
      </c>
      <c r="J953" s="1471">
        <v>2</v>
      </c>
      <c r="K953" s="1460"/>
      <c r="L953" s="1454">
        <v>13089021703</v>
      </c>
      <c r="M953" s="1455">
        <v>1</v>
      </c>
      <c r="N953" s="1455">
        <v>1</v>
      </c>
      <c r="O953" s="1455">
        <v>2</v>
      </c>
      <c r="AA953"/>
      <c r="AB953"/>
    </row>
    <row r="954" spans="3:28">
      <c r="C954" s="1461" t="s">
        <v>4736</v>
      </c>
      <c r="D954" s="1458">
        <v>1</v>
      </c>
      <c r="E954" s="1458">
        <v>1</v>
      </c>
      <c r="F954" s="1459">
        <v>2</v>
      </c>
      <c r="G954" s="1470" t="s">
        <v>4736</v>
      </c>
      <c r="H954" s="1456">
        <v>1</v>
      </c>
      <c r="I954" s="1456">
        <v>1</v>
      </c>
      <c r="J954" s="1471">
        <v>2</v>
      </c>
      <c r="K954" s="1460"/>
      <c r="L954" s="1454">
        <v>13089021704</v>
      </c>
      <c r="M954" s="1455">
        <v>1</v>
      </c>
      <c r="N954" s="1455">
        <v>1</v>
      </c>
      <c r="O954" s="1455">
        <v>2</v>
      </c>
      <c r="AA954"/>
      <c r="AB954"/>
    </row>
    <row r="955" spans="3:28">
      <c r="C955" s="1461" t="s">
        <v>4737</v>
      </c>
      <c r="D955" s="1458">
        <v>1</v>
      </c>
      <c r="E955" s="1458">
        <v>0</v>
      </c>
      <c r="F955" s="1459">
        <v>1</v>
      </c>
      <c r="G955" s="1470" t="s">
        <v>4737</v>
      </c>
      <c r="H955" s="1456">
        <v>1</v>
      </c>
      <c r="I955" s="1456">
        <v>1</v>
      </c>
      <c r="J955" s="1471">
        <v>2</v>
      </c>
      <c r="K955" s="1460"/>
      <c r="L955" s="1454">
        <v>13089021705</v>
      </c>
      <c r="M955" s="1455">
        <v>1</v>
      </c>
      <c r="N955" s="1455">
        <v>1</v>
      </c>
      <c r="O955" s="1455">
        <v>2</v>
      </c>
      <c r="AA955"/>
      <c r="AB955"/>
    </row>
    <row r="956" spans="3:28">
      <c r="C956" s="1461" t="s">
        <v>4738</v>
      </c>
      <c r="D956" s="1458">
        <v>1</v>
      </c>
      <c r="E956" s="1458">
        <v>1</v>
      </c>
      <c r="F956" s="1459">
        <v>2</v>
      </c>
      <c r="G956" s="1470" t="s">
        <v>4738</v>
      </c>
      <c r="H956" s="1456">
        <v>1</v>
      </c>
      <c r="I956" s="1456">
        <v>1</v>
      </c>
      <c r="J956" s="1471">
        <v>2</v>
      </c>
      <c r="K956" s="1460"/>
      <c r="L956" s="1454">
        <v>13089021706</v>
      </c>
      <c r="M956" s="1455">
        <v>1</v>
      </c>
      <c r="N956" s="1455">
        <v>1</v>
      </c>
      <c r="O956" s="1455">
        <v>2</v>
      </c>
      <c r="AA956"/>
      <c r="AB956"/>
    </row>
    <row r="957" spans="3:28">
      <c r="C957" s="1461" t="s">
        <v>4739</v>
      </c>
      <c r="D957" s="1458">
        <v>1</v>
      </c>
      <c r="E957" s="1458">
        <v>0</v>
      </c>
      <c r="F957" s="1459">
        <v>1</v>
      </c>
      <c r="G957" s="1470" t="s">
        <v>4739</v>
      </c>
      <c r="H957" s="1456">
        <v>1</v>
      </c>
      <c r="I957" s="1456">
        <v>0</v>
      </c>
      <c r="J957" s="1471">
        <v>1</v>
      </c>
      <c r="K957" s="1460"/>
      <c r="L957" s="1454">
        <v>13089021805</v>
      </c>
      <c r="M957" s="1455">
        <v>1</v>
      </c>
      <c r="N957" s="1455">
        <v>0</v>
      </c>
      <c r="O957" s="1455">
        <v>1</v>
      </c>
      <c r="AA957"/>
      <c r="AB957"/>
    </row>
    <row r="958" spans="3:28">
      <c r="C958" s="1461" t="s">
        <v>4740</v>
      </c>
      <c r="D958" s="1458">
        <v>1</v>
      </c>
      <c r="E958" s="1458">
        <v>0</v>
      </c>
      <c r="F958" s="1459">
        <v>1</v>
      </c>
      <c r="G958" s="1470" t="s">
        <v>4740</v>
      </c>
      <c r="H958" s="1456">
        <v>1</v>
      </c>
      <c r="I958" s="1456">
        <v>0</v>
      </c>
      <c r="J958" s="1471">
        <v>1</v>
      </c>
      <c r="K958" s="1460"/>
      <c r="L958" s="1454">
        <v>13089021806</v>
      </c>
      <c r="M958" s="1455">
        <v>1</v>
      </c>
      <c r="N958" s="1455">
        <v>0</v>
      </c>
      <c r="O958" s="1455">
        <v>1</v>
      </c>
      <c r="AA958"/>
      <c r="AB958"/>
    </row>
    <row r="959" spans="3:28">
      <c r="C959" s="1461" t="s">
        <v>4741</v>
      </c>
      <c r="D959" s="1458">
        <v>1</v>
      </c>
      <c r="E959" s="1458">
        <v>1</v>
      </c>
      <c r="F959" s="1459">
        <v>2</v>
      </c>
      <c r="G959" s="1470" t="s">
        <v>4741</v>
      </c>
      <c r="H959" s="1456">
        <v>1</v>
      </c>
      <c r="I959" s="1456">
        <v>1</v>
      </c>
      <c r="J959" s="1471">
        <v>2</v>
      </c>
      <c r="K959" s="1460"/>
      <c r="L959" s="1454">
        <v>13089021808</v>
      </c>
      <c r="M959" s="1455">
        <v>1</v>
      </c>
      <c r="N959" s="1455">
        <v>1</v>
      </c>
      <c r="O959" s="1455">
        <v>2</v>
      </c>
      <c r="AA959"/>
      <c r="AB959"/>
    </row>
    <row r="960" spans="3:28">
      <c r="C960" s="1461" t="s">
        <v>4742</v>
      </c>
      <c r="D960" s="1458">
        <v>1</v>
      </c>
      <c r="E960" s="1458">
        <v>1</v>
      </c>
      <c r="F960" s="1459">
        <v>2</v>
      </c>
      <c r="G960" s="1470" t="s">
        <v>4742</v>
      </c>
      <c r="H960" s="1456">
        <v>1</v>
      </c>
      <c r="I960" s="1456">
        <v>1</v>
      </c>
      <c r="J960" s="1471">
        <v>2</v>
      </c>
      <c r="K960" s="1460"/>
      <c r="L960" s="1454">
        <v>13089021809</v>
      </c>
      <c r="M960" s="1455">
        <v>1</v>
      </c>
      <c r="N960" s="1455">
        <v>1</v>
      </c>
      <c r="O960" s="1455">
        <v>2</v>
      </c>
      <c r="AA960"/>
      <c r="AB960"/>
    </row>
    <row r="961" spans="3:28">
      <c r="C961" s="1461" t="s">
        <v>4743</v>
      </c>
      <c r="D961" s="1458">
        <v>1</v>
      </c>
      <c r="E961" s="1458">
        <v>1</v>
      </c>
      <c r="F961" s="1459">
        <v>2</v>
      </c>
      <c r="G961" s="1470" t="s">
        <v>4743</v>
      </c>
      <c r="H961" s="1456">
        <v>1</v>
      </c>
      <c r="I961" s="1456">
        <v>1</v>
      </c>
      <c r="J961" s="1471">
        <v>2</v>
      </c>
      <c r="K961" s="1460"/>
      <c r="L961" s="1454">
        <v>13089021810</v>
      </c>
      <c r="M961" s="1455">
        <v>1</v>
      </c>
      <c r="N961" s="1455">
        <v>1</v>
      </c>
      <c r="O961" s="1455">
        <v>2</v>
      </c>
      <c r="AA961"/>
      <c r="AB961"/>
    </row>
    <row r="962" spans="3:28">
      <c r="C962" s="1461" t="s">
        <v>4744</v>
      </c>
      <c r="D962" s="1458">
        <v>1</v>
      </c>
      <c r="E962" s="1458">
        <v>0</v>
      </c>
      <c r="F962" s="1459">
        <v>1</v>
      </c>
      <c r="G962" s="1470" t="s">
        <v>4744</v>
      </c>
      <c r="H962" s="1456">
        <v>1</v>
      </c>
      <c r="I962" s="1456">
        <v>1</v>
      </c>
      <c r="J962" s="1471">
        <v>2</v>
      </c>
      <c r="K962" s="1460"/>
      <c r="L962" s="1454">
        <v>13089021812</v>
      </c>
      <c r="M962" s="1455">
        <v>1</v>
      </c>
      <c r="N962" s="1455">
        <v>1</v>
      </c>
      <c r="O962" s="1455">
        <v>2</v>
      </c>
      <c r="AA962"/>
      <c r="AB962"/>
    </row>
    <row r="963" spans="3:28">
      <c r="C963" s="1461" t="s">
        <v>4745</v>
      </c>
      <c r="D963" s="1458">
        <v>0</v>
      </c>
      <c r="E963" s="1458">
        <v>0</v>
      </c>
      <c r="F963" s="1459">
        <v>0</v>
      </c>
      <c r="G963" s="1470" t="s">
        <v>4745</v>
      </c>
      <c r="H963" s="1456">
        <v>0</v>
      </c>
      <c r="I963" s="1456" t="s">
        <v>3906</v>
      </c>
      <c r="J963" s="1471">
        <v>0</v>
      </c>
      <c r="K963" s="1460"/>
      <c r="L963" s="1454">
        <v>13089021813</v>
      </c>
      <c r="M963" s="1455">
        <v>0</v>
      </c>
      <c r="N963" s="1455">
        <v>0</v>
      </c>
      <c r="O963" s="1455">
        <v>0</v>
      </c>
      <c r="AA963"/>
      <c r="AB963"/>
    </row>
    <row r="964" spans="3:28">
      <c r="C964" s="1461" t="s">
        <v>4746</v>
      </c>
      <c r="D964" s="1458">
        <v>0</v>
      </c>
      <c r="E964" s="1458">
        <v>0</v>
      </c>
      <c r="F964" s="1459">
        <v>0</v>
      </c>
      <c r="G964" s="1470" t="s">
        <v>4746</v>
      </c>
      <c r="H964" s="1456">
        <v>0</v>
      </c>
      <c r="I964" s="1456">
        <v>0</v>
      </c>
      <c r="J964" s="1471">
        <v>0</v>
      </c>
      <c r="K964" s="1460"/>
      <c r="L964" s="1454">
        <v>13089021814</v>
      </c>
      <c r="M964" s="1455">
        <v>0</v>
      </c>
      <c r="N964" s="1455">
        <v>0</v>
      </c>
      <c r="O964" s="1455">
        <v>0</v>
      </c>
      <c r="AA964"/>
      <c r="AB964"/>
    </row>
    <row r="965" spans="3:28">
      <c r="C965" s="1461" t="s">
        <v>4747</v>
      </c>
      <c r="D965" s="1458">
        <v>0</v>
      </c>
      <c r="E965" s="1458">
        <v>0</v>
      </c>
      <c r="F965" s="1459">
        <v>0</v>
      </c>
      <c r="G965" s="1470" t="s">
        <v>4747</v>
      </c>
      <c r="H965" s="1456">
        <v>0</v>
      </c>
      <c r="I965" s="1456">
        <v>0</v>
      </c>
      <c r="J965" s="1471">
        <v>0</v>
      </c>
      <c r="K965" s="1460"/>
      <c r="L965" s="1454">
        <v>13089021906</v>
      </c>
      <c r="M965" s="1455">
        <v>0</v>
      </c>
      <c r="N965" s="1455">
        <v>0</v>
      </c>
      <c r="O965" s="1455">
        <v>0</v>
      </c>
      <c r="AA965"/>
      <c r="AB965"/>
    </row>
    <row r="966" spans="3:28">
      <c r="C966" s="1461" t="s">
        <v>4748</v>
      </c>
      <c r="D966" s="1458">
        <v>0</v>
      </c>
      <c r="E966" s="1458">
        <v>0</v>
      </c>
      <c r="F966" s="1459">
        <v>0</v>
      </c>
      <c r="G966" s="1470" t="s">
        <v>4748</v>
      </c>
      <c r="H966" s="1456">
        <v>0</v>
      </c>
      <c r="I966" s="1456">
        <v>1</v>
      </c>
      <c r="J966" s="1471">
        <v>1</v>
      </c>
      <c r="K966" s="1460"/>
      <c r="L966" s="1454">
        <v>13089021907</v>
      </c>
      <c r="M966" s="1455">
        <v>0</v>
      </c>
      <c r="N966" s="1455">
        <v>1</v>
      </c>
      <c r="O966" s="1455">
        <v>1</v>
      </c>
      <c r="AA966"/>
      <c r="AB966"/>
    </row>
    <row r="967" spans="3:28">
      <c r="C967" s="1461" t="s">
        <v>4749</v>
      </c>
      <c r="D967" s="1458">
        <v>0</v>
      </c>
      <c r="E967" s="1458">
        <v>0</v>
      </c>
      <c r="F967" s="1459">
        <v>0</v>
      </c>
      <c r="G967" s="1470" t="s">
        <v>4749</v>
      </c>
      <c r="H967" s="1456">
        <v>0</v>
      </c>
      <c r="I967" s="1456">
        <v>0</v>
      </c>
      <c r="J967" s="1471">
        <v>0</v>
      </c>
      <c r="K967" s="1460"/>
      <c r="L967" s="1454">
        <v>13089021908</v>
      </c>
      <c r="M967" s="1455">
        <v>0</v>
      </c>
      <c r="N967" s="1455">
        <v>0</v>
      </c>
      <c r="O967" s="1455">
        <v>0</v>
      </c>
      <c r="AA967"/>
      <c r="AB967"/>
    </row>
    <row r="968" spans="3:28">
      <c r="C968" s="1461" t="s">
        <v>4750</v>
      </c>
      <c r="D968" s="1458">
        <v>0</v>
      </c>
      <c r="E968" s="1458">
        <v>0</v>
      </c>
      <c r="F968" s="1459">
        <v>0</v>
      </c>
      <c r="G968" s="1470" t="s">
        <v>4750</v>
      </c>
      <c r="H968" s="1456">
        <v>0</v>
      </c>
      <c r="I968" s="1456">
        <v>0</v>
      </c>
      <c r="J968" s="1471">
        <v>0</v>
      </c>
      <c r="K968" s="1460"/>
      <c r="L968" s="1454">
        <v>13089021909</v>
      </c>
      <c r="M968" s="1455">
        <v>0</v>
      </c>
      <c r="N968" s="1455">
        <v>0</v>
      </c>
      <c r="O968" s="1455">
        <v>0</v>
      </c>
      <c r="AA968"/>
      <c r="AB968"/>
    </row>
    <row r="969" spans="3:28">
      <c r="C969" s="1461" t="s">
        <v>4751</v>
      </c>
      <c r="D969" s="1458">
        <v>0</v>
      </c>
      <c r="E969" s="1458">
        <v>0</v>
      </c>
      <c r="F969" s="1459">
        <v>0</v>
      </c>
      <c r="G969" s="1470" t="s">
        <v>4751</v>
      </c>
      <c r="H969" s="1456">
        <v>0</v>
      </c>
      <c r="I969" s="1456">
        <v>0</v>
      </c>
      <c r="J969" s="1471">
        <v>0</v>
      </c>
      <c r="K969" s="1460"/>
      <c r="L969" s="1454">
        <v>13089021910</v>
      </c>
      <c r="M969" s="1455">
        <v>0</v>
      </c>
      <c r="N969" s="1455">
        <v>0</v>
      </c>
      <c r="O969" s="1455">
        <v>0</v>
      </c>
      <c r="AA969"/>
      <c r="AB969"/>
    </row>
    <row r="970" spans="3:28">
      <c r="C970" s="1461" t="s">
        <v>4752</v>
      </c>
      <c r="D970" s="1458">
        <v>0</v>
      </c>
      <c r="E970" s="1458">
        <v>0</v>
      </c>
      <c r="F970" s="1459">
        <v>0</v>
      </c>
      <c r="G970" s="1470" t="s">
        <v>4752</v>
      </c>
      <c r="H970" s="1456">
        <v>0</v>
      </c>
      <c r="I970" s="1456" t="s">
        <v>3906</v>
      </c>
      <c r="J970" s="1471">
        <v>0</v>
      </c>
      <c r="K970" s="1460"/>
      <c r="L970" s="1454">
        <v>13089021911</v>
      </c>
      <c r="M970" s="1455">
        <v>0</v>
      </c>
      <c r="N970" s="1455">
        <v>0</v>
      </c>
      <c r="O970" s="1455">
        <v>0</v>
      </c>
      <c r="AA970"/>
      <c r="AB970"/>
    </row>
    <row r="971" spans="3:28">
      <c r="C971" s="1461" t="s">
        <v>4753</v>
      </c>
      <c r="D971" s="1458">
        <v>1</v>
      </c>
      <c r="E971" s="1458">
        <v>1</v>
      </c>
      <c r="F971" s="1459">
        <v>2</v>
      </c>
      <c r="G971" s="1470" t="s">
        <v>4753</v>
      </c>
      <c r="H971" s="1456">
        <v>1</v>
      </c>
      <c r="I971" s="1456">
        <v>1</v>
      </c>
      <c r="J971" s="1471">
        <v>2</v>
      </c>
      <c r="K971" s="1460"/>
      <c r="L971" s="1454">
        <v>13089021912</v>
      </c>
      <c r="M971" s="1455">
        <v>1</v>
      </c>
      <c r="N971" s="1455">
        <v>1</v>
      </c>
      <c r="O971" s="1455">
        <v>2</v>
      </c>
      <c r="AA971"/>
      <c r="AB971"/>
    </row>
    <row r="972" spans="3:28">
      <c r="C972" s="1461" t="s">
        <v>4754</v>
      </c>
      <c r="D972" s="1458">
        <v>0</v>
      </c>
      <c r="E972" s="1458">
        <v>0</v>
      </c>
      <c r="F972" s="1459">
        <v>0</v>
      </c>
      <c r="G972" s="1470" t="s">
        <v>4754</v>
      </c>
      <c r="H972" s="1456">
        <v>0</v>
      </c>
      <c r="I972" s="1456">
        <v>0</v>
      </c>
      <c r="J972" s="1471">
        <v>0</v>
      </c>
      <c r="K972" s="1460"/>
      <c r="L972" s="1454">
        <v>13089021913</v>
      </c>
      <c r="M972" s="1455">
        <v>0</v>
      </c>
      <c r="N972" s="1455">
        <v>0</v>
      </c>
      <c r="O972" s="1455">
        <v>0</v>
      </c>
      <c r="AA972"/>
      <c r="AB972"/>
    </row>
    <row r="973" spans="3:28">
      <c r="C973" s="1461" t="s">
        <v>4755</v>
      </c>
      <c r="D973" s="1458">
        <v>1</v>
      </c>
      <c r="E973" s="1458">
        <v>1</v>
      </c>
      <c r="F973" s="1459">
        <v>2</v>
      </c>
      <c r="G973" s="1470" t="s">
        <v>4755</v>
      </c>
      <c r="H973" s="1456">
        <v>1</v>
      </c>
      <c r="I973" s="1456">
        <v>1</v>
      </c>
      <c r="J973" s="1471">
        <v>2</v>
      </c>
      <c r="K973" s="1460"/>
      <c r="L973" s="1454">
        <v>13089022001</v>
      </c>
      <c r="M973" s="1455">
        <v>1</v>
      </c>
      <c r="N973" s="1455">
        <v>1</v>
      </c>
      <c r="O973" s="1455">
        <v>2</v>
      </c>
      <c r="AA973"/>
      <c r="AB973"/>
    </row>
    <row r="974" spans="3:28">
      <c r="C974" s="1461" t="s">
        <v>4756</v>
      </c>
      <c r="D974" s="1458">
        <v>0</v>
      </c>
      <c r="E974" s="1458">
        <v>0</v>
      </c>
      <c r="F974" s="1459">
        <v>0</v>
      </c>
      <c r="G974" s="1470" t="s">
        <v>4756</v>
      </c>
      <c r="H974" s="1456">
        <v>0</v>
      </c>
      <c r="I974" s="1456">
        <v>1</v>
      </c>
      <c r="J974" s="1471">
        <v>1</v>
      </c>
      <c r="K974" s="1460"/>
      <c r="L974" s="1454">
        <v>13089022004</v>
      </c>
      <c r="M974" s="1455">
        <v>0</v>
      </c>
      <c r="N974" s="1455">
        <v>1</v>
      </c>
      <c r="O974" s="1455">
        <v>1</v>
      </c>
      <c r="AA974"/>
      <c r="AB974"/>
    </row>
    <row r="975" spans="3:28">
      <c r="C975" s="1461" t="s">
        <v>4757</v>
      </c>
      <c r="D975" s="1458">
        <v>0</v>
      </c>
      <c r="E975" s="1458">
        <v>0</v>
      </c>
      <c r="F975" s="1459">
        <v>0</v>
      </c>
      <c r="G975" s="1470" t="s">
        <v>4757</v>
      </c>
      <c r="H975" s="1456">
        <v>0</v>
      </c>
      <c r="I975" s="1456">
        <v>0</v>
      </c>
      <c r="J975" s="1471">
        <v>0</v>
      </c>
      <c r="K975" s="1460"/>
      <c r="L975" s="1454">
        <v>13089022005</v>
      </c>
      <c r="M975" s="1455">
        <v>0</v>
      </c>
      <c r="N975" s="1455">
        <v>0</v>
      </c>
      <c r="O975" s="1455">
        <v>0</v>
      </c>
      <c r="AA975"/>
      <c r="AB975"/>
    </row>
    <row r="976" spans="3:28">
      <c r="C976" s="1461" t="s">
        <v>4758</v>
      </c>
      <c r="D976" s="1458">
        <v>0</v>
      </c>
      <c r="E976" s="1458">
        <v>0</v>
      </c>
      <c r="F976" s="1459">
        <v>0</v>
      </c>
      <c r="G976" s="1470" t="s">
        <v>4758</v>
      </c>
      <c r="H976" s="1456">
        <v>0</v>
      </c>
      <c r="I976" s="1456">
        <v>0</v>
      </c>
      <c r="J976" s="1471">
        <v>0</v>
      </c>
      <c r="K976" s="1460"/>
      <c r="L976" s="1454">
        <v>13089022007</v>
      </c>
      <c r="M976" s="1455">
        <v>0</v>
      </c>
      <c r="N976" s="1455">
        <v>0</v>
      </c>
      <c r="O976" s="1455">
        <v>0</v>
      </c>
      <c r="AA976"/>
      <c r="AB976"/>
    </row>
    <row r="977" spans="3:28">
      <c r="C977" s="1461" t="s">
        <v>4759</v>
      </c>
      <c r="D977" s="1458">
        <v>0</v>
      </c>
      <c r="E977" s="1458">
        <v>0</v>
      </c>
      <c r="F977" s="1459">
        <v>0</v>
      </c>
      <c r="G977" s="1470" t="s">
        <v>4759</v>
      </c>
      <c r="H977" s="1456">
        <v>0</v>
      </c>
      <c r="I977" s="1456">
        <v>0</v>
      </c>
      <c r="J977" s="1471">
        <v>0</v>
      </c>
      <c r="K977" s="1460"/>
      <c r="L977" s="1454">
        <v>13089022008</v>
      </c>
      <c r="M977" s="1455">
        <v>0</v>
      </c>
      <c r="N977" s="1455">
        <v>0</v>
      </c>
      <c r="O977" s="1455">
        <v>0</v>
      </c>
      <c r="AA977"/>
      <c r="AB977"/>
    </row>
    <row r="978" spans="3:28">
      <c r="C978" s="1461" t="s">
        <v>4760</v>
      </c>
      <c r="D978" s="1458">
        <v>0</v>
      </c>
      <c r="E978" s="1458">
        <v>0</v>
      </c>
      <c r="F978" s="1459">
        <v>0</v>
      </c>
      <c r="G978" s="1470" t="s">
        <v>4760</v>
      </c>
      <c r="H978" s="1456">
        <v>0</v>
      </c>
      <c r="I978" s="1456" t="s">
        <v>3906</v>
      </c>
      <c r="J978" s="1471">
        <v>0</v>
      </c>
      <c r="K978" s="1460"/>
      <c r="L978" s="1454">
        <v>13089022009</v>
      </c>
      <c r="M978" s="1455">
        <v>0</v>
      </c>
      <c r="N978" s="1455">
        <v>0</v>
      </c>
      <c r="O978" s="1455">
        <v>0</v>
      </c>
      <c r="AA978"/>
      <c r="AB978"/>
    </row>
    <row r="979" spans="3:28">
      <c r="C979" s="1461" t="s">
        <v>4761</v>
      </c>
      <c r="D979" s="1458">
        <v>0</v>
      </c>
      <c r="E979" s="1458">
        <v>0</v>
      </c>
      <c r="F979" s="1459">
        <v>0</v>
      </c>
      <c r="G979" s="1470" t="s">
        <v>4761</v>
      </c>
      <c r="H979" s="1456">
        <v>0</v>
      </c>
      <c r="I979" s="1456">
        <v>0</v>
      </c>
      <c r="J979" s="1471">
        <v>0</v>
      </c>
      <c r="K979" s="1460"/>
      <c r="L979" s="1454">
        <v>13089022010</v>
      </c>
      <c r="M979" s="1455">
        <v>0</v>
      </c>
      <c r="N979" s="1455">
        <v>0</v>
      </c>
      <c r="O979" s="1455">
        <v>0</v>
      </c>
      <c r="AA979"/>
      <c r="AB979"/>
    </row>
    <row r="980" spans="3:28">
      <c r="C980" s="1461" t="s">
        <v>4762</v>
      </c>
      <c r="D980" s="1458">
        <v>0</v>
      </c>
      <c r="E980" s="1458">
        <v>0</v>
      </c>
      <c r="F980" s="1459">
        <v>0</v>
      </c>
      <c r="G980" s="1470" t="s">
        <v>4762</v>
      </c>
      <c r="H980" s="1456">
        <v>0</v>
      </c>
      <c r="I980" s="1456">
        <v>0</v>
      </c>
      <c r="J980" s="1471">
        <v>0</v>
      </c>
      <c r="K980" s="1460"/>
      <c r="L980" s="1454">
        <v>13089022100</v>
      </c>
      <c r="M980" s="1455">
        <v>0</v>
      </c>
      <c r="N980" s="1455">
        <v>0</v>
      </c>
      <c r="O980" s="1455">
        <v>0</v>
      </c>
      <c r="AA980"/>
      <c r="AB980"/>
    </row>
    <row r="981" spans="3:28">
      <c r="C981" s="1461" t="s">
        <v>4763</v>
      </c>
      <c r="D981" s="1458">
        <v>0</v>
      </c>
      <c r="E981" s="1458">
        <v>0</v>
      </c>
      <c r="F981" s="1459">
        <v>0</v>
      </c>
      <c r="G981" s="1470" t="s">
        <v>4763</v>
      </c>
      <c r="H981" s="1456">
        <v>1</v>
      </c>
      <c r="I981" s="1456">
        <v>0</v>
      </c>
      <c r="J981" s="1471">
        <v>1</v>
      </c>
      <c r="K981" s="1460"/>
      <c r="L981" s="1454">
        <v>13089022203</v>
      </c>
      <c r="M981" s="1455">
        <v>1</v>
      </c>
      <c r="N981" s="1455">
        <v>0</v>
      </c>
      <c r="O981" s="1455">
        <v>1</v>
      </c>
      <c r="AA981"/>
      <c r="AB981"/>
    </row>
    <row r="982" spans="3:28">
      <c r="C982" s="1461" t="s">
        <v>4764</v>
      </c>
      <c r="D982" s="1458">
        <v>0</v>
      </c>
      <c r="E982" s="1458">
        <v>0</v>
      </c>
      <c r="F982" s="1459">
        <v>0</v>
      </c>
      <c r="G982" s="1470" t="s">
        <v>4764</v>
      </c>
      <c r="H982" s="1456">
        <v>1</v>
      </c>
      <c r="I982" s="1456">
        <v>0</v>
      </c>
      <c r="J982" s="1471">
        <v>1</v>
      </c>
      <c r="K982" s="1460"/>
      <c r="L982" s="1454">
        <v>13089022204</v>
      </c>
      <c r="M982" s="1455">
        <v>1</v>
      </c>
      <c r="N982" s="1455">
        <v>0</v>
      </c>
      <c r="O982" s="1455">
        <v>1</v>
      </c>
      <c r="AA982"/>
      <c r="AB982"/>
    </row>
    <row r="983" spans="3:28">
      <c r="C983" s="1461" t="s">
        <v>4765</v>
      </c>
      <c r="D983" s="1458">
        <v>1</v>
      </c>
      <c r="E983" s="1458">
        <v>1</v>
      </c>
      <c r="F983" s="1459">
        <v>2</v>
      </c>
      <c r="G983" s="1470" t="s">
        <v>4765</v>
      </c>
      <c r="H983" s="1456">
        <v>1</v>
      </c>
      <c r="I983" s="1456">
        <v>1</v>
      </c>
      <c r="J983" s="1471">
        <v>2</v>
      </c>
      <c r="K983" s="1460"/>
      <c r="L983" s="1454">
        <v>13089022301</v>
      </c>
      <c r="M983" s="1455">
        <v>1</v>
      </c>
      <c r="N983" s="1455">
        <v>1</v>
      </c>
      <c r="O983" s="1455">
        <v>2</v>
      </c>
      <c r="AA983"/>
      <c r="AB983"/>
    </row>
    <row r="984" spans="3:28">
      <c r="C984" s="1461" t="s">
        <v>4766</v>
      </c>
      <c r="D984" s="1458">
        <v>1</v>
      </c>
      <c r="E984" s="1458">
        <v>1</v>
      </c>
      <c r="F984" s="1459">
        <v>2</v>
      </c>
      <c r="G984" s="1470" t="s">
        <v>4766</v>
      </c>
      <c r="H984" s="1456">
        <v>1</v>
      </c>
      <c r="I984" s="1456">
        <v>1</v>
      </c>
      <c r="J984" s="1471">
        <v>2</v>
      </c>
      <c r="K984" s="1460"/>
      <c r="L984" s="1454">
        <v>13089022302</v>
      </c>
      <c r="M984" s="1455">
        <v>1</v>
      </c>
      <c r="N984" s="1455">
        <v>1</v>
      </c>
      <c r="O984" s="1455">
        <v>2</v>
      </c>
      <c r="AA984"/>
      <c r="AB984"/>
    </row>
    <row r="985" spans="3:28">
      <c r="C985" s="1461" t="s">
        <v>4767</v>
      </c>
      <c r="D985" s="1458">
        <v>1</v>
      </c>
      <c r="E985" s="1458">
        <v>1</v>
      </c>
      <c r="F985" s="1459">
        <v>2</v>
      </c>
      <c r="G985" s="1470" t="s">
        <v>4767</v>
      </c>
      <c r="H985" s="1456">
        <v>1</v>
      </c>
      <c r="I985" s="1456">
        <v>1</v>
      </c>
      <c r="J985" s="1471">
        <v>2</v>
      </c>
      <c r="K985" s="1460"/>
      <c r="L985" s="1454">
        <v>13089022401</v>
      </c>
      <c r="M985" s="1455">
        <v>1</v>
      </c>
      <c r="N985" s="1455">
        <v>1</v>
      </c>
      <c r="O985" s="1455">
        <v>2</v>
      </c>
      <c r="AA985"/>
      <c r="AB985"/>
    </row>
    <row r="986" spans="3:28">
      <c r="C986" s="1461" t="s">
        <v>4768</v>
      </c>
      <c r="D986" s="1458">
        <v>0</v>
      </c>
      <c r="E986" s="1458">
        <v>0</v>
      </c>
      <c r="F986" s="1459">
        <v>0</v>
      </c>
      <c r="G986" s="1470" t="s">
        <v>4768</v>
      </c>
      <c r="H986" s="1456">
        <v>0</v>
      </c>
      <c r="I986" s="1456" t="s">
        <v>3906</v>
      </c>
      <c r="J986" s="1471">
        <v>0</v>
      </c>
      <c r="K986" s="1460"/>
      <c r="L986" s="1454">
        <v>13089022402</v>
      </c>
      <c r="M986" s="1455">
        <v>0</v>
      </c>
      <c r="N986" s="1455">
        <v>0</v>
      </c>
      <c r="O986" s="1455">
        <v>0</v>
      </c>
      <c r="AA986"/>
      <c r="AB986"/>
    </row>
    <row r="987" spans="3:28">
      <c r="C987" s="1461" t="s">
        <v>4769</v>
      </c>
      <c r="D987" s="1458">
        <v>1</v>
      </c>
      <c r="E987" s="1458">
        <v>1</v>
      </c>
      <c r="F987" s="1459">
        <v>2</v>
      </c>
      <c r="G987" s="1470" t="s">
        <v>4769</v>
      </c>
      <c r="H987" s="1456">
        <v>1</v>
      </c>
      <c r="I987" s="1456">
        <v>1</v>
      </c>
      <c r="J987" s="1471">
        <v>2</v>
      </c>
      <c r="K987" s="1460"/>
      <c r="L987" s="1454">
        <v>13089022403</v>
      </c>
      <c r="M987" s="1455">
        <v>1</v>
      </c>
      <c r="N987" s="1455">
        <v>1</v>
      </c>
      <c r="O987" s="1455">
        <v>2</v>
      </c>
      <c r="AA987"/>
      <c r="AB987"/>
    </row>
    <row r="988" spans="3:28">
      <c r="C988" s="1461" t="s">
        <v>4770</v>
      </c>
      <c r="D988" s="1458">
        <v>1</v>
      </c>
      <c r="E988" s="1458">
        <v>1</v>
      </c>
      <c r="F988" s="1459">
        <v>2</v>
      </c>
      <c r="G988" s="1470" t="s">
        <v>4770</v>
      </c>
      <c r="H988" s="1456">
        <v>1</v>
      </c>
      <c r="I988" s="1456">
        <v>1</v>
      </c>
      <c r="J988" s="1471">
        <v>2</v>
      </c>
      <c r="K988" s="1460"/>
      <c r="L988" s="1454">
        <v>13089022500</v>
      </c>
      <c r="M988" s="1455">
        <v>1</v>
      </c>
      <c r="N988" s="1455">
        <v>1</v>
      </c>
      <c r="O988" s="1455">
        <v>2</v>
      </c>
      <c r="AA988"/>
      <c r="AB988"/>
    </row>
    <row r="989" spans="3:28">
      <c r="C989" s="1461" t="s">
        <v>4771</v>
      </c>
      <c r="D989" s="1458">
        <v>1</v>
      </c>
      <c r="E989" s="1458">
        <v>1</v>
      </c>
      <c r="F989" s="1459">
        <v>2</v>
      </c>
      <c r="G989" s="1470" t="s">
        <v>4771</v>
      </c>
      <c r="H989" s="1456">
        <v>1</v>
      </c>
      <c r="I989" s="1456">
        <v>1</v>
      </c>
      <c r="J989" s="1471">
        <v>2</v>
      </c>
      <c r="K989" s="1460"/>
      <c r="L989" s="1454">
        <v>13089022600</v>
      </c>
      <c r="M989" s="1455">
        <v>1</v>
      </c>
      <c r="N989" s="1455">
        <v>1</v>
      </c>
      <c r="O989" s="1455">
        <v>2</v>
      </c>
      <c r="AA989"/>
      <c r="AB989"/>
    </row>
    <row r="990" spans="3:28">
      <c r="C990" s="1461" t="s">
        <v>4772</v>
      </c>
      <c r="D990" s="1458">
        <v>1</v>
      </c>
      <c r="E990" s="1458">
        <v>1</v>
      </c>
      <c r="F990" s="1459">
        <v>2</v>
      </c>
      <c r="G990" s="1470" t="s">
        <v>4772</v>
      </c>
      <c r="H990" s="1456">
        <v>1</v>
      </c>
      <c r="I990" s="1456">
        <v>1</v>
      </c>
      <c r="J990" s="1471">
        <v>2</v>
      </c>
      <c r="K990" s="1460"/>
      <c r="L990" s="1454">
        <v>13089022700</v>
      </c>
      <c r="M990" s="1455">
        <v>1</v>
      </c>
      <c r="N990" s="1455">
        <v>1</v>
      </c>
      <c r="O990" s="1455">
        <v>2</v>
      </c>
      <c r="AA990"/>
      <c r="AB990"/>
    </row>
    <row r="991" spans="3:28">
      <c r="C991" s="1461" t="s">
        <v>4773</v>
      </c>
      <c r="D991" s="1458">
        <v>1</v>
      </c>
      <c r="E991" s="1458">
        <v>1</v>
      </c>
      <c r="F991" s="1459">
        <v>2</v>
      </c>
      <c r="G991" s="1470" t="s">
        <v>4773</v>
      </c>
      <c r="H991" s="1456">
        <v>1</v>
      </c>
      <c r="I991" s="1456">
        <v>1</v>
      </c>
      <c r="J991" s="1471">
        <v>2</v>
      </c>
      <c r="K991" s="1460"/>
      <c r="L991" s="1454">
        <v>13089022800</v>
      </c>
      <c r="M991" s="1455">
        <v>1</v>
      </c>
      <c r="N991" s="1455">
        <v>1</v>
      </c>
      <c r="O991" s="1455">
        <v>2</v>
      </c>
      <c r="AA991"/>
      <c r="AB991"/>
    </row>
    <row r="992" spans="3:28">
      <c r="C992" s="1461" t="s">
        <v>4774</v>
      </c>
      <c r="D992" s="1458">
        <v>1</v>
      </c>
      <c r="E992" s="1458">
        <v>1</v>
      </c>
      <c r="F992" s="1459">
        <v>2</v>
      </c>
      <c r="G992" s="1470" t="s">
        <v>4774</v>
      </c>
      <c r="H992" s="1456">
        <v>1</v>
      </c>
      <c r="I992" s="1456">
        <v>1</v>
      </c>
      <c r="J992" s="1471">
        <v>2</v>
      </c>
      <c r="K992" s="1460"/>
      <c r="L992" s="1454">
        <v>13089022900</v>
      </c>
      <c r="M992" s="1455">
        <v>1</v>
      </c>
      <c r="N992" s="1455">
        <v>1</v>
      </c>
      <c r="O992" s="1455">
        <v>2</v>
      </c>
      <c r="AA992"/>
      <c r="AB992"/>
    </row>
    <row r="993" spans="3:28">
      <c r="C993" s="1461" t="s">
        <v>4775</v>
      </c>
      <c r="D993" s="1458">
        <v>1</v>
      </c>
      <c r="E993" s="1458">
        <v>1</v>
      </c>
      <c r="F993" s="1459">
        <v>2</v>
      </c>
      <c r="G993" s="1470" t="s">
        <v>4775</v>
      </c>
      <c r="H993" s="1456">
        <v>1</v>
      </c>
      <c r="I993" s="1456">
        <v>1</v>
      </c>
      <c r="J993" s="1471">
        <v>2</v>
      </c>
      <c r="K993" s="1460"/>
      <c r="L993" s="1454">
        <v>13089023000</v>
      </c>
      <c r="M993" s="1455">
        <v>1</v>
      </c>
      <c r="N993" s="1455">
        <v>1</v>
      </c>
      <c r="O993" s="1455">
        <v>2</v>
      </c>
      <c r="AA993"/>
      <c r="AB993"/>
    </row>
    <row r="994" spans="3:28">
      <c r="C994" s="1461" t="s">
        <v>4776</v>
      </c>
      <c r="D994" s="1458">
        <v>0</v>
      </c>
      <c r="E994" s="1458">
        <v>0</v>
      </c>
      <c r="F994" s="1459">
        <v>0</v>
      </c>
      <c r="G994" s="1470" t="s">
        <v>4776</v>
      </c>
      <c r="H994" s="1456">
        <v>0</v>
      </c>
      <c r="I994" s="1456">
        <v>0</v>
      </c>
      <c r="J994" s="1471">
        <v>0</v>
      </c>
      <c r="K994" s="1460"/>
      <c r="L994" s="1454">
        <v>13089023101</v>
      </c>
      <c r="M994" s="1455">
        <v>0</v>
      </c>
      <c r="N994" s="1455">
        <v>0</v>
      </c>
      <c r="O994" s="1455">
        <v>0</v>
      </c>
      <c r="AA994"/>
      <c r="AB994"/>
    </row>
    <row r="995" spans="3:28">
      <c r="C995" s="1461" t="s">
        <v>4777</v>
      </c>
      <c r="D995" s="1458">
        <v>0</v>
      </c>
      <c r="E995" s="1458">
        <v>0</v>
      </c>
      <c r="F995" s="1459">
        <v>0</v>
      </c>
      <c r="G995" s="1470" t="s">
        <v>4777</v>
      </c>
      <c r="H995" s="1456">
        <v>1</v>
      </c>
      <c r="I995" s="1456">
        <v>0</v>
      </c>
      <c r="J995" s="1471">
        <v>1</v>
      </c>
      <c r="K995" s="1460"/>
      <c r="L995" s="1454">
        <v>13089023102</v>
      </c>
      <c r="M995" s="1455">
        <v>1</v>
      </c>
      <c r="N995" s="1455">
        <v>0</v>
      </c>
      <c r="O995" s="1455">
        <v>1</v>
      </c>
      <c r="AA995"/>
      <c r="AB995"/>
    </row>
    <row r="996" spans="3:28">
      <c r="C996" s="1461" t="s">
        <v>4778</v>
      </c>
      <c r="D996" s="1458">
        <v>0</v>
      </c>
      <c r="E996" s="1458">
        <v>0</v>
      </c>
      <c r="F996" s="1459">
        <v>0</v>
      </c>
      <c r="G996" s="1470" t="s">
        <v>4778</v>
      </c>
      <c r="H996" s="1456">
        <v>0</v>
      </c>
      <c r="I996" s="1456">
        <v>0</v>
      </c>
      <c r="J996" s="1471">
        <v>0</v>
      </c>
      <c r="K996" s="1460"/>
      <c r="L996" s="1454">
        <v>13089023107</v>
      </c>
      <c r="M996" s="1455">
        <v>0</v>
      </c>
      <c r="N996" s="1455">
        <v>0</v>
      </c>
      <c r="O996" s="1455">
        <v>0</v>
      </c>
      <c r="AA996"/>
      <c r="AB996"/>
    </row>
    <row r="997" spans="3:28">
      <c r="C997" s="1461" t="s">
        <v>4779</v>
      </c>
      <c r="D997" s="1458">
        <v>0</v>
      </c>
      <c r="E997" s="1458">
        <v>0</v>
      </c>
      <c r="F997" s="1459">
        <v>0</v>
      </c>
      <c r="G997" s="1470" t="s">
        <v>4779</v>
      </c>
      <c r="H997" s="1456">
        <v>0</v>
      </c>
      <c r="I997" s="1456">
        <v>0</v>
      </c>
      <c r="J997" s="1471">
        <v>0</v>
      </c>
      <c r="K997" s="1460"/>
      <c r="L997" s="1454">
        <v>13089023108</v>
      </c>
      <c r="M997" s="1455">
        <v>0</v>
      </c>
      <c r="N997" s="1455">
        <v>0</v>
      </c>
      <c r="O997" s="1455">
        <v>0</v>
      </c>
      <c r="AA997"/>
      <c r="AB997"/>
    </row>
    <row r="998" spans="3:28">
      <c r="C998" s="1461" t="s">
        <v>4780</v>
      </c>
      <c r="D998" s="1458">
        <v>0</v>
      </c>
      <c r="E998" s="1458">
        <v>0</v>
      </c>
      <c r="F998" s="1459">
        <v>0</v>
      </c>
      <c r="G998" s="1470" t="s">
        <v>4780</v>
      </c>
      <c r="H998" s="1456">
        <v>0</v>
      </c>
      <c r="I998" s="1456">
        <v>0</v>
      </c>
      <c r="J998" s="1471">
        <v>0</v>
      </c>
      <c r="K998" s="1460"/>
      <c r="L998" s="1454">
        <v>13089023111</v>
      </c>
      <c r="M998" s="1455">
        <v>0</v>
      </c>
      <c r="N998" s="1455">
        <v>0</v>
      </c>
      <c r="O998" s="1455">
        <v>0</v>
      </c>
      <c r="AA998"/>
      <c r="AB998"/>
    </row>
    <row r="999" spans="3:28">
      <c r="C999" s="1461" t="s">
        <v>4781</v>
      </c>
      <c r="D999" s="1458">
        <v>0</v>
      </c>
      <c r="E999" s="1458">
        <v>0</v>
      </c>
      <c r="F999" s="1459">
        <v>0</v>
      </c>
      <c r="G999" s="1470" t="s">
        <v>4781</v>
      </c>
      <c r="H999" s="1456">
        <v>0</v>
      </c>
      <c r="I999" s="1456" t="s">
        <v>3906</v>
      </c>
      <c r="J999" s="1471">
        <v>0</v>
      </c>
      <c r="K999" s="1460"/>
      <c r="L999" s="1454">
        <v>13089023112</v>
      </c>
      <c r="M999" s="1455">
        <v>0</v>
      </c>
      <c r="N999" s="1455">
        <v>0</v>
      </c>
      <c r="O999" s="1455">
        <v>0</v>
      </c>
      <c r="AA999"/>
      <c r="AB999"/>
    </row>
    <row r="1000" spans="3:28">
      <c r="C1000" s="1461" t="s">
        <v>4782</v>
      </c>
      <c r="D1000" s="1458">
        <v>0</v>
      </c>
      <c r="E1000" s="1458">
        <v>0</v>
      </c>
      <c r="F1000" s="1459">
        <v>0</v>
      </c>
      <c r="G1000" s="1470" t="s">
        <v>4782</v>
      </c>
      <c r="H1000" s="1456">
        <v>0</v>
      </c>
      <c r="I1000" s="1456">
        <v>0</v>
      </c>
      <c r="J1000" s="1471">
        <v>0</v>
      </c>
      <c r="K1000" s="1460"/>
      <c r="L1000" s="1454">
        <v>13089023113</v>
      </c>
      <c r="M1000" s="1455">
        <v>0</v>
      </c>
      <c r="N1000" s="1455">
        <v>0</v>
      </c>
      <c r="O1000" s="1455">
        <v>0</v>
      </c>
      <c r="AA1000"/>
      <c r="AB1000"/>
    </row>
    <row r="1001" spans="3:28">
      <c r="C1001" s="1461" t="s">
        <v>4783</v>
      </c>
      <c r="D1001" s="1458">
        <v>0</v>
      </c>
      <c r="E1001" s="1458">
        <v>0</v>
      </c>
      <c r="F1001" s="1459">
        <v>0</v>
      </c>
      <c r="G1001" s="1470" t="s">
        <v>4783</v>
      </c>
      <c r="H1001" s="1456">
        <v>0</v>
      </c>
      <c r="I1001" s="1456">
        <v>0</v>
      </c>
      <c r="J1001" s="1471">
        <v>0</v>
      </c>
      <c r="K1001" s="1460"/>
      <c r="L1001" s="1454">
        <v>13089023114</v>
      </c>
      <c r="M1001" s="1455">
        <v>0</v>
      </c>
      <c r="N1001" s="1455">
        <v>0</v>
      </c>
      <c r="O1001" s="1455">
        <v>0</v>
      </c>
      <c r="AA1001"/>
      <c r="AB1001"/>
    </row>
    <row r="1002" spans="3:28">
      <c r="C1002" s="1461" t="s">
        <v>4784</v>
      </c>
      <c r="D1002" s="1458" t="s">
        <v>3906</v>
      </c>
      <c r="E1002" s="1458" t="s">
        <v>3906</v>
      </c>
      <c r="F1002" s="1459">
        <v>0</v>
      </c>
      <c r="G1002" s="1470" t="s">
        <v>4784</v>
      </c>
      <c r="H1002" s="1456" t="s">
        <v>3906</v>
      </c>
      <c r="I1002" s="1456" t="s">
        <v>3906</v>
      </c>
      <c r="J1002" s="1471">
        <v>0</v>
      </c>
      <c r="K1002" s="1460"/>
      <c r="L1002" s="1454">
        <v>13089023115</v>
      </c>
      <c r="M1002" s="1455">
        <v>0</v>
      </c>
      <c r="N1002" s="1455">
        <v>0</v>
      </c>
      <c r="O1002" s="1455">
        <v>0</v>
      </c>
      <c r="AA1002"/>
      <c r="AB1002"/>
    </row>
    <row r="1003" spans="3:28">
      <c r="C1003" s="1461" t="s">
        <v>4785</v>
      </c>
      <c r="D1003" s="1458">
        <v>0</v>
      </c>
      <c r="E1003" s="1458">
        <v>0</v>
      </c>
      <c r="F1003" s="1459">
        <v>0</v>
      </c>
      <c r="G1003" s="1470" t="s">
        <v>4785</v>
      </c>
      <c r="H1003" s="1456">
        <v>0</v>
      </c>
      <c r="I1003" s="1456">
        <v>0</v>
      </c>
      <c r="J1003" s="1471">
        <v>0</v>
      </c>
      <c r="K1003" s="1460"/>
      <c r="L1003" s="1454">
        <v>13089023204</v>
      </c>
      <c r="M1003" s="1455">
        <v>0</v>
      </c>
      <c r="N1003" s="1455">
        <v>0</v>
      </c>
      <c r="O1003" s="1455">
        <v>0</v>
      </c>
      <c r="AA1003"/>
      <c r="AB1003"/>
    </row>
    <row r="1004" spans="3:28">
      <c r="C1004" s="1461" t="s">
        <v>4786</v>
      </c>
      <c r="D1004" s="1458">
        <v>0</v>
      </c>
      <c r="E1004" s="1458">
        <v>0</v>
      </c>
      <c r="F1004" s="1459">
        <v>0</v>
      </c>
      <c r="G1004" s="1470" t="s">
        <v>4786</v>
      </c>
      <c r="H1004" s="1456">
        <v>0</v>
      </c>
      <c r="I1004" s="1456">
        <v>1</v>
      </c>
      <c r="J1004" s="1471">
        <v>1</v>
      </c>
      <c r="K1004" s="1460"/>
      <c r="L1004" s="1454">
        <v>13089023206</v>
      </c>
      <c r="M1004" s="1455">
        <v>0</v>
      </c>
      <c r="N1004" s="1455">
        <v>1</v>
      </c>
      <c r="O1004" s="1455">
        <v>1</v>
      </c>
      <c r="AA1004"/>
      <c r="AB1004"/>
    </row>
    <row r="1005" spans="3:28">
      <c r="C1005" s="1461" t="s">
        <v>4787</v>
      </c>
      <c r="D1005" s="1458">
        <v>0</v>
      </c>
      <c r="E1005" s="1458">
        <v>0</v>
      </c>
      <c r="F1005" s="1459">
        <v>0</v>
      </c>
      <c r="G1005" s="1470" t="s">
        <v>4787</v>
      </c>
      <c r="H1005" s="1456">
        <v>0</v>
      </c>
      <c r="I1005" s="1456">
        <v>0</v>
      </c>
      <c r="J1005" s="1471">
        <v>0</v>
      </c>
      <c r="K1005" s="1460"/>
      <c r="L1005" s="1454">
        <v>13089023208</v>
      </c>
      <c r="M1005" s="1455">
        <v>0</v>
      </c>
      <c r="N1005" s="1455">
        <v>0</v>
      </c>
      <c r="O1005" s="1455">
        <v>0</v>
      </c>
      <c r="AA1005"/>
      <c r="AB1005"/>
    </row>
    <row r="1006" spans="3:28">
      <c r="C1006" s="1461" t="s">
        <v>4788</v>
      </c>
      <c r="D1006" s="1458">
        <v>0</v>
      </c>
      <c r="E1006" s="1458">
        <v>0</v>
      </c>
      <c r="F1006" s="1459">
        <v>0</v>
      </c>
      <c r="G1006" s="1470" t="s">
        <v>4788</v>
      </c>
      <c r="H1006" s="1456">
        <v>0</v>
      </c>
      <c r="I1006" s="1456">
        <v>0</v>
      </c>
      <c r="J1006" s="1471">
        <v>0</v>
      </c>
      <c r="K1006" s="1460"/>
      <c r="L1006" s="1454">
        <v>13089023209</v>
      </c>
      <c r="M1006" s="1455">
        <v>0</v>
      </c>
      <c r="N1006" s="1455">
        <v>0</v>
      </c>
      <c r="O1006" s="1455">
        <v>0</v>
      </c>
      <c r="AA1006"/>
      <c r="AB1006"/>
    </row>
    <row r="1007" spans="3:28">
      <c r="C1007" s="1461" t="s">
        <v>4789</v>
      </c>
      <c r="D1007" s="1458">
        <v>0</v>
      </c>
      <c r="E1007" s="1458">
        <v>0</v>
      </c>
      <c r="F1007" s="1459">
        <v>0</v>
      </c>
      <c r="G1007" s="1470" t="s">
        <v>4789</v>
      </c>
      <c r="H1007" s="1456">
        <v>0</v>
      </c>
      <c r="I1007" s="1456">
        <v>0</v>
      </c>
      <c r="J1007" s="1471">
        <v>0</v>
      </c>
      <c r="K1007" s="1460"/>
      <c r="L1007" s="1454">
        <v>13089023210</v>
      </c>
      <c r="M1007" s="1455">
        <v>0</v>
      </c>
      <c r="N1007" s="1455">
        <v>0</v>
      </c>
      <c r="O1007" s="1455">
        <v>0</v>
      </c>
      <c r="AA1007"/>
      <c r="AB1007"/>
    </row>
    <row r="1008" spans="3:28">
      <c r="C1008" s="1461" t="s">
        <v>4790</v>
      </c>
      <c r="D1008" s="1458">
        <v>0</v>
      </c>
      <c r="E1008" s="1458">
        <v>0</v>
      </c>
      <c r="F1008" s="1459">
        <v>0</v>
      </c>
      <c r="G1008" s="1470" t="s">
        <v>4790</v>
      </c>
      <c r="H1008" s="1456">
        <v>0</v>
      </c>
      <c r="I1008" s="1456">
        <v>0</v>
      </c>
      <c r="J1008" s="1471">
        <v>0</v>
      </c>
      <c r="K1008" s="1460"/>
      <c r="L1008" s="1454">
        <v>13089023211</v>
      </c>
      <c r="M1008" s="1455">
        <v>0</v>
      </c>
      <c r="N1008" s="1455">
        <v>0</v>
      </c>
      <c r="O1008" s="1455">
        <v>0</v>
      </c>
      <c r="AA1008"/>
      <c r="AB1008"/>
    </row>
    <row r="1009" spans="3:28">
      <c r="C1009" s="1461" t="s">
        <v>4791</v>
      </c>
      <c r="D1009" s="1458">
        <v>0</v>
      </c>
      <c r="E1009" s="1458">
        <v>0</v>
      </c>
      <c r="F1009" s="1459">
        <v>0</v>
      </c>
      <c r="G1009" s="1470" t="s">
        <v>4791</v>
      </c>
      <c r="H1009" s="1456">
        <v>0</v>
      </c>
      <c r="I1009" s="1456">
        <v>0</v>
      </c>
      <c r="J1009" s="1471">
        <v>0</v>
      </c>
      <c r="K1009" s="1460"/>
      <c r="L1009" s="1454">
        <v>13089023212</v>
      </c>
      <c r="M1009" s="1455">
        <v>0</v>
      </c>
      <c r="N1009" s="1455">
        <v>0</v>
      </c>
      <c r="O1009" s="1455">
        <v>0</v>
      </c>
      <c r="AA1009"/>
      <c r="AB1009"/>
    </row>
    <row r="1010" spans="3:28">
      <c r="C1010" s="1461" t="s">
        <v>4792</v>
      </c>
      <c r="D1010" s="1458">
        <v>0</v>
      </c>
      <c r="E1010" s="1458">
        <v>0</v>
      </c>
      <c r="F1010" s="1459">
        <v>0</v>
      </c>
      <c r="G1010" s="1470" t="s">
        <v>4792</v>
      </c>
      <c r="H1010" s="1456">
        <v>0</v>
      </c>
      <c r="I1010" s="1456">
        <v>0</v>
      </c>
      <c r="J1010" s="1471">
        <v>0</v>
      </c>
      <c r="K1010" s="1460"/>
      <c r="L1010" s="1454">
        <v>13089023213</v>
      </c>
      <c r="M1010" s="1455">
        <v>0</v>
      </c>
      <c r="N1010" s="1455">
        <v>0</v>
      </c>
      <c r="O1010" s="1455">
        <v>0</v>
      </c>
      <c r="AA1010"/>
      <c r="AB1010"/>
    </row>
    <row r="1011" spans="3:28">
      <c r="C1011" s="1461" t="s">
        <v>4793</v>
      </c>
      <c r="D1011" s="1458">
        <v>0</v>
      </c>
      <c r="E1011" s="1458">
        <v>0</v>
      </c>
      <c r="F1011" s="1459">
        <v>0</v>
      </c>
      <c r="G1011" s="1470" t="s">
        <v>4793</v>
      </c>
      <c r="H1011" s="1456">
        <v>0</v>
      </c>
      <c r="I1011" s="1456" t="s">
        <v>3906</v>
      </c>
      <c r="J1011" s="1471">
        <v>0</v>
      </c>
      <c r="K1011" s="1460"/>
      <c r="L1011" s="1454">
        <v>13089023214</v>
      </c>
      <c r="M1011" s="1455">
        <v>0</v>
      </c>
      <c r="N1011" s="1455">
        <v>0</v>
      </c>
      <c r="O1011" s="1455">
        <v>0</v>
      </c>
      <c r="AA1011"/>
      <c r="AB1011"/>
    </row>
    <row r="1012" spans="3:28">
      <c r="C1012" s="1461" t="s">
        <v>4794</v>
      </c>
      <c r="D1012" s="1458">
        <v>0</v>
      </c>
      <c r="E1012" s="1458">
        <v>0</v>
      </c>
      <c r="F1012" s="1459">
        <v>0</v>
      </c>
      <c r="G1012" s="1470" t="s">
        <v>4794</v>
      </c>
      <c r="H1012" s="1456">
        <v>0</v>
      </c>
      <c r="I1012" s="1456">
        <v>0</v>
      </c>
      <c r="J1012" s="1471">
        <v>0</v>
      </c>
      <c r="K1012" s="1460"/>
      <c r="L1012" s="1454">
        <v>13089023303</v>
      </c>
      <c r="M1012" s="1455">
        <v>0</v>
      </c>
      <c r="N1012" s="1455">
        <v>0</v>
      </c>
      <c r="O1012" s="1455">
        <v>0</v>
      </c>
      <c r="AA1012"/>
      <c r="AB1012"/>
    </row>
    <row r="1013" spans="3:28">
      <c r="C1013" s="1461" t="s">
        <v>4795</v>
      </c>
      <c r="D1013" s="1458">
        <v>1</v>
      </c>
      <c r="E1013" s="1458">
        <v>1</v>
      </c>
      <c r="F1013" s="1459">
        <v>2</v>
      </c>
      <c r="G1013" s="1470" t="s">
        <v>4795</v>
      </c>
      <c r="H1013" s="1456">
        <v>0</v>
      </c>
      <c r="I1013" s="1456">
        <v>1</v>
      </c>
      <c r="J1013" s="1471">
        <v>1</v>
      </c>
      <c r="K1013" s="1460"/>
      <c r="L1013" s="1454">
        <v>13089023306</v>
      </c>
      <c r="M1013" s="1455">
        <v>1</v>
      </c>
      <c r="N1013" s="1455">
        <v>1</v>
      </c>
      <c r="O1013" s="1455">
        <v>2</v>
      </c>
      <c r="AA1013"/>
      <c r="AB1013"/>
    </row>
    <row r="1014" spans="3:28">
      <c r="C1014" s="1461" t="s">
        <v>4796</v>
      </c>
      <c r="D1014" s="1458">
        <v>0</v>
      </c>
      <c r="E1014" s="1458">
        <v>0</v>
      </c>
      <c r="F1014" s="1459">
        <v>0</v>
      </c>
      <c r="G1014" s="1470" t="s">
        <v>4796</v>
      </c>
      <c r="H1014" s="1456">
        <v>0</v>
      </c>
      <c r="I1014" s="1456">
        <v>0</v>
      </c>
      <c r="J1014" s="1471">
        <v>0</v>
      </c>
      <c r="K1014" s="1460"/>
      <c r="L1014" s="1454">
        <v>13089023309</v>
      </c>
      <c r="M1014" s="1455">
        <v>0</v>
      </c>
      <c r="N1014" s="1455">
        <v>0</v>
      </c>
      <c r="O1014" s="1455">
        <v>0</v>
      </c>
      <c r="AA1014"/>
      <c r="AB1014"/>
    </row>
    <row r="1015" spans="3:28">
      <c r="C1015" s="1461" t="s">
        <v>4797</v>
      </c>
      <c r="D1015" s="1458">
        <v>0</v>
      </c>
      <c r="E1015" s="1458">
        <v>0</v>
      </c>
      <c r="F1015" s="1459">
        <v>0</v>
      </c>
      <c r="G1015" s="1470" t="s">
        <v>4797</v>
      </c>
      <c r="H1015" s="1456">
        <v>0</v>
      </c>
      <c r="I1015" s="1456">
        <v>0</v>
      </c>
      <c r="J1015" s="1471">
        <v>0</v>
      </c>
      <c r="K1015" s="1460"/>
      <c r="L1015" s="1454">
        <v>13089023310</v>
      </c>
      <c r="M1015" s="1455">
        <v>0</v>
      </c>
      <c r="N1015" s="1455">
        <v>0</v>
      </c>
      <c r="O1015" s="1455">
        <v>0</v>
      </c>
      <c r="AA1015"/>
      <c r="AB1015"/>
    </row>
    <row r="1016" spans="3:28">
      <c r="C1016" s="1461" t="s">
        <v>4798</v>
      </c>
      <c r="D1016" s="1458">
        <v>1</v>
      </c>
      <c r="E1016" s="1458">
        <v>0</v>
      </c>
      <c r="F1016" s="1459">
        <v>1</v>
      </c>
      <c r="G1016" s="1470" t="s">
        <v>4798</v>
      </c>
      <c r="H1016" s="1456">
        <v>1</v>
      </c>
      <c r="I1016" s="1456">
        <v>0</v>
      </c>
      <c r="J1016" s="1471">
        <v>1</v>
      </c>
      <c r="K1016" s="1460"/>
      <c r="L1016" s="1454">
        <v>13089023311</v>
      </c>
      <c r="M1016" s="1455">
        <v>1</v>
      </c>
      <c r="N1016" s="1455">
        <v>0</v>
      </c>
      <c r="O1016" s="1455">
        <v>1</v>
      </c>
      <c r="AA1016"/>
      <c r="AB1016"/>
    </row>
    <row r="1017" spans="3:28">
      <c r="C1017" s="1461" t="s">
        <v>4799</v>
      </c>
      <c r="D1017" s="1458">
        <v>0</v>
      </c>
      <c r="E1017" s="1458">
        <v>0</v>
      </c>
      <c r="F1017" s="1459">
        <v>0</v>
      </c>
      <c r="G1017" s="1470" t="s">
        <v>4799</v>
      </c>
      <c r="H1017" s="1456">
        <v>0</v>
      </c>
      <c r="I1017" s="1456">
        <v>0</v>
      </c>
      <c r="J1017" s="1471">
        <v>0</v>
      </c>
      <c r="K1017" s="1460"/>
      <c r="L1017" s="1454">
        <v>13089023312</v>
      </c>
      <c r="M1017" s="1455">
        <v>0</v>
      </c>
      <c r="N1017" s="1455">
        <v>0</v>
      </c>
      <c r="O1017" s="1455">
        <v>0</v>
      </c>
      <c r="AA1017"/>
      <c r="AB1017"/>
    </row>
    <row r="1018" spans="3:28">
      <c r="C1018" s="1461" t="s">
        <v>4800</v>
      </c>
      <c r="D1018" s="1458">
        <v>0</v>
      </c>
      <c r="E1018" s="1458">
        <v>0</v>
      </c>
      <c r="F1018" s="1459">
        <v>0</v>
      </c>
      <c r="G1018" s="1470" t="s">
        <v>4800</v>
      </c>
      <c r="H1018" s="1456">
        <v>0</v>
      </c>
      <c r="I1018" s="1456">
        <v>0</v>
      </c>
      <c r="J1018" s="1471">
        <v>0</v>
      </c>
      <c r="K1018" s="1460"/>
      <c r="L1018" s="1454">
        <v>13089023313</v>
      </c>
      <c r="M1018" s="1455">
        <v>0</v>
      </c>
      <c r="N1018" s="1455">
        <v>0</v>
      </c>
      <c r="O1018" s="1455">
        <v>0</v>
      </c>
      <c r="AA1018"/>
      <c r="AB1018"/>
    </row>
    <row r="1019" spans="3:28">
      <c r="C1019" s="1461" t="s">
        <v>4801</v>
      </c>
      <c r="D1019" s="1458">
        <v>0</v>
      </c>
      <c r="E1019" s="1458">
        <v>0</v>
      </c>
      <c r="F1019" s="1459">
        <v>0</v>
      </c>
      <c r="G1019" s="1470" t="s">
        <v>4801</v>
      </c>
      <c r="H1019" s="1456">
        <v>0</v>
      </c>
      <c r="I1019" s="1456">
        <v>0</v>
      </c>
      <c r="J1019" s="1471">
        <v>0</v>
      </c>
      <c r="K1019" s="1460"/>
      <c r="L1019" s="1454">
        <v>13089023314</v>
      </c>
      <c r="M1019" s="1455">
        <v>0</v>
      </c>
      <c r="N1019" s="1455">
        <v>0</v>
      </c>
      <c r="O1019" s="1455">
        <v>0</v>
      </c>
      <c r="AA1019"/>
      <c r="AB1019"/>
    </row>
    <row r="1020" spans="3:28">
      <c r="C1020" s="1461" t="s">
        <v>4802</v>
      </c>
      <c r="D1020" s="1458">
        <v>1</v>
      </c>
      <c r="E1020" s="1458">
        <v>1</v>
      </c>
      <c r="F1020" s="1459">
        <v>2</v>
      </c>
      <c r="G1020" s="1470" t="s">
        <v>4802</v>
      </c>
      <c r="H1020" s="1456">
        <v>1</v>
      </c>
      <c r="I1020" s="1456">
        <v>0</v>
      </c>
      <c r="J1020" s="1471">
        <v>1</v>
      </c>
      <c r="K1020" s="1460"/>
      <c r="L1020" s="1454">
        <v>13089023315</v>
      </c>
      <c r="M1020" s="1455">
        <v>1</v>
      </c>
      <c r="N1020" s="1455">
        <v>1</v>
      </c>
      <c r="O1020" s="1455">
        <v>2</v>
      </c>
      <c r="AA1020"/>
      <c r="AB1020"/>
    </row>
    <row r="1021" spans="3:28">
      <c r="C1021" s="1461" t="s">
        <v>4803</v>
      </c>
      <c r="D1021" s="1458">
        <v>0</v>
      </c>
      <c r="E1021" s="1458">
        <v>0</v>
      </c>
      <c r="F1021" s="1459">
        <v>0</v>
      </c>
      <c r="G1021" s="1470" t="s">
        <v>4803</v>
      </c>
      <c r="H1021" s="1456">
        <v>1</v>
      </c>
      <c r="I1021" s="1456">
        <v>1</v>
      </c>
      <c r="J1021" s="1471">
        <v>1</v>
      </c>
      <c r="K1021" s="1460"/>
      <c r="L1021" s="1454">
        <v>13089023316</v>
      </c>
      <c r="M1021" s="1455">
        <v>1</v>
      </c>
      <c r="N1021" s="1455">
        <v>1</v>
      </c>
      <c r="O1021" s="1455">
        <v>1</v>
      </c>
      <c r="AA1021"/>
      <c r="AB1021"/>
    </row>
    <row r="1022" spans="3:28">
      <c r="C1022" s="1461" t="s">
        <v>4804</v>
      </c>
      <c r="D1022" s="1458">
        <v>0</v>
      </c>
      <c r="E1022" s="1458">
        <v>0</v>
      </c>
      <c r="F1022" s="1459">
        <v>0</v>
      </c>
      <c r="G1022" s="1470" t="s">
        <v>4804</v>
      </c>
      <c r="H1022" s="1456">
        <v>0</v>
      </c>
      <c r="I1022" s="1456">
        <v>0</v>
      </c>
      <c r="J1022" s="1471">
        <v>0</v>
      </c>
      <c r="K1022" s="1460"/>
      <c r="L1022" s="1454">
        <v>13089023410</v>
      </c>
      <c r="M1022" s="1455">
        <v>0</v>
      </c>
      <c r="N1022" s="1455">
        <v>0</v>
      </c>
      <c r="O1022" s="1455">
        <v>0</v>
      </c>
      <c r="AA1022"/>
      <c r="AB1022"/>
    </row>
    <row r="1023" spans="3:28">
      <c r="C1023" s="1461" t="s">
        <v>4805</v>
      </c>
      <c r="D1023" s="1458">
        <v>0</v>
      </c>
      <c r="E1023" s="1458">
        <v>0</v>
      </c>
      <c r="F1023" s="1459">
        <v>0</v>
      </c>
      <c r="G1023" s="1470" t="s">
        <v>4805</v>
      </c>
      <c r="H1023" s="1456">
        <v>0</v>
      </c>
      <c r="I1023" s="1456" t="s">
        <v>3906</v>
      </c>
      <c r="J1023" s="1471">
        <v>0</v>
      </c>
      <c r="K1023" s="1460"/>
      <c r="L1023" s="1454">
        <v>13089023411</v>
      </c>
      <c r="M1023" s="1455">
        <v>0</v>
      </c>
      <c r="N1023" s="1455">
        <v>0</v>
      </c>
      <c r="O1023" s="1455">
        <v>0</v>
      </c>
      <c r="AA1023"/>
      <c r="AB1023"/>
    </row>
    <row r="1024" spans="3:28">
      <c r="C1024" s="1461" t="s">
        <v>4806</v>
      </c>
      <c r="D1024" s="1458">
        <v>0</v>
      </c>
      <c r="E1024" s="1458">
        <v>0</v>
      </c>
      <c r="F1024" s="1459">
        <v>0</v>
      </c>
      <c r="G1024" s="1470" t="s">
        <v>4806</v>
      </c>
      <c r="H1024" s="1456">
        <v>0</v>
      </c>
      <c r="I1024" s="1456">
        <v>0</v>
      </c>
      <c r="J1024" s="1471">
        <v>0</v>
      </c>
      <c r="K1024" s="1460"/>
      <c r="L1024" s="1454">
        <v>13089023412</v>
      </c>
      <c r="M1024" s="1455">
        <v>0</v>
      </c>
      <c r="N1024" s="1455">
        <v>0</v>
      </c>
      <c r="O1024" s="1455">
        <v>0</v>
      </c>
      <c r="AA1024"/>
      <c r="AB1024"/>
    </row>
    <row r="1025" spans="3:28">
      <c r="C1025" s="1461" t="s">
        <v>4807</v>
      </c>
      <c r="D1025" s="1458">
        <v>0</v>
      </c>
      <c r="E1025" s="1458">
        <v>0</v>
      </c>
      <c r="F1025" s="1459">
        <v>0</v>
      </c>
      <c r="G1025" s="1470" t="s">
        <v>4807</v>
      </c>
      <c r="H1025" s="1456">
        <v>0</v>
      </c>
      <c r="I1025" s="1456">
        <v>1</v>
      </c>
      <c r="J1025" s="1471">
        <v>0</v>
      </c>
      <c r="K1025" s="1460"/>
      <c r="L1025" s="1454">
        <v>13089023413</v>
      </c>
      <c r="M1025" s="1455">
        <v>0</v>
      </c>
      <c r="N1025" s="1455">
        <v>1</v>
      </c>
      <c r="O1025" s="1455">
        <v>0</v>
      </c>
      <c r="AA1025"/>
      <c r="AB1025"/>
    </row>
    <row r="1026" spans="3:28">
      <c r="C1026" s="1461" t="s">
        <v>4808</v>
      </c>
      <c r="D1026" s="1458">
        <v>0</v>
      </c>
      <c r="E1026" s="1458">
        <v>0</v>
      </c>
      <c r="F1026" s="1459">
        <v>0</v>
      </c>
      <c r="G1026" s="1470" t="s">
        <v>4808</v>
      </c>
      <c r="H1026" s="1456">
        <v>1</v>
      </c>
      <c r="I1026" s="1456">
        <v>1</v>
      </c>
      <c r="J1026" s="1471">
        <v>2</v>
      </c>
      <c r="K1026" s="1460"/>
      <c r="L1026" s="1454">
        <v>13089023414</v>
      </c>
      <c r="M1026" s="1455">
        <v>1</v>
      </c>
      <c r="N1026" s="1455">
        <v>1</v>
      </c>
      <c r="O1026" s="1455">
        <v>2</v>
      </c>
      <c r="AA1026"/>
      <c r="AB1026"/>
    </row>
    <row r="1027" spans="3:28">
      <c r="C1027" s="1461" t="s">
        <v>4809</v>
      </c>
      <c r="D1027" s="1458">
        <v>0</v>
      </c>
      <c r="E1027" s="1458">
        <v>0</v>
      </c>
      <c r="F1027" s="1459">
        <v>0</v>
      </c>
      <c r="G1027" s="1470" t="s">
        <v>4809</v>
      </c>
      <c r="H1027" s="1456">
        <v>0</v>
      </c>
      <c r="I1027" s="1456">
        <v>1</v>
      </c>
      <c r="J1027" s="1471">
        <v>1</v>
      </c>
      <c r="K1027" s="1460"/>
      <c r="L1027" s="1454">
        <v>13089023416</v>
      </c>
      <c r="M1027" s="1455">
        <v>0</v>
      </c>
      <c r="N1027" s="1455">
        <v>1</v>
      </c>
      <c r="O1027" s="1455">
        <v>1</v>
      </c>
      <c r="AA1027"/>
      <c r="AB1027"/>
    </row>
    <row r="1028" spans="3:28">
      <c r="C1028" s="1461" t="s">
        <v>4810</v>
      </c>
      <c r="D1028" s="1458">
        <v>0</v>
      </c>
      <c r="E1028" s="1458">
        <v>0</v>
      </c>
      <c r="F1028" s="1459">
        <v>0</v>
      </c>
      <c r="G1028" s="1470" t="s">
        <v>4810</v>
      </c>
      <c r="H1028" s="1456">
        <v>0</v>
      </c>
      <c r="I1028" s="1456">
        <v>0</v>
      </c>
      <c r="J1028" s="1471">
        <v>0</v>
      </c>
      <c r="K1028" s="1460"/>
      <c r="L1028" s="1454">
        <v>13089023418</v>
      </c>
      <c r="M1028" s="1455">
        <v>0</v>
      </c>
      <c r="N1028" s="1455">
        <v>0</v>
      </c>
      <c r="O1028" s="1455">
        <v>0</v>
      </c>
      <c r="AA1028"/>
      <c r="AB1028"/>
    </row>
    <row r="1029" spans="3:28">
      <c r="C1029" s="1461" t="s">
        <v>4811</v>
      </c>
      <c r="D1029" s="1458">
        <v>0</v>
      </c>
      <c r="E1029" s="1458">
        <v>0</v>
      </c>
      <c r="F1029" s="1459">
        <v>0</v>
      </c>
      <c r="G1029" s="1470" t="s">
        <v>4811</v>
      </c>
      <c r="H1029" s="1456">
        <v>1</v>
      </c>
      <c r="I1029" s="1456">
        <v>1</v>
      </c>
      <c r="J1029" s="1471">
        <v>2</v>
      </c>
      <c r="K1029" s="1460"/>
      <c r="L1029" s="1454">
        <v>13089023419</v>
      </c>
      <c r="M1029" s="1455">
        <v>1</v>
      </c>
      <c r="N1029" s="1455">
        <v>1</v>
      </c>
      <c r="O1029" s="1455">
        <v>2</v>
      </c>
      <c r="AA1029"/>
      <c r="AB1029"/>
    </row>
    <row r="1030" spans="3:28">
      <c r="C1030" s="1461" t="s">
        <v>4812</v>
      </c>
      <c r="D1030" s="1458">
        <v>0</v>
      </c>
      <c r="E1030" s="1458">
        <v>0</v>
      </c>
      <c r="F1030" s="1459">
        <v>0</v>
      </c>
      <c r="G1030" s="1470" t="s">
        <v>4812</v>
      </c>
      <c r="H1030" s="1456">
        <v>0</v>
      </c>
      <c r="I1030" s="1456">
        <v>0</v>
      </c>
      <c r="J1030" s="1471">
        <v>0</v>
      </c>
      <c r="K1030" s="1460"/>
      <c r="L1030" s="1454">
        <v>13089023421</v>
      </c>
      <c r="M1030" s="1455">
        <v>0</v>
      </c>
      <c r="N1030" s="1455">
        <v>0</v>
      </c>
      <c r="O1030" s="1455">
        <v>0</v>
      </c>
      <c r="AA1030"/>
      <c r="AB1030"/>
    </row>
    <row r="1031" spans="3:28">
      <c r="C1031" s="1461" t="s">
        <v>4813</v>
      </c>
      <c r="D1031" s="1458">
        <v>0</v>
      </c>
      <c r="E1031" s="1458">
        <v>0</v>
      </c>
      <c r="F1031" s="1459">
        <v>0</v>
      </c>
      <c r="G1031" s="1470" t="s">
        <v>4813</v>
      </c>
      <c r="H1031" s="1456">
        <v>0</v>
      </c>
      <c r="I1031" s="1456">
        <v>0</v>
      </c>
      <c r="J1031" s="1471">
        <v>0</v>
      </c>
      <c r="K1031" s="1460"/>
      <c r="L1031" s="1454">
        <v>13089023422</v>
      </c>
      <c r="M1031" s="1455">
        <v>0</v>
      </c>
      <c r="N1031" s="1455">
        <v>0</v>
      </c>
      <c r="O1031" s="1455">
        <v>0</v>
      </c>
      <c r="AA1031"/>
      <c r="AB1031"/>
    </row>
    <row r="1032" spans="3:28">
      <c r="C1032" s="1461" t="s">
        <v>4814</v>
      </c>
      <c r="D1032" s="1458">
        <v>0</v>
      </c>
      <c r="E1032" s="1458">
        <v>0</v>
      </c>
      <c r="F1032" s="1459">
        <v>0</v>
      </c>
      <c r="G1032" s="1470" t="s">
        <v>4814</v>
      </c>
      <c r="H1032" s="1456">
        <v>1</v>
      </c>
      <c r="I1032" s="1456">
        <v>0</v>
      </c>
      <c r="J1032" s="1471">
        <v>1</v>
      </c>
      <c r="K1032" s="1460"/>
      <c r="L1032" s="1454">
        <v>13089023423</v>
      </c>
      <c r="M1032" s="1455">
        <v>1</v>
      </c>
      <c r="N1032" s="1455">
        <v>0</v>
      </c>
      <c r="O1032" s="1455">
        <v>1</v>
      </c>
      <c r="AA1032"/>
      <c r="AB1032"/>
    </row>
    <row r="1033" spans="3:28">
      <c r="C1033" s="1461" t="s">
        <v>4815</v>
      </c>
      <c r="D1033" s="1458">
        <v>0</v>
      </c>
      <c r="E1033" s="1458">
        <v>0</v>
      </c>
      <c r="F1033" s="1459">
        <v>0</v>
      </c>
      <c r="G1033" s="1470" t="s">
        <v>4815</v>
      </c>
      <c r="H1033" s="1456">
        <v>0</v>
      </c>
      <c r="I1033" s="1456">
        <v>1</v>
      </c>
      <c r="J1033" s="1471">
        <v>1</v>
      </c>
      <c r="K1033" s="1460"/>
      <c r="L1033" s="1454">
        <v>13089023424</v>
      </c>
      <c r="M1033" s="1455">
        <v>0</v>
      </c>
      <c r="N1033" s="1455">
        <v>1</v>
      </c>
      <c r="O1033" s="1455">
        <v>1</v>
      </c>
      <c r="AA1033"/>
      <c r="AB1033"/>
    </row>
    <row r="1034" spans="3:28">
      <c r="C1034" s="1461" t="s">
        <v>4816</v>
      </c>
      <c r="D1034" s="1458">
        <v>0</v>
      </c>
      <c r="E1034" s="1458">
        <v>0</v>
      </c>
      <c r="F1034" s="1459">
        <v>0</v>
      </c>
      <c r="G1034" s="1470" t="s">
        <v>4816</v>
      </c>
      <c r="H1034" s="1456">
        <v>0</v>
      </c>
      <c r="I1034" s="1456">
        <v>1</v>
      </c>
      <c r="J1034" s="1471">
        <v>1</v>
      </c>
      <c r="K1034" s="1460"/>
      <c r="L1034" s="1454">
        <v>13089023425</v>
      </c>
      <c r="M1034" s="1455">
        <v>0</v>
      </c>
      <c r="N1034" s="1455">
        <v>1</v>
      </c>
      <c r="O1034" s="1455">
        <v>1</v>
      </c>
      <c r="AA1034"/>
      <c r="AB1034"/>
    </row>
    <row r="1035" spans="3:28">
      <c r="C1035" s="1461" t="s">
        <v>4817</v>
      </c>
      <c r="D1035" s="1458">
        <v>1</v>
      </c>
      <c r="E1035" s="1458">
        <v>0</v>
      </c>
      <c r="F1035" s="1459">
        <v>1</v>
      </c>
      <c r="G1035" s="1470" t="s">
        <v>4817</v>
      </c>
      <c r="H1035" s="1456">
        <v>1</v>
      </c>
      <c r="I1035" s="1456">
        <v>1</v>
      </c>
      <c r="J1035" s="1471">
        <v>2</v>
      </c>
      <c r="K1035" s="1460"/>
      <c r="L1035" s="1454">
        <v>13089023426</v>
      </c>
      <c r="M1035" s="1455">
        <v>1</v>
      </c>
      <c r="N1035" s="1455">
        <v>1</v>
      </c>
      <c r="O1035" s="1455">
        <v>2</v>
      </c>
      <c r="AA1035"/>
      <c r="AB1035"/>
    </row>
    <row r="1036" spans="3:28">
      <c r="C1036" s="1461" t="s">
        <v>4818</v>
      </c>
      <c r="D1036" s="1458">
        <v>1</v>
      </c>
      <c r="E1036" s="1458">
        <v>0</v>
      </c>
      <c r="F1036" s="1459">
        <v>1</v>
      </c>
      <c r="G1036" s="1470" t="s">
        <v>4818</v>
      </c>
      <c r="H1036" s="1456">
        <v>1</v>
      </c>
      <c r="I1036" s="1456">
        <v>0</v>
      </c>
      <c r="J1036" s="1471">
        <v>1</v>
      </c>
      <c r="K1036" s="1460"/>
      <c r="L1036" s="1454">
        <v>13089023427</v>
      </c>
      <c r="M1036" s="1455">
        <v>1</v>
      </c>
      <c r="N1036" s="1455">
        <v>0</v>
      </c>
      <c r="O1036" s="1455">
        <v>1</v>
      </c>
      <c r="AA1036"/>
      <c r="AB1036"/>
    </row>
    <row r="1037" spans="3:28">
      <c r="C1037" s="1461" t="s">
        <v>4819</v>
      </c>
      <c r="D1037" s="1458">
        <v>0</v>
      </c>
      <c r="E1037" s="1458">
        <v>0</v>
      </c>
      <c r="F1037" s="1459">
        <v>0</v>
      </c>
      <c r="G1037" s="1470" t="s">
        <v>4819</v>
      </c>
      <c r="H1037" s="1456">
        <v>0</v>
      </c>
      <c r="I1037" s="1456">
        <v>0</v>
      </c>
      <c r="J1037" s="1471">
        <v>0</v>
      </c>
      <c r="K1037" s="1460"/>
      <c r="L1037" s="1454">
        <v>13089023428</v>
      </c>
      <c r="M1037" s="1455">
        <v>0</v>
      </c>
      <c r="N1037" s="1455">
        <v>0</v>
      </c>
      <c r="O1037" s="1455">
        <v>0</v>
      </c>
      <c r="AA1037"/>
      <c r="AB1037"/>
    </row>
    <row r="1038" spans="3:28">
      <c r="C1038" s="1461" t="s">
        <v>4820</v>
      </c>
      <c r="D1038" s="1458">
        <v>0</v>
      </c>
      <c r="E1038" s="1458">
        <v>0</v>
      </c>
      <c r="F1038" s="1459">
        <v>0</v>
      </c>
      <c r="G1038" s="1470" t="s">
        <v>4820</v>
      </c>
      <c r="H1038" s="1456">
        <v>0</v>
      </c>
      <c r="I1038" s="1456">
        <v>0</v>
      </c>
      <c r="J1038" s="1471">
        <v>0</v>
      </c>
      <c r="K1038" s="1460"/>
      <c r="L1038" s="1454">
        <v>13089023501</v>
      </c>
      <c r="M1038" s="1455">
        <v>0</v>
      </c>
      <c r="N1038" s="1455">
        <v>0</v>
      </c>
      <c r="O1038" s="1455">
        <v>0</v>
      </c>
      <c r="AA1038"/>
      <c r="AB1038"/>
    </row>
    <row r="1039" spans="3:28">
      <c r="C1039" s="1461" t="s">
        <v>4821</v>
      </c>
      <c r="D1039" s="1458">
        <v>0</v>
      </c>
      <c r="E1039" s="1458">
        <v>0</v>
      </c>
      <c r="F1039" s="1459">
        <v>0</v>
      </c>
      <c r="G1039" s="1470" t="s">
        <v>4821</v>
      </c>
      <c r="H1039" s="1456">
        <v>0</v>
      </c>
      <c r="I1039" s="1456">
        <v>0</v>
      </c>
      <c r="J1039" s="1471">
        <v>0</v>
      </c>
      <c r="K1039" s="1460"/>
      <c r="L1039" s="1454">
        <v>13089023504</v>
      </c>
      <c r="M1039" s="1455">
        <v>0</v>
      </c>
      <c r="N1039" s="1455">
        <v>0</v>
      </c>
      <c r="O1039" s="1455">
        <v>0</v>
      </c>
      <c r="AA1039"/>
      <c r="AB1039"/>
    </row>
    <row r="1040" spans="3:28">
      <c r="C1040" s="1461" t="s">
        <v>4822</v>
      </c>
      <c r="D1040" s="1458">
        <v>0</v>
      </c>
      <c r="E1040" s="1458">
        <v>0</v>
      </c>
      <c r="F1040" s="1459">
        <v>0</v>
      </c>
      <c r="G1040" s="1470" t="s">
        <v>4822</v>
      </c>
      <c r="H1040" s="1456">
        <v>0</v>
      </c>
      <c r="I1040" s="1456">
        <v>0</v>
      </c>
      <c r="J1040" s="1471">
        <v>0</v>
      </c>
      <c r="K1040" s="1460"/>
      <c r="L1040" s="1454">
        <v>13089023505</v>
      </c>
      <c r="M1040" s="1455">
        <v>0</v>
      </c>
      <c r="N1040" s="1455">
        <v>0</v>
      </c>
      <c r="O1040" s="1455">
        <v>0</v>
      </c>
      <c r="AA1040"/>
      <c r="AB1040"/>
    </row>
    <row r="1041" spans="3:28">
      <c r="C1041" s="1461" t="s">
        <v>4823</v>
      </c>
      <c r="D1041" s="1458">
        <v>0</v>
      </c>
      <c r="E1041" s="1458">
        <v>0</v>
      </c>
      <c r="F1041" s="1459">
        <v>0</v>
      </c>
      <c r="G1041" s="1470" t="s">
        <v>4823</v>
      </c>
      <c r="H1041" s="1456">
        <v>0</v>
      </c>
      <c r="I1041" s="1456">
        <v>0</v>
      </c>
      <c r="J1041" s="1471">
        <v>0</v>
      </c>
      <c r="K1041" s="1460"/>
      <c r="L1041" s="1454">
        <v>13089023506</v>
      </c>
      <c r="M1041" s="1455">
        <v>0</v>
      </c>
      <c r="N1041" s="1455">
        <v>0</v>
      </c>
      <c r="O1041" s="1455">
        <v>0</v>
      </c>
      <c r="AA1041"/>
      <c r="AB1041"/>
    </row>
    <row r="1042" spans="3:28">
      <c r="C1042" s="1461" t="s">
        <v>4824</v>
      </c>
      <c r="D1042" s="1458">
        <v>0</v>
      </c>
      <c r="E1042" s="1458">
        <v>0</v>
      </c>
      <c r="F1042" s="1459">
        <v>0</v>
      </c>
      <c r="G1042" s="1470" t="s">
        <v>4824</v>
      </c>
      <c r="H1042" s="1456">
        <v>0</v>
      </c>
      <c r="I1042" s="1456">
        <v>1</v>
      </c>
      <c r="J1042" s="1471">
        <v>1</v>
      </c>
      <c r="K1042" s="1460"/>
      <c r="L1042" s="1454">
        <v>13089023507</v>
      </c>
      <c r="M1042" s="1455">
        <v>0</v>
      </c>
      <c r="N1042" s="1455">
        <v>1</v>
      </c>
      <c r="O1042" s="1455">
        <v>1</v>
      </c>
      <c r="AA1042"/>
      <c r="AB1042"/>
    </row>
    <row r="1043" spans="3:28">
      <c r="C1043" s="1461" t="s">
        <v>4825</v>
      </c>
      <c r="D1043" s="1458">
        <v>0</v>
      </c>
      <c r="E1043" s="1458">
        <v>0</v>
      </c>
      <c r="F1043" s="1459">
        <v>0</v>
      </c>
      <c r="G1043" s="1470" t="s">
        <v>4825</v>
      </c>
      <c r="H1043" s="1456">
        <v>0</v>
      </c>
      <c r="I1043" s="1456">
        <v>0</v>
      </c>
      <c r="J1043" s="1471">
        <v>0</v>
      </c>
      <c r="K1043" s="1460"/>
      <c r="L1043" s="1454">
        <v>13089023601</v>
      </c>
      <c r="M1043" s="1455">
        <v>0</v>
      </c>
      <c r="N1043" s="1455">
        <v>0</v>
      </c>
      <c r="O1043" s="1455">
        <v>0</v>
      </c>
      <c r="AA1043"/>
      <c r="AB1043"/>
    </row>
    <row r="1044" spans="3:28">
      <c r="C1044" s="1461" t="s">
        <v>4826</v>
      </c>
      <c r="D1044" s="1458">
        <v>0</v>
      </c>
      <c r="E1044" s="1458">
        <v>0</v>
      </c>
      <c r="F1044" s="1459">
        <v>0</v>
      </c>
      <c r="G1044" s="1470" t="s">
        <v>4826</v>
      </c>
      <c r="H1044" s="1456">
        <v>0</v>
      </c>
      <c r="I1044" s="1456">
        <v>0</v>
      </c>
      <c r="J1044" s="1471">
        <v>0</v>
      </c>
      <c r="K1044" s="1460"/>
      <c r="L1044" s="1454">
        <v>13089023602</v>
      </c>
      <c r="M1044" s="1455">
        <v>0</v>
      </c>
      <c r="N1044" s="1455">
        <v>0</v>
      </c>
      <c r="O1044" s="1455">
        <v>0</v>
      </c>
      <c r="AA1044"/>
      <c r="AB1044"/>
    </row>
    <row r="1045" spans="3:28">
      <c r="C1045" s="1461" t="s">
        <v>4827</v>
      </c>
      <c r="D1045" s="1458">
        <v>0</v>
      </c>
      <c r="E1045" s="1458">
        <v>0</v>
      </c>
      <c r="F1045" s="1459">
        <v>0</v>
      </c>
      <c r="G1045" s="1470" t="s">
        <v>4827</v>
      </c>
      <c r="H1045" s="1456">
        <v>0</v>
      </c>
      <c r="I1045" s="1456">
        <v>0</v>
      </c>
      <c r="J1045" s="1471">
        <v>0</v>
      </c>
      <c r="K1045" s="1460"/>
      <c r="L1045" s="1454">
        <v>13089023603</v>
      </c>
      <c r="M1045" s="1455">
        <v>0</v>
      </c>
      <c r="N1045" s="1455">
        <v>0</v>
      </c>
      <c r="O1045" s="1455">
        <v>0</v>
      </c>
      <c r="AA1045"/>
      <c r="AB1045"/>
    </row>
    <row r="1046" spans="3:28">
      <c r="C1046" s="1461" t="s">
        <v>4828</v>
      </c>
      <c r="D1046" s="1458">
        <v>0</v>
      </c>
      <c r="E1046" s="1458">
        <v>0</v>
      </c>
      <c r="F1046" s="1459">
        <v>0</v>
      </c>
      <c r="G1046" s="1470" t="s">
        <v>4828</v>
      </c>
      <c r="H1046" s="1456">
        <v>0</v>
      </c>
      <c r="I1046" s="1456" t="s">
        <v>3906</v>
      </c>
      <c r="J1046" s="1471">
        <v>0</v>
      </c>
      <c r="K1046" s="1460"/>
      <c r="L1046" s="1454">
        <v>13089023700</v>
      </c>
      <c r="M1046" s="1455">
        <v>0</v>
      </c>
      <c r="N1046" s="1455">
        <v>0</v>
      </c>
      <c r="O1046" s="1455">
        <v>0</v>
      </c>
      <c r="AA1046"/>
      <c r="AB1046"/>
    </row>
    <row r="1047" spans="3:28">
      <c r="C1047" s="1461" t="s">
        <v>4829</v>
      </c>
      <c r="D1047" s="1458">
        <v>1</v>
      </c>
      <c r="E1047" s="1458">
        <v>0</v>
      </c>
      <c r="F1047" s="1459">
        <v>1</v>
      </c>
      <c r="G1047" s="1470" t="s">
        <v>4829</v>
      </c>
      <c r="H1047" s="1456">
        <v>1</v>
      </c>
      <c r="I1047" s="1456">
        <v>0</v>
      </c>
      <c r="J1047" s="1471">
        <v>1</v>
      </c>
      <c r="K1047" s="1460"/>
      <c r="L1047" s="1454">
        <v>13089023801</v>
      </c>
      <c r="M1047" s="1455">
        <v>1</v>
      </c>
      <c r="N1047" s="1455">
        <v>0</v>
      </c>
      <c r="O1047" s="1455">
        <v>1</v>
      </c>
      <c r="AA1047"/>
      <c r="AB1047"/>
    </row>
    <row r="1048" spans="3:28">
      <c r="C1048" s="1461" t="s">
        <v>4830</v>
      </c>
      <c r="D1048" s="1458">
        <v>0</v>
      </c>
      <c r="E1048" s="1458">
        <v>0</v>
      </c>
      <c r="F1048" s="1459">
        <v>0</v>
      </c>
      <c r="G1048" s="1470" t="s">
        <v>4830</v>
      </c>
      <c r="H1048" s="1456">
        <v>0</v>
      </c>
      <c r="I1048" s="1456">
        <v>0</v>
      </c>
      <c r="J1048" s="1471">
        <v>0</v>
      </c>
      <c r="K1048" s="1460"/>
      <c r="L1048" s="1454">
        <v>13089023802</v>
      </c>
      <c r="M1048" s="1455">
        <v>0</v>
      </c>
      <c r="N1048" s="1455">
        <v>0</v>
      </c>
      <c r="O1048" s="1455">
        <v>0</v>
      </c>
      <c r="AA1048"/>
      <c r="AB1048"/>
    </row>
    <row r="1049" spans="3:28">
      <c r="C1049" s="1461" t="s">
        <v>4831</v>
      </c>
      <c r="D1049" s="1458">
        <v>0</v>
      </c>
      <c r="E1049" s="1458">
        <v>0</v>
      </c>
      <c r="F1049" s="1459">
        <v>0</v>
      </c>
      <c r="G1049" s="1470" t="s">
        <v>4831</v>
      </c>
      <c r="H1049" s="1456">
        <v>0</v>
      </c>
      <c r="I1049" s="1456">
        <v>0</v>
      </c>
      <c r="J1049" s="1471">
        <v>0</v>
      </c>
      <c r="K1049" s="1460"/>
      <c r="L1049" s="1454">
        <v>13089023803</v>
      </c>
      <c r="M1049" s="1455">
        <v>0</v>
      </c>
      <c r="N1049" s="1455">
        <v>0</v>
      </c>
      <c r="O1049" s="1455">
        <v>0</v>
      </c>
      <c r="AA1049"/>
      <c r="AB1049"/>
    </row>
    <row r="1050" spans="3:28">
      <c r="C1050" s="1461" t="s">
        <v>4832</v>
      </c>
      <c r="D1050" s="1458" t="s">
        <v>3906</v>
      </c>
      <c r="E1050" s="1458" t="s">
        <v>3906</v>
      </c>
      <c r="F1050" s="1459">
        <v>0</v>
      </c>
      <c r="G1050" s="1470" t="s">
        <v>4832</v>
      </c>
      <c r="H1050" s="1456" t="s">
        <v>3906</v>
      </c>
      <c r="I1050" s="1456" t="s">
        <v>3906</v>
      </c>
      <c r="J1050" s="1471">
        <v>0</v>
      </c>
      <c r="K1050" s="1460"/>
      <c r="L1050" s="1454">
        <v>13089980000</v>
      </c>
      <c r="M1050" s="1455">
        <v>0</v>
      </c>
      <c r="N1050" s="1455">
        <v>0</v>
      </c>
      <c r="O1050" s="1455">
        <v>0</v>
      </c>
      <c r="AA1050"/>
      <c r="AB1050"/>
    </row>
    <row r="1051" spans="3:28">
      <c r="C1051" s="1461" t="s">
        <v>4833</v>
      </c>
      <c r="D1051" s="1458">
        <v>0</v>
      </c>
      <c r="E1051" s="1458">
        <v>0</v>
      </c>
      <c r="F1051" s="1459">
        <v>0</v>
      </c>
      <c r="G1051" s="1470" t="s">
        <v>4833</v>
      </c>
      <c r="H1051" s="1456">
        <v>0</v>
      </c>
      <c r="I1051" s="1456">
        <v>1</v>
      </c>
      <c r="J1051" s="1471">
        <v>1</v>
      </c>
      <c r="K1051" s="1460"/>
      <c r="L1051" s="1454">
        <v>13091960100</v>
      </c>
      <c r="M1051" s="1455">
        <v>0</v>
      </c>
      <c r="N1051" s="1455">
        <v>1</v>
      </c>
      <c r="O1051" s="1455">
        <v>1</v>
      </c>
      <c r="AA1051"/>
      <c r="AB1051"/>
    </row>
    <row r="1052" spans="3:28">
      <c r="C1052" s="1461" t="s">
        <v>4834</v>
      </c>
      <c r="D1052" s="1458">
        <v>0</v>
      </c>
      <c r="E1052" s="1458">
        <v>0</v>
      </c>
      <c r="F1052" s="1459">
        <v>0</v>
      </c>
      <c r="G1052" s="1470" t="s">
        <v>4834</v>
      </c>
      <c r="H1052" s="1456">
        <v>0</v>
      </c>
      <c r="I1052" s="1456">
        <v>0</v>
      </c>
      <c r="J1052" s="1471">
        <v>0</v>
      </c>
      <c r="K1052" s="1460"/>
      <c r="L1052" s="1454">
        <v>13091960200</v>
      </c>
      <c r="M1052" s="1455">
        <v>0</v>
      </c>
      <c r="N1052" s="1455">
        <v>0</v>
      </c>
      <c r="O1052" s="1455">
        <v>0</v>
      </c>
      <c r="AA1052"/>
      <c r="AB1052"/>
    </row>
    <row r="1053" spans="3:28">
      <c r="C1053" s="1461" t="s">
        <v>4835</v>
      </c>
      <c r="D1053" s="1458">
        <v>0</v>
      </c>
      <c r="E1053" s="1458">
        <v>1</v>
      </c>
      <c r="F1053" s="1459">
        <v>1</v>
      </c>
      <c r="G1053" s="1470" t="s">
        <v>4835</v>
      </c>
      <c r="H1053" s="1456">
        <v>0</v>
      </c>
      <c r="I1053" s="1456">
        <v>1</v>
      </c>
      <c r="J1053" s="1471">
        <v>1</v>
      </c>
      <c r="K1053" s="1460"/>
      <c r="L1053" s="1454">
        <v>13091960300</v>
      </c>
      <c r="M1053" s="1455">
        <v>0</v>
      </c>
      <c r="N1053" s="1455">
        <v>1</v>
      </c>
      <c r="O1053" s="1455">
        <v>1</v>
      </c>
      <c r="AA1053"/>
      <c r="AB1053"/>
    </row>
    <row r="1054" spans="3:28">
      <c r="C1054" s="1461" t="s">
        <v>4836</v>
      </c>
      <c r="D1054" s="1458">
        <v>0</v>
      </c>
      <c r="E1054" s="1458">
        <v>0</v>
      </c>
      <c r="F1054" s="1459">
        <v>0</v>
      </c>
      <c r="G1054" s="1470" t="s">
        <v>4836</v>
      </c>
      <c r="H1054" s="1456">
        <v>0</v>
      </c>
      <c r="I1054" s="1456">
        <v>0</v>
      </c>
      <c r="J1054" s="1471">
        <v>0</v>
      </c>
      <c r="K1054" s="1460"/>
      <c r="L1054" s="1454">
        <v>13091960400</v>
      </c>
      <c r="M1054" s="1455">
        <v>0</v>
      </c>
      <c r="N1054" s="1455">
        <v>0</v>
      </c>
      <c r="O1054" s="1455">
        <v>0</v>
      </c>
      <c r="AA1054"/>
      <c r="AB1054"/>
    </row>
    <row r="1055" spans="3:28">
      <c r="C1055" s="1461" t="s">
        <v>4837</v>
      </c>
      <c r="D1055" s="1458">
        <v>0</v>
      </c>
      <c r="E1055" s="1458">
        <v>0</v>
      </c>
      <c r="F1055" s="1459">
        <v>0</v>
      </c>
      <c r="G1055" s="1470" t="s">
        <v>4837</v>
      </c>
      <c r="H1055" s="1456">
        <v>0</v>
      </c>
      <c r="I1055" s="1456" t="s">
        <v>3906</v>
      </c>
      <c r="J1055" s="1471">
        <v>0</v>
      </c>
      <c r="K1055" s="1460"/>
      <c r="L1055" s="1454">
        <v>13091960500</v>
      </c>
      <c r="M1055" s="1455">
        <v>0</v>
      </c>
      <c r="N1055" s="1455">
        <v>0</v>
      </c>
      <c r="O1055" s="1455">
        <v>0</v>
      </c>
      <c r="AA1055"/>
      <c r="AB1055"/>
    </row>
    <row r="1056" spans="3:28">
      <c r="C1056" s="1461" t="s">
        <v>4838</v>
      </c>
      <c r="D1056" s="1458">
        <v>0</v>
      </c>
      <c r="E1056" s="1458">
        <v>0</v>
      </c>
      <c r="F1056" s="1459">
        <v>0</v>
      </c>
      <c r="G1056" s="1470" t="s">
        <v>4838</v>
      </c>
      <c r="H1056" s="1456">
        <v>0</v>
      </c>
      <c r="I1056" s="1456">
        <v>0</v>
      </c>
      <c r="J1056" s="1471">
        <v>0</v>
      </c>
      <c r="K1056" s="1460"/>
      <c r="L1056" s="1454">
        <v>13091960600</v>
      </c>
      <c r="M1056" s="1455">
        <v>0</v>
      </c>
      <c r="N1056" s="1455">
        <v>0</v>
      </c>
      <c r="O1056" s="1455">
        <v>0</v>
      </c>
      <c r="AA1056"/>
      <c r="AB1056"/>
    </row>
    <row r="1057" spans="3:28">
      <c r="C1057" s="1461" t="s">
        <v>4839</v>
      </c>
      <c r="D1057" s="1458">
        <v>0</v>
      </c>
      <c r="E1057" s="1458">
        <v>0</v>
      </c>
      <c r="F1057" s="1459">
        <v>0</v>
      </c>
      <c r="G1057" s="1470" t="s">
        <v>4839</v>
      </c>
      <c r="H1057" s="1456">
        <v>0</v>
      </c>
      <c r="I1057" s="1456">
        <v>1</v>
      </c>
      <c r="J1057" s="1471">
        <v>1</v>
      </c>
      <c r="K1057" s="1460"/>
      <c r="L1057" s="1454">
        <v>13093970100</v>
      </c>
      <c r="M1057" s="1455">
        <v>0</v>
      </c>
      <c r="N1057" s="1455">
        <v>1</v>
      </c>
      <c r="O1057" s="1455">
        <v>1</v>
      </c>
      <c r="AA1057"/>
      <c r="AB1057"/>
    </row>
    <row r="1058" spans="3:28">
      <c r="C1058" s="1461" t="s">
        <v>4840</v>
      </c>
      <c r="D1058" s="1458">
        <v>0</v>
      </c>
      <c r="E1058" s="1458">
        <v>0</v>
      </c>
      <c r="F1058" s="1459">
        <v>0</v>
      </c>
      <c r="G1058" s="1470" t="s">
        <v>4840</v>
      </c>
      <c r="H1058" s="1456">
        <v>0</v>
      </c>
      <c r="I1058" s="1456">
        <v>0</v>
      </c>
      <c r="J1058" s="1471">
        <v>0</v>
      </c>
      <c r="K1058" s="1460"/>
      <c r="L1058" s="1454">
        <v>13093970200</v>
      </c>
      <c r="M1058" s="1455">
        <v>0</v>
      </c>
      <c r="N1058" s="1455">
        <v>0</v>
      </c>
      <c r="O1058" s="1455">
        <v>0</v>
      </c>
      <c r="AA1058"/>
      <c r="AB1058"/>
    </row>
    <row r="1059" spans="3:28">
      <c r="C1059" s="1461" t="s">
        <v>4841</v>
      </c>
      <c r="D1059" s="1458">
        <v>0</v>
      </c>
      <c r="E1059" s="1458">
        <v>0</v>
      </c>
      <c r="F1059" s="1459">
        <v>0</v>
      </c>
      <c r="G1059" s="1470" t="s">
        <v>4841</v>
      </c>
      <c r="H1059" s="1456">
        <v>0</v>
      </c>
      <c r="I1059" s="1456">
        <v>1</v>
      </c>
      <c r="J1059" s="1471">
        <v>1</v>
      </c>
      <c r="K1059" s="1460"/>
      <c r="L1059" s="1454">
        <v>13093970300</v>
      </c>
      <c r="M1059" s="1455">
        <v>0</v>
      </c>
      <c r="N1059" s="1455">
        <v>1</v>
      </c>
      <c r="O1059" s="1455">
        <v>1</v>
      </c>
      <c r="AA1059"/>
      <c r="AB1059"/>
    </row>
    <row r="1060" spans="3:28">
      <c r="C1060" s="1461" t="s">
        <v>4842</v>
      </c>
      <c r="D1060" s="1458">
        <v>0</v>
      </c>
      <c r="E1060" s="1458">
        <v>0</v>
      </c>
      <c r="F1060" s="1459">
        <v>0</v>
      </c>
      <c r="G1060" s="1470" t="s">
        <v>4842</v>
      </c>
      <c r="H1060" s="1456">
        <v>0</v>
      </c>
      <c r="I1060" s="1456">
        <v>0</v>
      </c>
      <c r="J1060" s="1471">
        <v>0</v>
      </c>
      <c r="K1060" s="1460"/>
      <c r="L1060" s="1454">
        <v>13095000100</v>
      </c>
      <c r="M1060" s="1455">
        <v>0</v>
      </c>
      <c r="N1060" s="1455">
        <v>0</v>
      </c>
      <c r="O1060" s="1455">
        <v>0</v>
      </c>
      <c r="AA1060"/>
      <c r="AB1060"/>
    </row>
    <row r="1061" spans="3:28">
      <c r="C1061" s="1461" t="s">
        <v>4843</v>
      </c>
      <c r="D1061" s="1458">
        <v>0</v>
      </c>
      <c r="E1061" s="1458">
        <v>0</v>
      </c>
      <c r="F1061" s="1459">
        <v>0</v>
      </c>
      <c r="G1061" s="1470" t="s">
        <v>4843</v>
      </c>
      <c r="H1061" s="1456">
        <v>0</v>
      </c>
      <c r="I1061" s="1456">
        <v>0</v>
      </c>
      <c r="J1061" s="1471">
        <v>0</v>
      </c>
      <c r="K1061" s="1460"/>
      <c r="L1061" s="1454">
        <v>13095000200</v>
      </c>
      <c r="M1061" s="1455">
        <v>0</v>
      </c>
      <c r="N1061" s="1455">
        <v>0</v>
      </c>
      <c r="O1061" s="1455">
        <v>0</v>
      </c>
      <c r="AA1061"/>
      <c r="AB1061"/>
    </row>
    <row r="1062" spans="3:28">
      <c r="C1062" s="1461" t="s">
        <v>4844</v>
      </c>
      <c r="D1062" s="1458">
        <v>0</v>
      </c>
      <c r="E1062" s="1458">
        <v>0</v>
      </c>
      <c r="F1062" s="1459">
        <v>0</v>
      </c>
      <c r="G1062" s="1470" t="s">
        <v>4844</v>
      </c>
      <c r="H1062" s="1456">
        <v>0</v>
      </c>
      <c r="I1062" s="1456">
        <v>1</v>
      </c>
      <c r="J1062" s="1471">
        <v>1</v>
      </c>
      <c r="K1062" s="1460"/>
      <c r="L1062" s="1454">
        <v>13095000400</v>
      </c>
      <c r="M1062" s="1455">
        <v>0</v>
      </c>
      <c r="N1062" s="1455">
        <v>1</v>
      </c>
      <c r="O1062" s="1455">
        <v>1</v>
      </c>
      <c r="AA1062"/>
      <c r="AB1062"/>
    </row>
    <row r="1063" spans="3:28">
      <c r="C1063" s="1461" t="s">
        <v>4845</v>
      </c>
      <c r="D1063" s="1458">
        <v>1</v>
      </c>
      <c r="E1063" s="1458">
        <v>0</v>
      </c>
      <c r="F1063" s="1459">
        <v>1</v>
      </c>
      <c r="G1063" s="1470" t="s">
        <v>4845</v>
      </c>
      <c r="H1063" s="1456">
        <v>1</v>
      </c>
      <c r="I1063" s="1456">
        <v>1</v>
      </c>
      <c r="J1063" s="1471">
        <v>2</v>
      </c>
      <c r="K1063" s="1460"/>
      <c r="L1063" s="1454">
        <v>13095000501</v>
      </c>
      <c r="M1063" s="1455">
        <v>1</v>
      </c>
      <c r="N1063" s="1455">
        <v>1</v>
      </c>
      <c r="O1063" s="1455">
        <v>2</v>
      </c>
      <c r="AA1063"/>
      <c r="AB1063"/>
    </row>
    <row r="1064" spans="3:28">
      <c r="C1064" s="1461" t="s">
        <v>4846</v>
      </c>
      <c r="D1064" s="1458">
        <v>1</v>
      </c>
      <c r="E1064" s="1458">
        <v>1</v>
      </c>
      <c r="F1064" s="1459">
        <v>2</v>
      </c>
      <c r="G1064" s="1470" t="s">
        <v>4846</v>
      </c>
      <c r="H1064" s="1456">
        <v>1</v>
      </c>
      <c r="I1064" s="1456">
        <v>1</v>
      </c>
      <c r="J1064" s="1471">
        <v>2</v>
      </c>
      <c r="K1064" s="1460"/>
      <c r="L1064" s="1454">
        <v>13095000502</v>
      </c>
      <c r="M1064" s="1455">
        <v>1</v>
      </c>
      <c r="N1064" s="1455">
        <v>1</v>
      </c>
      <c r="O1064" s="1455">
        <v>2</v>
      </c>
      <c r="AA1064"/>
      <c r="AB1064"/>
    </row>
    <row r="1065" spans="3:28">
      <c r="C1065" s="1461" t="s">
        <v>4847</v>
      </c>
      <c r="D1065" s="1458">
        <v>0</v>
      </c>
      <c r="E1065" s="1458">
        <v>0</v>
      </c>
      <c r="F1065" s="1459">
        <v>0</v>
      </c>
      <c r="G1065" s="1470" t="s">
        <v>4847</v>
      </c>
      <c r="H1065" s="1456">
        <v>0</v>
      </c>
      <c r="I1065" s="1456">
        <v>0</v>
      </c>
      <c r="J1065" s="1471">
        <v>0</v>
      </c>
      <c r="K1065" s="1460"/>
      <c r="L1065" s="1454">
        <v>13095000600</v>
      </c>
      <c r="M1065" s="1455">
        <v>0</v>
      </c>
      <c r="N1065" s="1455">
        <v>0</v>
      </c>
      <c r="O1065" s="1455">
        <v>0</v>
      </c>
      <c r="AA1065"/>
      <c r="AB1065"/>
    </row>
    <row r="1066" spans="3:28">
      <c r="C1066" s="1461" t="s">
        <v>4848</v>
      </c>
      <c r="D1066" s="1458">
        <v>0</v>
      </c>
      <c r="E1066" s="1458">
        <v>0</v>
      </c>
      <c r="F1066" s="1459">
        <v>0</v>
      </c>
      <c r="G1066" s="1470" t="s">
        <v>4848</v>
      </c>
      <c r="H1066" s="1456">
        <v>1</v>
      </c>
      <c r="I1066" s="1456">
        <v>0</v>
      </c>
      <c r="J1066" s="1471">
        <v>1</v>
      </c>
      <c r="K1066" s="1460"/>
      <c r="L1066" s="1454">
        <v>13095000700</v>
      </c>
      <c r="M1066" s="1455">
        <v>1</v>
      </c>
      <c r="N1066" s="1455">
        <v>0</v>
      </c>
      <c r="O1066" s="1455">
        <v>1</v>
      </c>
      <c r="AA1066"/>
      <c r="AB1066"/>
    </row>
    <row r="1067" spans="3:28">
      <c r="C1067" s="1461" t="s">
        <v>4849</v>
      </c>
      <c r="D1067" s="1458">
        <v>0</v>
      </c>
      <c r="E1067" s="1458">
        <v>0</v>
      </c>
      <c r="F1067" s="1459">
        <v>0</v>
      </c>
      <c r="G1067" s="1470" t="s">
        <v>4849</v>
      </c>
      <c r="H1067" s="1456">
        <v>0</v>
      </c>
      <c r="I1067" s="1456">
        <v>0</v>
      </c>
      <c r="J1067" s="1471">
        <v>0</v>
      </c>
      <c r="K1067" s="1460"/>
      <c r="L1067" s="1454">
        <v>13095000800</v>
      </c>
      <c r="M1067" s="1455">
        <v>0</v>
      </c>
      <c r="N1067" s="1455">
        <v>0</v>
      </c>
      <c r="O1067" s="1455">
        <v>0</v>
      </c>
      <c r="AA1067"/>
      <c r="AB1067"/>
    </row>
    <row r="1068" spans="3:28">
      <c r="C1068" s="1461" t="s">
        <v>4850</v>
      </c>
      <c r="D1068" s="1458">
        <v>0</v>
      </c>
      <c r="E1068" s="1458">
        <v>0</v>
      </c>
      <c r="F1068" s="1459">
        <v>0</v>
      </c>
      <c r="G1068" s="1470" t="s">
        <v>4850</v>
      </c>
      <c r="H1068" s="1456">
        <v>0</v>
      </c>
      <c r="I1068" s="1456">
        <v>0</v>
      </c>
      <c r="J1068" s="1471">
        <v>0</v>
      </c>
      <c r="K1068" s="1460"/>
      <c r="L1068" s="1454">
        <v>13095000900</v>
      </c>
      <c r="M1068" s="1455">
        <v>0</v>
      </c>
      <c r="N1068" s="1455">
        <v>0</v>
      </c>
      <c r="O1068" s="1455">
        <v>0</v>
      </c>
      <c r="AA1068"/>
      <c r="AB1068"/>
    </row>
    <row r="1069" spans="3:28">
      <c r="C1069" s="1461" t="s">
        <v>4851</v>
      </c>
      <c r="D1069" s="1458">
        <v>0</v>
      </c>
      <c r="E1069" s="1458">
        <v>0</v>
      </c>
      <c r="F1069" s="1459">
        <v>0</v>
      </c>
      <c r="G1069" s="1470" t="s">
        <v>4851</v>
      </c>
      <c r="H1069" s="1456">
        <v>0</v>
      </c>
      <c r="I1069" s="1456">
        <v>0</v>
      </c>
      <c r="J1069" s="1471">
        <v>0</v>
      </c>
      <c r="K1069" s="1460"/>
      <c r="L1069" s="1454">
        <v>13095001000</v>
      </c>
      <c r="M1069" s="1455">
        <v>0</v>
      </c>
      <c r="N1069" s="1455">
        <v>0</v>
      </c>
      <c r="O1069" s="1455">
        <v>0</v>
      </c>
      <c r="AA1069"/>
      <c r="AB1069"/>
    </row>
    <row r="1070" spans="3:28">
      <c r="C1070" s="1461" t="s">
        <v>4852</v>
      </c>
      <c r="D1070" s="1458">
        <v>0</v>
      </c>
      <c r="E1070" s="1458">
        <v>0</v>
      </c>
      <c r="F1070" s="1459">
        <v>0</v>
      </c>
      <c r="G1070" s="1470" t="s">
        <v>4852</v>
      </c>
      <c r="H1070" s="1456">
        <v>0</v>
      </c>
      <c r="I1070" s="1456">
        <v>0</v>
      </c>
      <c r="J1070" s="1471">
        <v>0</v>
      </c>
      <c r="K1070" s="1460"/>
      <c r="L1070" s="1454">
        <v>13095001100</v>
      </c>
      <c r="M1070" s="1455">
        <v>0</v>
      </c>
      <c r="N1070" s="1455">
        <v>0</v>
      </c>
      <c r="O1070" s="1455">
        <v>0</v>
      </c>
      <c r="AA1070"/>
      <c r="AB1070"/>
    </row>
    <row r="1071" spans="3:28">
      <c r="C1071" s="1461" t="s">
        <v>4853</v>
      </c>
      <c r="D1071" s="1458">
        <v>0</v>
      </c>
      <c r="E1071" s="1458">
        <v>0</v>
      </c>
      <c r="F1071" s="1459">
        <v>0</v>
      </c>
      <c r="G1071" s="1470" t="s">
        <v>4853</v>
      </c>
      <c r="H1071" s="1456">
        <v>0</v>
      </c>
      <c r="I1071" s="1456" t="s">
        <v>3906</v>
      </c>
      <c r="J1071" s="1471">
        <v>0</v>
      </c>
      <c r="K1071" s="1460"/>
      <c r="L1071" s="1454">
        <v>13095001403</v>
      </c>
      <c r="M1071" s="1455">
        <v>0</v>
      </c>
      <c r="N1071" s="1455">
        <v>0</v>
      </c>
      <c r="O1071" s="1455">
        <v>0</v>
      </c>
      <c r="AA1071"/>
      <c r="AB1071"/>
    </row>
    <row r="1072" spans="3:28">
      <c r="C1072" s="1461" t="s">
        <v>4854</v>
      </c>
      <c r="D1072" s="1458">
        <v>0</v>
      </c>
      <c r="E1072" s="1458">
        <v>0</v>
      </c>
      <c r="F1072" s="1459">
        <v>0</v>
      </c>
      <c r="G1072" s="1470" t="s">
        <v>4854</v>
      </c>
      <c r="H1072" s="1456">
        <v>0</v>
      </c>
      <c r="I1072" s="1456">
        <v>0</v>
      </c>
      <c r="J1072" s="1471">
        <v>0</v>
      </c>
      <c r="K1072" s="1460"/>
      <c r="L1072" s="1454">
        <v>13095001500</v>
      </c>
      <c r="M1072" s="1455">
        <v>0</v>
      </c>
      <c r="N1072" s="1455">
        <v>0</v>
      </c>
      <c r="O1072" s="1455">
        <v>0</v>
      </c>
      <c r="AA1072"/>
      <c r="AB1072"/>
    </row>
    <row r="1073" spans="3:28">
      <c r="C1073" s="1461" t="s">
        <v>4855</v>
      </c>
      <c r="D1073" s="1458">
        <v>0</v>
      </c>
      <c r="E1073" s="1458">
        <v>0</v>
      </c>
      <c r="F1073" s="1459">
        <v>0</v>
      </c>
      <c r="G1073" s="1470" t="s">
        <v>4855</v>
      </c>
      <c r="H1073" s="1456">
        <v>0</v>
      </c>
      <c r="I1073" s="1456">
        <v>0</v>
      </c>
      <c r="J1073" s="1471">
        <v>0</v>
      </c>
      <c r="K1073" s="1460"/>
      <c r="L1073" s="1454">
        <v>13095010302</v>
      </c>
      <c r="M1073" s="1455">
        <v>0</v>
      </c>
      <c r="N1073" s="1455">
        <v>0</v>
      </c>
      <c r="O1073" s="1455">
        <v>0</v>
      </c>
      <c r="AA1073"/>
      <c r="AB1073"/>
    </row>
    <row r="1074" spans="3:28">
      <c r="C1074" s="1461" t="s">
        <v>4856</v>
      </c>
      <c r="D1074" s="1458">
        <v>1</v>
      </c>
      <c r="E1074" s="1458">
        <v>1</v>
      </c>
      <c r="F1074" s="1459">
        <v>2</v>
      </c>
      <c r="G1074" s="1470" t="s">
        <v>4856</v>
      </c>
      <c r="H1074" s="1456">
        <v>1</v>
      </c>
      <c r="I1074" s="1456">
        <v>1</v>
      </c>
      <c r="J1074" s="1471">
        <v>2</v>
      </c>
      <c r="K1074" s="1460"/>
      <c r="L1074" s="1454">
        <v>13095010401</v>
      </c>
      <c r="M1074" s="1455">
        <v>1</v>
      </c>
      <c r="N1074" s="1455">
        <v>1</v>
      </c>
      <c r="O1074" s="1455">
        <v>2</v>
      </c>
      <c r="AA1074"/>
      <c r="AB1074"/>
    </row>
    <row r="1075" spans="3:28">
      <c r="C1075" s="1461" t="s">
        <v>4857</v>
      </c>
      <c r="D1075" s="1458">
        <v>0</v>
      </c>
      <c r="E1075" s="1458">
        <v>0</v>
      </c>
      <c r="F1075" s="1459">
        <v>0</v>
      </c>
      <c r="G1075" s="1470" t="s">
        <v>4857</v>
      </c>
      <c r="H1075" s="1456">
        <v>0</v>
      </c>
      <c r="I1075" s="1456">
        <v>1</v>
      </c>
      <c r="J1075" s="1471">
        <v>1</v>
      </c>
      <c r="K1075" s="1460"/>
      <c r="L1075" s="1454">
        <v>13095010402</v>
      </c>
      <c r="M1075" s="1455">
        <v>0</v>
      </c>
      <c r="N1075" s="1455">
        <v>1</v>
      </c>
      <c r="O1075" s="1455">
        <v>1</v>
      </c>
      <c r="AA1075"/>
      <c r="AB1075"/>
    </row>
    <row r="1076" spans="3:28">
      <c r="C1076" s="1461" t="s">
        <v>4858</v>
      </c>
      <c r="D1076" s="1458">
        <v>1</v>
      </c>
      <c r="E1076" s="1458">
        <v>1</v>
      </c>
      <c r="F1076" s="1459">
        <v>2</v>
      </c>
      <c r="G1076" s="1470" t="s">
        <v>4858</v>
      </c>
      <c r="H1076" s="1456">
        <v>1</v>
      </c>
      <c r="I1076" s="1456">
        <v>0</v>
      </c>
      <c r="J1076" s="1471">
        <v>1</v>
      </c>
      <c r="K1076" s="1460"/>
      <c r="L1076" s="1454">
        <v>13095010403</v>
      </c>
      <c r="M1076" s="1455">
        <v>1</v>
      </c>
      <c r="N1076" s="1455">
        <v>1</v>
      </c>
      <c r="O1076" s="1455">
        <v>2</v>
      </c>
      <c r="AA1076"/>
      <c r="AB1076"/>
    </row>
    <row r="1077" spans="3:28">
      <c r="C1077" s="1461" t="s">
        <v>4859</v>
      </c>
      <c r="D1077" s="1458">
        <v>0</v>
      </c>
      <c r="E1077" s="1458">
        <v>0</v>
      </c>
      <c r="F1077" s="1459">
        <v>0</v>
      </c>
      <c r="G1077" s="1470" t="s">
        <v>4859</v>
      </c>
      <c r="H1077" s="1456">
        <v>0</v>
      </c>
      <c r="I1077" s="1456">
        <v>0</v>
      </c>
      <c r="J1077" s="1471">
        <v>0</v>
      </c>
      <c r="K1077" s="1460"/>
      <c r="L1077" s="1454">
        <v>13095010500</v>
      </c>
      <c r="M1077" s="1455">
        <v>0</v>
      </c>
      <c r="N1077" s="1455">
        <v>0</v>
      </c>
      <c r="O1077" s="1455">
        <v>0</v>
      </c>
      <c r="AA1077"/>
      <c r="AB1077"/>
    </row>
    <row r="1078" spans="3:28">
      <c r="C1078" s="1461" t="s">
        <v>4860</v>
      </c>
      <c r="D1078" s="1458">
        <v>0</v>
      </c>
      <c r="E1078" s="1458">
        <v>0</v>
      </c>
      <c r="F1078" s="1459">
        <v>0</v>
      </c>
      <c r="G1078" s="1470" t="s">
        <v>4860</v>
      </c>
      <c r="H1078" s="1456">
        <v>0</v>
      </c>
      <c r="I1078" s="1456">
        <v>0</v>
      </c>
      <c r="J1078" s="1471">
        <v>0</v>
      </c>
      <c r="K1078" s="1460"/>
      <c r="L1078" s="1454">
        <v>13095010601</v>
      </c>
      <c r="M1078" s="1455">
        <v>0</v>
      </c>
      <c r="N1078" s="1455">
        <v>0</v>
      </c>
      <c r="O1078" s="1455">
        <v>0</v>
      </c>
      <c r="AA1078"/>
      <c r="AB1078"/>
    </row>
    <row r="1079" spans="3:28">
      <c r="C1079" s="1461" t="s">
        <v>4861</v>
      </c>
      <c r="D1079" s="1458">
        <v>0</v>
      </c>
      <c r="E1079" s="1458">
        <v>0</v>
      </c>
      <c r="F1079" s="1459">
        <v>0</v>
      </c>
      <c r="G1079" s="1470" t="s">
        <v>4861</v>
      </c>
      <c r="H1079" s="1456">
        <v>0</v>
      </c>
      <c r="I1079" s="1456">
        <v>0</v>
      </c>
      <c r="J1079" s="1471">
        <v>0</v>
      </c>
      <c r="K1079" s="1460"/>
      <c r="L1079" s="1454">
        <v>13095010602</v>
      </c>
      <c r="M1079" s="1455">
        <v>0</v>
      </c>
      <c r="N1079" s="1455">
        <v>0</v>
      </c>
      <c r="O1079" s="1455">
        <v>0</v>
      </c>
      <c r="AA1079"/>
      <c r="AB1079"/>
    </row>
    <row r="1080" spans="3:28">
      <c r="C1080" s="1461" t="s">
        <v>4862</v>
      </c>
      <c r="D1080" s="1458">
        <v>0</v>
      </c>
      <c r="E1080" s="1458">
        <v>0</v>
      </c>
      <c r="F1080" s="1459">
        <v>0</v>
      </c>
      <c r="G1080" s="1470" t="s">
        <v>4862</v>
      </c>
      <c r="H1080" s="1456">
        <v>0</v>
      </c>
      <c r="I1080" s="1456">
        <v>0</v>
      </c>
      <c r="J1080" s="1471">
        <v>0</v>
      </c>
      <c r="K1080" s="1460"/>
      <c r="L1080" s="1454">
        <v>13095010700</v>
      </c>
      <c r="M1080" s="1455">
        <v>0</v>
      </c>
      <c r="N1080" s="1455">
        <v>0</v>
      </c>
      <c r="O1080" s="1455">
        <v>0</v>
      </c>
      <c r="AA1080"/>
      <c r="AB1080"/>
    </row>
    <row r="1081" spans="3:28">
      <c r="C1081" s="1461" t="s">
        <v>4863</v>
      </c>
      <c r="D1081" s="1458">
        <v>0</v>
      </c>
      <c r="E1081" s="1458">
        <v>0</v>
      </c>
      <c r="F1081" s="1459">
        <v>0</v>
      </c>
      <c r="G1081" s="1470" t="s">
        <v>4863</v>
      </c>
      <c r="H1081" s="1456">
        <v>0</v>
      </c>
      <c r="I1081" s="1456">
        <v>1</v>
      </c>
      <c r="J1081" s="1471">
        <v>1</v>
      </c>
      <c r="K1081" s="1460"/>
      <c r="L1081" s="1454">
        <v>13095010900</v>
      </c>
      <c r="M1081" s="1455">
        <v>0</v>
      </c>
      <c r="N1081" s="1455">
        <v>1</v>
      </c>
      <c r="O1081" s="1455">
        <v>1</v>
      </c>
      <c r="AA1081"/>
      <c r="AB1081"/>
    </row>
    <row r="1082" spans="3:28">
      <c r="C1082" s="1461" t="s">
        <v>4864</v>
      </c>
      <c r="D1082" s="1458">
        <v>0</v>
      </c>
      <c r="E1082" s="1458">
        <v>0</v>
      </c>
      <c r="F1082" s="1459">
        <v>0</v>
      </c>
      <c r="G1082" s="1470" t="s">
        <v>4864</v>
      </c>
      <c r="H1082" s="1456">
        <v>0</v>
      </c>
      <c r="I1082" s="1456">
        <v>0</v>
      </c>
      <c r="J1082" s="1471">
        <v>0</v>
      </c>
      <c r="K1082" s="1460"/>
      <c r="L1082" s="1454">
        <v>13095011000</v>
      </c>
      <c r="M1082" s="1455">
        <v>0</v>
      </c>
      <c r="N1082" s="1455">
        <v>0</v>
      </c>
      <c r="O1082" s="1455">
        <v>0</v>
      </c>
      <c r="AA1082"/>
      <c r="AB1082"/>
    </row>
    <row r="1083" spans="3:28">
      <c r="C1083" s="1461" t="s">
        <v>4865</v>
      </c>
      <c r="D1083" s="1458">
        <v>0</v>
      </c>
      <c r="E1083" s="1458">
        <v>0</v>
      </c>
      <c r="F1083" s="1459">
        <v>0</v>
      </c>
      <c r="G1083" s="1470" t="s">
        <v>4865</v>
      </c>
      <c r="H1083" s="1456">
        <v>0</v>
      </c>
      <c r="I1083" s="1456">
        <v>0</v>
      </c>
      <c r="J1083" s="1471">
        <v>0</v>
      </c>
      <c r="K1083" s="1460"/>
      <c r="L1083" s="1454">
        <v>13095011200</v>
      </c>
      <c r="M1083" s="1455">
        <v>0</v>
      </c>
      <c r="N1083" s="1455">
        <v>0</v>
      </c>
      <c r="O1083" s="1455">
        <v>0</v>
      </c>
      <c r="AA1083"/>
      <c r="AB1083"/>
    </row>
    <row r="1084" spans="3:28">
      <c r="C1084" s="1461" t="s">
        <v>4866</v>
      </c>
      <c r="D1084" s="1458">
        <v>0</v>
      </c>
      <c r="E1084" s="1458">
        <v>0</v>
      </c>
      <c r="F1084" s="1459">
        <v>0</v>
      </c>
      <c r="G1084" s="1470" t="s">
        <v>4866</v>
      </c>
      <c r="H1084" s="1456">
        <v>0</v>
      </c>
      <c r="I1084" s="1456">
        <v>0</v>
      </c>
      <c r="J1084" s="1471">
        <v>0</v>
      </c>
      <c r="K1084" s="1460"/>
      <c r="L1084" s="1454">
        <v>13095011300</v>
      </c>
      <c r="M1084" s="1455">
        <v>0</v>
      </c>
      <c r="N1084" s="1455">
        <v>0</v>
      </c>
      <c r="O1084" s="1455">
        <v>0</v>
      </c>
      <c r="AA1084"/>
      <c r="AB1084"/>
    </row>
    <row r="1085" spans="3:28">
      <c r="C1085" s="1461" t="s">
        <v>4867</v>
      </c>
      <c r="D1085" s="1458">
        <v>0</v>
      </c>
      <c r="E1085" s="1458">
        <v>0</v>
      </c>
      <c r="F1085" s="1459">
        <v>0</v>
      </c>
      <c r="G1085" s="1470" t="s">
        <v>4867</v>
      </c>
      <c r="H1085" s="1456">
        <v>0</v>
      </c>
      <c r="I1085" s="1456">
        <v>0</v>
      </c>
      <c r="J1085" s="1471">
        <v>0</v>
      </c>
      <c r="K1085" s="1460"/>
      <c r="L1085" s="1454">
        <v>13095011400</v>
      </c>
      <c r="M1085" s="1455">
        <v>0</v>
      </c>
      <c r="N1085" s="1455">
        <v>0</v>
      </c>
      <c r="O1085" s="1455">
        <v>0</v>
      </c>
      <c r="AA1085"/>
      <c r="AB1085"/>
    </row>
    <row r="1086" spans="3:28">
      <c r="C1086" s="1461" t="s">
        <v>4868</v>
      </c>
      <c r="D1086" s="1458">
        <v>0</v>
      </c>
      <c r="E1086" s="1458">
        <v>1</v>
      </c>
      <c r="F1086" s="1459">
        <v>1</v>
      </c>
      <c r="G1086" s="1470" t="s">
        <v>4868</v>
      </c>
      <c r="H1086" s="1456">
        <v>0</v>
      </c>
      <c r="I1086" s="1456">
        <v>0</v>
      </c>
      <c r="J1086" s="1471">
        <v>0</v>
      </c>
      <c r="K1086" s="1460"/>
      <c r="L1086" s="1454">
        <v>13095011600</v>
      </c>
      <c r="M1086" s="1455">
        <v>0</v>
      </c>
      <c r="N1086" s="1455">
        <v>1</v>
      </c>
      <c r="O1086" s="1455">
        <v>1</v>
      </c>
      <c r="AA1086"/>
      <c r="AB1086"/>
    </row>
    <row r="1087" spans="3:28">
      <c r="C1087" s="1461" t="s">
        <v>4869</v>
      </c>
      <c r="D1087" s="1458">
        <v>0</v>
      </c>
      <c r="E1087" s="1458">
        <v>1</v>
      </c>
      <c r="F1087" s="1459">
        <v>1</v>
      </c>
      <c r="G1087" s="1470" t="s">
        <v>4869</v>
      </c>
      <c r="H1087" s="1456">
        <v>1</v>
      </c>
      <c r="I1087" s="1456">
        <v>1</v>
      </c>
      <c r="J1087" s="1471">
        <v>2</v>
      </c>
      <c r="K1087" s="1460"/>
      <c r="L1087" s="1454">
        <v>13097080102</v>
      </c>
      <c r="M1087" s="1455">
        <v>1</v>
      </c>
      <c r="N1087" s="1455">
        <v>1</v>
      </c>
      <c r="O1087" s="1455">
        <v>2</v>
      </c>
      <c r="AA1087"/>
      <c r="AB1087"/>
    </row>
    <row r="1088" spans="3:28">
      <c r="C1088" s="1461" t="s">
        <v>4870</v>
      </c>
      <c r="D1088" s="1458">
        <v>0</v>
      </c>
      <c r="E1088" s="1458">
        <v>0</v>
      </c>
      <c r="F1088" s="1459">
        <v>0</v>
      </c>
      <c r="G1088" s="1470" t="s">
        <v>4870</v>
      </c>
      <c r="H1088" s="1456">
        <v>1</v>
      </c>
      <c r="I1088" s="1456">
        <v>0</v>
      </c>
      <c r="J1088" s="1471">
        <v>1</v>
      </c>
      <c r="K1088" s="1460"/>
      <c r="L1088" s="1454">
        <v>13097080103</v>
      </c>
      <c r="M1088" s="1455">
        <v>1</v>
      </c>
      <c r="N1088" s="1455">
        <v>0</v>
      </c>
      <c r="O1088" s="1455">
        <v>1</v>
      </c>
      <c r="AA1088"/>
      <c r="AB1088"/>
    </row>
    <row r="1089" spans="3:28">
      <c r="C1089" s="1461" t="s">
        <v>4871</v>
      </c>
      <c r="D1089" s="1458">
        <v>0</v>
      </c>
      <c r="E1089" s="1458">
        <v>1</v>
      </c>
      <c r="F1089" s="1459">
        <v>1</v>
      </c>
      <c r="G1089" s="1470" t="s">
        <v>4871</v>
      </c>
      <c r="H1089" s="1456">
        <v>0</v>
      </c>
      <c r="I1089" s="1456">
        <v>0</v>
      </c>
      <c r="J1089" s="1471">
        <v>0</v>
      </c>
      <c r="K1089" s="1460"/>
      <c r="L1089" s="1454">
        <v>13097080201</v>
      </c>
      <c r="M1089" s="1455">
        <v>0</v>
      </c>
      <c r="N1089" s="1455">
        <v>1</v>
      </c>
      <c r="O1089" s="1455">
        <v>1</v>
      </c>
      <c r="AA1089"/>
      <c r="AB1089"/>
    </row>
    <row r="1090" spans="3:28">
      <c r="C1090" s="1461" t="s">
        <v>4872</v>
      </c>
      <c r="D1090" s="1458">
        <v>0</v>
      </c>
      <c r="E1090" s="1458">
        <v>0</v>
      </c>
      <c r="F1090" s="1459">
        <v>0</v>
      </c>
      <c r="G1090" s="1470" t="s">
        <v>4872</v>
      </c>
      <c r="H1090" s="1456">
        <v>0</v>
      </c>
      <c r="I1090" s="1456">
        <v>0</v>
      </c>
      <c r="J1090" s="1471">
        <v>0</v>
      </c>
      <c r="K1090" s="1460"/>
      <c r="L1090" s="1454">
        <v>13097080202</v>
      </c>
      <c r="M1090" s="1455">
        <v>0</v>
      </c>
      <c r="N1090" s="1455">
        <v>0</v>
      </c>
      <c r="O1090" s="1455">
        <v>0</v>
      </c>
      <c r="AA1090"/>
      <c r="AB1090"/>
    </row>
    <row r="1091" spans="3:28">
      <c r="C1091" s="1461" t="s">
        <v>4873</v>
      </c>
      <c r="D1091" s="1458">
        <v>0</v>
      </c>
      <c r="E1091" s="1458">
        <v>0</v>
      </c>
      <c r="F1091" s="1459">
        <v>0</v>
      </c>
      <c r="G1091" s="1470" t="s">
        <v>4873</v>
      </c>
      <c r="H1091" s="1456">
        <v>0</v>
      </c>
      <c r="I1091" s="1456">
        <v>0</v>
      </c>
      <c r="J1091" s="1471">
        <v>0</v>
      </c>
      <c r="K1091" s="1460"/>
      <c r="L1091" s="1454">
        <v>13097080301</v>
      </c>
      <c r="M1091" s="1455">
        <v>0</v>
      </c>
      <c r="N1091" s="1455">
        <v>0</v>
      </c>
      <c r="O1091" s="1455">
        <v>0</v>
      </c>
      <c r="AA1091"/>
      <c r="AB1091"/>
    </row>
    <row r="1092" spans="3:28">
      <c r="C1092" s="1461" t="s">
        <v>4874</v>
      </c>
      <c r="D1092" s="1458">
        <v>0</v>
      </c>
      <c r="E1092" s="1458">
        <v>0</v>
      </c>
      <c r="F1092" s="1459">
        <v>0</v>
      </c>
      <c r="G1092" s="1470" t="s">
        <v>4874</v>
      </c>
      <c r="H1092" s="1456">
        <v>1</v>
      </c>
      <c r="I1092" s="1456">
        <v>0</v>
      </c>
      <c r="J1092" s="1471">
        <v>1</v>
      </c>
      <c r="K1092" s="1460"/>
      <c r="L1092" s="1454">
        <v>13097080303</v>
      </c>
      <c r="M1092" s="1455">
        <v>1</v>
      </c>
      <c r="N1092" s="1455">
        <v>0</v>
      </c>
      <c r="O1092" s="1455">
        <v>1</v>
      </c>
      <c r="AA1092"/>
      <c r="AB1092"/>
    </row>
    <row r="1093" spans="3:28">
      <c r="C1093" s="1461" t="s">
        <v>4875</v>
      </c>
      <c r="D1093" s="1458">
        <v>0</v>
      </c>
      <c r="E1093" s="1458">
        <v>0</v>
      </c>
      <c r="F1093" s="1459">
        <v>0</v>
      </c>
      <c r="G1093" s="1470" t="s">
        <v>4875</v>
      </c>
      <c r="H1093" s="1456">
        <v>0</v>
      </c>
      <c r="I1093" s="1456">
        <v>0</v>
      </c>
      <c r="J1093" s="1471">
        <v>0</v>
      </c>
      <c r="K1093" s="1460"/>
      <c r="L1093" s="1454">
        <v>13097080304</v>
      </c>
      <c r="M1093" s="1455">
        <v>0</v>
      </c>
      <c r="N1093" s="1455">
        <v>0</v>
      </c>
      <c r="O1093" s="1455">
        <v>0</v>
      </c>
      <c r="AA1093"/>
      <c r="AB1093"/>
    </row>
    <row r="1094" spans="3:28">
      <c r="C1094" s="1461" t="s">
        <v>4876</v>
      </c>
      <c r="D1094" s="1458">
        <v>1</v>
      </c>
      <c r="E1094" s="1458">
        <v>1</v>
      </c>
      <c r="F1094" s="1459">
        <v>2</v>
      </c>
      <c r="G1094" s="1470" t="s">
        <v>4876</v>
      </c>
      <c r="H1094" s="1456">
        <v>1</v>
      </c>
      <c r="I1094" s="1456">
        <v>1</v>
      </c>
      <c r="J1094" s="1471">
        <v>2</v>
      </c>
      <c r="K1094" s="1460"/>
      <c r="L1094" s="1454">
        <v>13097080402</v>
      </c>
      <c r="M1094" s="1455">
        <v>1</v>
      </c>
      <c r="N1094" s="1455">
        <v>1</v>
      </c>
      <c r="O1094" s="1455">
        <v>2</v>
      </c>
      <c r="AA1094"/>
      <c r="AB1094"/>
    </row>
    <row r="1095" spans="3:28">
      <c r="C1095" s="1461" t="s">
        <v>4877</v>
      </c>
      <c r="D1095" s="1458">
        <v>1</v>
      </c>
      <c r="E1095" s="1458">
        <v>1</v>
      </c>
      <c r="F1095" s="1459">
        <v>2</v>
      </c>
      <c r="G1095" s="1470" t="s">
        <v>4877</v>
      </c>
      <c r="H1095" s="1456">
        <v>1</v>
      </c>
      <c r="I1095" s="1456">
        <v>1</v>
      </c>
      <c r="J1095" s="1471">
        <v>2</v>
      </c>
      <c r="K1095" s="1460"/>
      <c r="L1095" s="1454">
        <v>13097080403</v>
      </c>
      <c r="M1095" s="1455">
        <v>1</v>
      </c>
      <c r="N1095" s="1455">
        <v>1</v>
      </c>
      <c r="O1095" s="1455">
        <v>2</v>
      </c>
      <c r="AA1095"/>
      <c r="AB1095"/>
    </row>
    <row r="1096" spans="3:28">
      <c r="C1096" s="1461" t="s">
        <v>4878</v>
      </c>
      <c r="D1096" s="1458">
        <v>0</v>
      </c>
      <c r="E1096" s="1458">
        <v>0</v>
      </c>
      <c r="F1096" s="1459">
        <v>0</v>
      </c>
      <c r="G1096" s="1470" t="s">
        <v>4878</v>
      </c>
      <c r="H1096" s="1456">
        <v>0</v>
      </c>
      <c r="I1096" s="1456">
        <v>0</v>
      </c>
      <c r="J1096" s="1471">
        <v>0</v>
      </c>
      <c r="K1096" s="1460"/>
      <c r="L1096" s="1454">
        <v>13097080404</v>
      </c>
      <c r="M1096" s="1455">
        <v>0</v>
      </c>
      <c r="N1096" s="1455">
        <v>0</v>
      </c>
      <c r="O1096" s="1455">
        <v>0</v>
      </c>
      <c r="AA1096"/>
      <c r="AB1096"/>
    </row>
    <row r="1097" spans="3:28">
      <c r="C1097" s="1461" t="s">
        <v>4879</v>
      </c>
      <c r="D1097" s="1458">
        <v>0</v>
      </c>
      <c r="E1097" s="1458">
        <v>1</v>
      </c>
      <c r="F1097" s="1459">
        <v>1</v>
      </c>
      <c r="G1097" s="1470" t="s">
        <v>4879</v>
      </c>
      <c r="H1097" s="1456">
        <v>0</v>
      </c>
      <c r="I1097" s="1456">
        <v>0</v>
      </c>
      <c r="J1097" s="1471">
        <v>0</v>
      </c>
      <c r="K1097" s="1460"/>
      <c r="L1097" s="1454">
        <v>13097080505</v>
      </c>
      <c r="M1097" s="1455">
        <v>0</v>
      </c>
      <c r="N1097" s="1455">
        <v>1</v>
      </c>
      <c r="O1097" s="1455">
        <v>1</v>
      </c>
      <c r="AA1097"/>
      <c r="AB1097"/>
    </row>
    <row r="1098" spans="3:28">
      <c r="C1098" s="1461" t="s">
        <v>4880</v>
      </c>
      <c r="D1098" s="1458">
        <v>1</v>
      </c>
      <c r="E1098" s="1458">
        <v>1</v>
      </c>
      <c r="F1098" s="1459">
        <v>2</v>
      </c>
      <c r="G1098" s="1470" t="s">
        <v>4880</v>
      </c>
      <c r="H1098" s="1456">
        <v>0</v>
      </c>
      <c r="I1098" s="1456">
        <v>0</v>
      </c>
      <c r="J1098" s="1471">
        <v>0</v>
      </c>
      <c r="K1098" s="1460"/>
      <c r="L1098" s="1454">
        <v>13097080506</v>
      </c>
      <c r="M1098" s="1455">
        <v>1</v>
      </c>
      <c r="N1098" s="1455">
        <v>1</v>
      </c>
      <c r="O1098" s="1455">
        <v>2</v>
      </c>
      <c r="AA1098"/>
      <c r="AB1098"/>
    </row>
    <row r="1099" spans="3:28">
      <c r="C1099" s="1461" t="s">
        <v>4881</v>
      </c>
      <c r="D1099" s="1458">
        <v>1</v>
      </c>
      <c r="E1099" s="1458">
        <v>1</v>
      </c>
      <c r="F1099" s="1459">
        <v>2</v>
      </c>
      <c r="G1099" s="1470" t="s">
        <v>4881</v>
      </c>
      <c r="H1099" s="1456">
        <v>1</v>
      </c>
      <c r="I1099" s="1456">
        <v>0</v>
      </c>
      <c r="J1099" s="1471">
        <v>1</v>
      </c>
      <c r="K1099" s="1460"/>
      <c r="L1099" s="1454">
        <v>13097080507</v>
      </c>
      <c r="M1099" s="1455">
        <v>1</v>
      </c>
      <c r="N1099" s="1455">
        <v>1</v>
      </c>
      <c r="O1099" s="1455">
        <v>2</v>
      </c>
      <c r="AA1099"/>
      <c r="AB1099"/>
    </row>
    <row r="1100" spans="3:28">
      <c r="C1100" s="1461" t="s">
        <v>4882</v>
      </c>
      <c r="D1100" s="1458">
        <v>0</v>
      </c>
      <c r="E1100" s="1458">
        <v>1</v>
      </c>
      <c r="F1100" s="1459">
        <v>1</v>
      </c>
      <c r="G1100" s="1470" t="s">
        <v>4882</v>
      </c>
      <c r="H1100" s="1456">
        <v>0</v>
      </c>
      <c r="I1100" s="1456">
        <v>0</v>
      </c>
      <c r="J1100" s="1471">
        <v>0</v>
      </c>
      <c r="K1100" s="1460"/>
      <c r="L1100" s="1454">
        <v>13097080508</v>
      </c>
      <c r="M1100" s="1455">
        <v>0</v>
      </c>
      <c r="N1100" s="1455">
        <v>1</v>
      </c>
      <c r="O1100" s="1455">
        <v>1</v>
      </c>
      <c r="AA1100"/>
      <c r="AB1100"/>
    </row>
    <row r="1101" spans="3:28">
      <c r="C1101" s="1461" t="s">
        <v>4883</v>
      </c>
      <c r="D1101" s="1458">
        <v>1</v>
      </c>
      <c r="E1101" s="1458">
        <v>1</v>
      </c>
      <c r="F1101" s="1459">
        <v>2</v>
      </c>
      <c r="G1101" s="1470" t="s">
        <v>4883</v>
      </c>
      <c r="H1101" s="1456">
        <v>1</v>
      </c>
      <c r="I1101" s="1456">
        <v>1</v>
      </c>
      <c r="J1101" s="1471">
        <v>2</v>
      </c>
      <c r="K1101" s="1460"/>
      <c r="L1101" s="1454">
        <v>13097080509</v>
      </c>
      <c r="M1101" s="1455">
        <v>1</v>
      </c>
      <c r="N1101" s="1455">
        <v>1</v>
      </c>
      <c r="O1101" s="1455">
        <v>2</v>
      </c>
      <c r="AA1101"/>
      <c r="AB1101"/>
    </row>
    <row r="1102" spans="3:28">
      <c r="C1102" s="1461" t="s">
        <v>4884</v>
      </c>
      <c r="D1102" s="1458">
        <v>1</v>
      </c>
      <c r="E1102" s="1458">
        <v>1</v>
      </c>
      <c r="F1102" s="1459">
        <v>2</v>
      </c>
      <c r="G1102" s="1470" t="s">
        <v>4884</v>
      </c>
      <c r="H1102" s="1456">
        <v>0</v>
      </c>
      <c r="I1102" s="1456">
        <v>1</v>
      </c>
      <c r="J1102" s="1471">
        <v>1</v>
      </c>
      <c r="K1102" s="1460"/>
      <c r="L1102" s="1454">
        <v>13097080510</v>
      </c>
      <c r="M1102" s="1455">
        <v>1</v>
      </c>
      <c r="N1102" s="1455">
        <v>1</v>
      </c>
      <c r="O1102" s="1455">
        <v>2</v>
      </c>
      <c r="AA1102"/>
      <c r="AB1102"/>
    </row>
    <row r="1103" spans="3:28">
      <c r="C1103" s="1461" t="s">
        <v>4885</v>
      </c>
      <c r="D1103" s="1458">
        <v>1</v>
      </c>
      <c r="E1103" s="1458">
        <v>1</v>
      </c>
      <c r="F1103" s="1459">
        <v>2</v>
      </c>
      <c r="G1103" s="1470" t="s">
        <v>4885</v>
      </c>
      <c r="H1103" s="1456">
        <v>1</v>
      </c>
      <c r="I1103" s="1456">
        <v>1</v>
      </c>
      <c r="J1103" s="1471">
        <v>2</v>
      </c>
      <c r="K1103" s="1460"/>
      <c r="L1103" s="1454">
        <v>13097080511</v>
      </c>
      <c r="M1103" s="1455">
        <v>1</v>
      </c>
      <c r="N1103" s="1455">
        <v>1</v>
      </c>
      <c r="O1103" s="1455">
        <v>2</v>
      </c>
      <c r="AA1103"/>
      <c r="AB1103"/>
    </row>
    <row r="1104" spans="3:28">
      <c r="C1104" s="1461" t="s">
        <v>4886</v>
      </c>
      <c r="D1104" s="1458">
        <v>1</v>
      </c>
      <c r="E1104" s="1458">
        <v>1</v>
      </c>
      <c r="F1104" s="1459">
        <v>2</v>
      </c>
      <c r="G1104" s="1470" t="s">
        <v>4886</v>
      </c>
      <c r="H1104" s="1456">
        <v>1</v>
      </c>
      <c r="I1104" s="1456">
        <v>1</v>
      </c>
      <c r="J1104" s="1471">
        <v>1</v>
      </c>
      <c r="K1104" s="1460"/>
      <c r="L1104" s="1454">
        <v>13097080602</v>
      </c>
      <c r="M1104" s="1455">
        <v>1</v>
      </c>
      <c r="N1104" s="1455">
        <v>1</v>
      </c>
      <c r="O1104" s="1455">
        <v>2</v>
      </c>
      <c r="AA1104"/>
      <c r="AB1104"/>
    </row>
    <row r="1105" spans="3:28">
      <c r="C1105" s="1461" t="s">
        <v>4887</v>
      </c>
      <c r="D1105" s="1458">
        <v>1</v>
      </c>
      <c r="E1105" s="1458">
        <v>1</v>
      </c>
      <c r="F1105" s="1459">
        <v>2</v>
      </c>
      <c r="G1105" s="1470" t="s">
        <v>4887</v>
      </c>
      <c r="H1105" s="1456">
        <v>1</v>
      </c>
      <c r="I1105" s="1456">
        <v>0</v>
      </c>
      <c r="J1105" s="1471">
        <v>1</v>
      </c>
      <c r="K1105" s="1460"/>
      <c r="L1105" s="1454">
        <v>13097080603</v>
      </c>
      <c r="M1105" s="1455">
        <v>1</v>
      </c>
      <c r="N1105" s="1455">
        <v>1</v>
      </c>
      <c r="O1105" s="1455">
        <v>2</v>
      </c>
      <c r="AA1105"/>
      <c r="AB1105"/>
    </row>
    <row r="1106" spans="3:28">
      <c r="C1106" s="1461" t="s">
        <v>4888</v>
      </c>
      <c r="D1106" s="1458">
        <v>1</v>
      </c>
      <c r="E1106" s="1458">
        <v>1</v>
      </c>
      <c r="F1106" s="1459">
        <v>2</v>
      </c>
      <c r="G1106" s="1470" t="s">
        <v>4888</v>
      </c>
      <c r="H1106" s="1456">
        <v>1</v>
      </c>
      <c r="I1106" s="1456">
        <v>0</v>
      </c>
      <c r="J1106" s="1471">
        <v>1</v>
      </c>
      <c r="K1106" s="1460"/>
      <c r="L1106" s="1454">
        <v>13097080604</v>
      </c>
      <c r="M1106" s="1455">
        <v>1</v>
      </c>
      <c r="N1106" s="1455">
        <v>1</v>
      </c>
      <c r="O1106" s="1455">
        <v>2</v>
      </c>
      <c r="AA1106"/>
      <c r="AB1106"/>
    </row>
    <row r="1107" spans="3:28">
      <c r="C1107" s="1461" t="s">
        <v>4889</v>
      </c>
      <c r="D1107" s="1458">
        <v>0</v>
      </c>
      <c r="E1107" s="1458">
        <v>0</v>
      </c>
      <c r="F1107" s="1459">
        <v>0</v>
      </c>
      <c r="G1107" s="1470" t="s">
        <v>4889</v>
      </c>
      <c r="H1107" s="1456">
        <v>0</v>
      </c>
      <c r="I1107" s="1456">
        <v>0</v>
      </c>
      <c r="J1107" s="1471">
        <v>0</v>
      </c>
      <c r="K1107" s="1460"/>
      <c r="L1107" s="1454">
        <v>13099090100</v>
      </c>
      <c r="M1107" s="1455">
        <v>0</v>
      </c>
      <c r="N1107" s="1455">
        <v>0</v>
      </c>
      <c r="O1107" s="1455">
        <v>0</v>
      </c>
      <c r="AA1107"/>
      <c r="AB1107"/>
    </row>
    <row r="1108" spans="3:28">
      <c r="C1108" s="1461" t="s">
        <v>4890</v>
      </c>
      <c r="D1108" s="1458">
        <v>0</v>
      </c>
      <c r="E1108" s="1458">
        <v>0</v>
      </c>
      <c r="F1108" s="1459">
        <v>0</v>
      </c>
      <c r="G1108" s="1470" t="s">
        <v>4890</v>
      </c>
      <c r="H1108" s="1456">
        <v>0</v>
      </c>
      <c r="I1108" s="1456">
        <v>0</v>
      </c>
      <c r="J1108" s="1471">
        <v>0</v>
      </c>
      <c r="K1108" s="1460"/>
      <c r="L1108" s="1454">
        <v>13099090200</v>
      </c>
      <c r="M1108" s="1455">
        <v>0</v>
      </c>
      <c r="N1108" s="1455">
        <v>0</v>
      </c>
      <c r="O1108" s="1455">
        <v>0</v>
      </c>
      <c r="AA1108"/>
      <c r="AB1108"/>
    </row>
    <row r="1109" spans="3:28">
      <c r="C1109" s="1461" t="s">
        <v>4891</v>
      </c>
      <c r="D1109" s="1458">
        <v>1</v>
      </c>
      <c r="E1109" s="1458">
        <v>0</v>
      </c>
      <c r="F1109" s="1459">
        <v>1</v>
      </c>
      <c r="G1109" s="1470" t="s">
        <v>4891</v>
      </c>
      <c r="H1109" s="1456">
        <v>0</v>
      </c>
      <c r="I1109" s="1456">
        <v>0</v>
      </c>
      <c r="J1109" s="1471">
        <v>0</v>
      </c>
      <c r="K1109" s="1460"/>
      <c r="L1109" s="1454">
        <v>13099090300</v>
      </c>
      <c r="M1109" s="1455">
        <v>1</v>
      </c>
      <c r="N1109" s="1455">
        <v>0</v>
      </c>
      <c r="O1109" s="1455">
        <v>1</v>
      </c>
      <c r="AA1109"/>
      <c r="AB1109"/>
    </row>
    <row r="1110" spans="3:28">
      <c r="C1110" s="1461" t="s">
        <v>4892</v>
      </c>
      <c r="D1110" s="1458">
        <v>0</v>
      </c>
      <c r="E1110" s="1458">
        <v>0</v>
      </c>
      <c r="F1110" s="1459">
        <v>0</v>
      </c>
      <c r="G1110" s="1470" t="s">
        <v>4892</v>
      </c>
      <c r="H1110" s="1456">
        <v>0</v>
      </c>
      <c r="I1110" s="1456">
        <v>0</v>
      </c>
      <c r="J1110" s="1471">
        <v>0</v>
      </c>
      <c r="K1110" s="1460"/>
      <c r="L1110" s="1454">
        <v>13099090400</v>
      </c>
      <c r="M1110" s="1455">
        <v>0</v>
      </c>
      <c r="N1110" s="1455">
        <v>0</v>
      </c>
      <c r="O1110" s="1455">
        <v>0</v>
      </c>
      <c r="AA1110"/>
      <c r="AB1110"/>
    </row>
    <row r="1111" spans="3:28">
      <c r="C1111" s="1461" t="s">
        <v>4893</v>
      </c>
      <c r="D1111" s="1458">
        <v>0</v>
      </c>
      <c r="E1111" s="1458">
        <v>0</v>
      </c>
      <c r="F1111" s="1459">
        <v>0</v>
      </c>
      <c r="G1111" s="1470" t="s">
        <v>4893</v>
      </c>
      <c r="H1111" s="1456">
        <v>0</v>
      </c>
      <c r="I1111" s="1456">
        <v>0</v>
      </c>
      <c r="J1111" s="1471">
        <v>0</v>
      </c>
      <c r="K1111" s="1460"/>
      <c r="L1111" s="1454">
        <v>13099090500</v>
      </c>
      <c r="M1111" s="1455">
        <v>0</v>
      </c>
      <c r="N1111" s="1455">
        <v>0</v>
      </c>
      <c r="O1111" s="1455">
        <v>0</v>
      </c>
      <c r="AA1111"/>
      <c r="AB1111"/>
    </row>
    <row r="1112" spans="3:28">
      <c r="C1112" s="1461" t="s">
        <v>4894</v>
      </c>
      <c r="D1112" s="1458">
        <v>0</v>
      </c>
      <c r="E1112" s="1458">
        <v>0</v>
      </c>
      <c r="F1112" s="1459">
        <v>0</v>
      </c>
      <c r="G1112" s="1470" t="s">
        <v>4894</v>
      </c>
      <c r="H1112" s="1456">
        <v>0</v>
      </c>
      <c r="I1112" s="1456">
        <v>0</v>
      </c>
      <c r="J1112" s="1471">
        <v>0</v>
      </c>
      <c r="K1112" s="1460"/>
      <c r="L1112" s="1454">
        <v>13101880100</v>
      </c>
      <c r="M1112" s="1455">
        <v>0</v>
      </c>
      <c r="N1112" s="1455">
        <v>0</v>
      </c>
      <c r="O1112" s="1455">
        <v>0</v>
      </c>
      <c r="AA1112"/>
      <c r="AB1112"/>
    </row>
    <row r="1113" spans="3:28">
      <c r="C1113" s="1461" t="s">
        <v>4895</v>
      </c>
      <c r="D1113" s="1458">
        <v>0</v>
      </c>
      <c r="E1113" s="1458">
        <v>0</v>
      </c>
      <c r="F1113" s="1459">
        <v>0</v>
      </c>
      <c r="G1113" s="1470" t="s">
        <v>4895</v>
      </c>
      <c r="H1113" s="1456">
        <v>0</v>
      </c>
      <c r="I1113" s="1456">
        <v>0</v>
      </c>
      <c r="J1113" s="1471">
        <v>0</v>
      </c>
      <c r="K1113" s="1460"/>
      <c r="L1113" s="1454">
        <v>13101880200</v>
      </c>
      <c r="M1113" s="1455">
        <v>0</v>
      </c>
      <c r="N1113" s="1455">
        <v>0</v>
      </c>
      <c r="O1113" s="1455">
        <v>0</v>
      </c>
      <c r="AA1113"/>
      <c r="AB1113"/>
    </row>
    <row r="1114" spans="3:28">
      <c r="C1114" s="1461" t="s">
        <v>4896</v>
      </c>
      <c r="D1114" s="1458">
        <v>1</v>
      </c>
      <c r="E1114" s="1458">
        <v>1</v>
      </c>
      <c r="F1114" s="1459">
        <v>2</v>
      </c>
      <c r="G1114" s="1470" t="s">
        <v>4896</v>
      </c>
      <c r="H1114" s="1456">
        <v>0</v>
      </c>
      <c r="I1114" s="1456">
        <v>0</v>
      </c>
      <c r="J1114" s="1471">
        <v>0</v>
      </c>
      <c r="K1114" s="1460"/>
      <c r="L1114" s="1454">
        <v>13103030100</v>
      </c>
      <c r="M1114" s="1455">
        <v>1</v>
      </c>
      <c r="N1114" s="1455">
        <v>1</v>
      </c>
      <c r="O1114" s="1455">
        <v>2</v>
      </c>
      <c r="AA1114"/>
      <c r="AB1114"/>
    </row>
    <row r="1115" spans="3:28">
      <c r="C1115" s="1461" t="s">
        <v>4897</v>
      </c>
      <c r="D1115" s="1458">
        <v>1</v>
      </c>
      <c r="E1115" s="1458">
        <v>1</v>
      </c>
      <c r="F1115" s="1459">
        <v>2</v>
      </c>
      <c r="G1115" s="1470" t="s">
        <v>4897</v>
      </c>
      <c r="H1115" s="1456">
        <v>1</v>
      </c>
      <c r="I1115" s="1456">
        <v>0</v>
      </c>
      <c r="J1115" s="1471">
        <v>1</v>
      </c>
      <c r="K1115" s="1460"/>
      <c r="L1115" s="1454">
        <v>13103030202</v>
      </c>
      <c r="M1115" s="1455">
        <v>1</v>
      </c>
      <c r="N1115" s="1455">
        <v>1</v>
      </c>
      <c r="O1115" s="1455">
        <v>2</v>
      </c>
      <c r="AA1115"/>
      <c r="AB1115"/>
    </row>
    <row r="1116" spans="3:28">
      <c r="C1116" s="1461" t="s">
        <v>4898</v>
      </c>
      <c r="D1116" s="1458">
        <v>1</v>
      </c>
      <c r="E1116" s="1458">
        <v>1</v>
      </c>
      <c r="F1116" s="1459">
        <v>2</v>
      </c>
      <c r="G1116" s="1470" t="s">
        <v>4898</v>
      </c>
      <c r="H1116" s="1456">
        <v>1</v>
      </c>
      <c r="I1116" s="1456">
        <v>0</v>
      </c>
      <c r="J1116" s="1471">
        <v>1</v>
      </c>
      <c r="K1116" s="1460"/>
      <c r="L1116" s="1454">
        <v>13103030203</v>
      </c>
      <c r="M1116" s="1455">
        <v>1</v>
      </c>
      <c r="N1116" s="1455">
        <v>1</v>
      </c>
      <c r="O1116" s="1455">
        <v>2</v>
      </c>
      <c r="AA1116"/>
      <c r="AB1116"/>
    </row>
    <row r="1117" spans="3:28">
      <c r="C1117" s="1461" t="s">
        <v>4899</v>
      </c>
      <c r="D1117" s="1458">
        <v>0</v>
      </c>
      <c r="E1117" s="1458">
        <v>0</v>
      </c>
      <c r="F1117" s="1459">
        <v>0</v>
      </c>
      <c r="G1117" s="1470" t="s">
        <v>4899</v>
      </c>
      <c r="H1117" s="1456">
        <v>0</v>
      </c>
      <c r="I1117" s="1456">
        <v>1</v>
      </c>
      <c r="J1117" s="1471">
        <v>1</v>
      </c>
      <c r="K1117" s="1460"/>
      <c r="L1117" s="1454">
        <v>13103030204</v>
      </c>
      <c r="M1117" s="1455">
        <v>0</v>
      </c>
      <c r="N1117" s="1455">
        <v>1</v>
      </c>
      <c r="O1117" s="1455">
        <v>1</v>
      </c>
      <c r="AA1117"/>
      <c r="AB1117"/>
    </row>
    <row r="1118" spans="3:28">
      <c r="C1118" s="1461" t="s">
        <v>4900</v>
      </c>
      <c r="D1118" s="1458">
        <v>1</v>
      </c>
      <c r="E1118" s="1458">
        <v>1</v>
      </c>
      <c r="F1118" s="1459">
        <v>2</v>
      </c>
      <c r="G1118" s="1470" t="s">
        <v>4900</v>
      </c>
      <c r="H1118" s="1456">
        <v>1</v>
      </c>
      <c r="I1118" s="1456">
        <v>1</v>
      </c>
      <c r="J1118" s="1471">
        <v>2</v>
      </c>
      <c r="K1118" s="1460"/>
      <c r="L1118" s="1454">
        <v>13103030301</v>
      </c>
      <c r="M1118" s="1455">
        <v>1</v>
      </c>
      <c r="N1118" s="1455">
        <v>1</v>
      </c>
      <c r="O1118" s="1455">
        <v>2</v>
      </c>
      <c r="AA1118"/>
      <c r="AB1118"/>
    </row>
    <row r="1119" spans="3:28">
      <c r="C1119" s="1461" t="s">
        <v>4901</v>
      </c>
      <c r="D1119" s="1458">
        <v>0</v>
      </c>
      <c r="E1119" s="1458">
        <v>1</v>
      </c>
      <c r="F1119" s="1459">
        <v>1</v>
      </c>
      <c r="G1119" s="1470" t="s">
        <v>4901</v>
      </c>
      <c r="H1119" s="1456">
        <v>1</v>
      </c>
      <c r="I1119" s="1456">
        <v>0</v>
      </c>
      <c r="J1119" s="1471">
        <v>1</v>
      </c>
      <c r="K1119" s="1460"/>
      <c r="L1119" s="1454">
        <v>13103030303</v>
      </c>
      <c r="M1119" s="1455">
        <v>1</v>
      </c>
      <c r="N1119" s="1455">
        <v>1</v>
      </c>
      <c r="O1119" s="1455">
        <v>1</v>
      </c>
      <c r="AA1119"/>
      <c r="AB1119"/>
    </row>
    <row r="1120" spans="3:28">
      <c r="C1120" s="1461" t="s">
        <v>4902</v>
      </c>
      <c r="D1120" s="1458">
        <v>1</v>
      </c>
      <c r="E1120" s="1458">
        <v>1</v>
      </c>
      <c r="F1120" s="1459">
        <v>2</v>
      </c>
      <c r="G1120" s="1470" t="s">
        <v>4902</v>
      </c>
      <c r="H1120" s="1456">
        <v>1</v>
      </c>
      <c r="I1120" s="1456">
        <v>0</v>
      </c>
      <c r="J1120" s="1471">
        <v>1</v>
      </c>
      <c r="K1120" s="1460"/>
      <c r="L1120" s="1454">
        <v>13103030304</v>
      </c>
      <c r="M1120" s="1455">
        <v>1</v>
      </c>
      <c r="N1120" s="1455">
        <v>1</v>
      </c>
      <c r="O1120" s="1455">
        <v>2</v>
      </c>
      <c r="AA1120"/>
      <c r="AB1120"/>
    </row>
    <row r="1121" spans="3:28">
      <c r="C1121" s="1461" t="s">
        <v>4903</v>
      </c>
      <c r="D1121" s="1458">
        <v>1</v>
      </c>
      <c r="E1121" s="1458">
        <v>1</v>
      </c>
      <c r="F1121" s="1459">
        <v>2</v>
      </c>
      <c r="G1121" s="1470" t="s">
        <v>4903</v>
      </c>
      <c r="H1121" s="1456">
        <v>1</v>
      </c>
      <c r="I1121" s="1456">
        <v>1</v>
      </c>
      <c r="J1121" s="1471">
        <v>2</v>
      </c>
      <c r="K1121" s="1460"/>
      <c r="L1121" s="1454">
        <v>13103030305</v>
      </c>
      <c r="M1121" s="1455">
        <v>1</v>
      </c>
      <c r="N1121" s="1455">
        <v>1</v>
      </c>
      <c r="O1121" s="1455">
        <v>2</v>
      </c>
      <c r="AA1121"/>
      <c r="AB1121"/>
    </row>
    <row r="1122" spans="3:28">
      <c r="C1122" s="1461" t="s">
        <v>4904</v>
      </c>
      <c r="D1122" s="1458">
        <v>1</v>
      </c>
      <c r="E1122" s="1458">
        <v>1</v>
      </c>
      <c r="F1122" s="1459">
        <v>2</v>
      </c>
      <c r="G1122" s="1470" t="s">
        <v>4904</v>
      </c>
      <c r="H1122" s="1456">
        <v>1</v>
      </c>
      <c r="I1122" s="1456">
        <v>1</v>
      </c>
      <c r="J1122" s="1471">
        <v>2</v>
      </c>
      <c r="K1122" s="1460"/>
      <c r="L1122" s="1454">
        <v>13103030401</v>
      </c>
      <c r="M1122" s="1455">
        <v>1</v>
      </c>
      <c r="N1122" s="1455">
        <v>1</v>
      </c>
      <c r="O1122" s="1455">
        <v>2</v>
      </c>
      <c r="AA1122"/>
      <c r="AB1122"/>
    </row>
    <row r="1123" spans="3:28">
      <c r="C1123" s="1461" t="s">
        <v>4905</v>
      </c>
      <c r="D1123" s="1458">
        <v>1</v>
      </c>
      <c r="E1123" s="1458">
        <v>1</v>
      </c>
      <c r="F1123" s="1459">
        <v>2</v>
      </c>
      <c r="G1123" s="1470" t="s">
        <v>4905</v>
      </c>
      <c r="H1123" s="1456">
        <v>1</v>
      </c>
      <c r="I1123" s="1456">
        <v>1</v>
      </c>
      <c r="J1123" s="1471">
        <v>2</v>
      </c>
      <c r="K1123" s="1460"/>
      <c r="L1123" s="1454">
        <v>13103030402</v>
      </c>
      <c r="M1123" s="1455">
        <v>1</v>
      </c>
      <c r="N1123" s="1455">
        <v>1</v>
      </c>
      <c r="O1123" s="1455">
        <v>2</v>
      </c>
      <c r="AA1123"/>
      <c r="AB1123"/>
    </row>
    <row r="1124" spans="3:28">
      <c r="C1124" s="1461" t="s">
        <v>4906</v>
      </c>
      <c r="D1124" s="1458">
        <v>0</v>
      </c>
      <c r="E1124" s="1458">
        <v>0</v>
      </c>
      <c r="F1124" s="1459">
        <v>0</v>
      </c>
      <c r="G1124" s="1470" t="s">
        <v>4906</v>
      </c>
      <c r="H1124" s="1456">
        <v>0</v>
      </c>
      <c r="I1124" s="1456">
        <v>0</v>
      </c>
      <c r="J1124" s="1471">
        <v>0</v>
      </c>
      <c r="K1124" s="1460"/>
      <c r="L1124" s="1454">
        <v>13105000100</v>
      </c>
      <c r="M1124" s="1455">
        <v>0</v>
      </c>
      <c r="N1124" s="1455">
        <v>0</v>
      </c>
      <c r="O1124" s="1455">
        <v>0</v>
      </c>
      <c r="AA1124"/>
      <c r="AB1124"/>
    </row>
    <row r="1125" spans="3:28">
      <c r="C1125" s="1461" t="s">
        <v>4907</v>
      </c>
      <c r="D1125" s="1458">
        <v>0</v>
      </c>
      <c r="E1125" s="1458">
        <v>0</v>
      </c>
      <c r="F1125" s="1459">
        <v>0</v>
      </c>
      <c r="G1125" s="1470" t="s">
        <v>4907</v>
      </c>
      <c r="H1125" s="1456">
        <v>0</v>
      </c>
      <c r="I1125" s="1456">
        <v>0</v>
      </c>
      <c r="J1125" s="1471">
        <v>0</v>
      </c>
      <c r="K1125" s="1460"/>
      <c r="L1125" s="1454">
        <v>13105000200</v>
      </c>
      <c r="M1125" s="1455">
        <v>0</v>
      </c>
      <c r="N1125" s="1455">
        <v>0</v>
      </c>
      <c r="O1125" s="1455">
        <v>0</v>
      </c>
      <c r="AA1125"/>
      <c r="AB1125"/>
    </row>
    <row r="1126" spans="3:28">
      <c r="C1126" s="1461" t="s">
        <v>4908</v>
      </c>
      <c r="D1126" s="1458">
        <v>0</v>
      </c>
      <c r="E1126" s="1458">
        <v>0</v>
      </c>
      <c r="F1126" s="1459">
        <v>0</v>
      </c>
      <c r="G1126" s="1470" t="s">
        <v>4908</v>
      </c>
      <c r="H1126" s="1456">
        <v>0</v>
      </c>
      <c r="I1126" s="1456">
        <v>0</v>
      </c>
      <c r="J1126" s="1471">
        <v>0</v>
      </c>
      <c r="K1126" s="1460"/>
      <c r="L1126" s="1454">
        <v>13105000300</v>
      </c>
      <c r="M1126" s="1455">
        <v>0</v>
      </c>
      <c r="N1126" s="1455">
        <v>0</v>
      </c>
      <c r="O1126" s="1455">
        <v>0</v>
      </c>
      <c r="AA1126"/>
      <c r="AB1126"/>
    </row>
    <row r="1127" spans="3:28">
      <c r="C1127" s="1461" t="s">
        <v>4909</v>
      </c>
      <c r="D1127" s="1458">
        <v>0</v>
      </c>
      <c r="E1127" s="1458">
        <v>0</v>
      </c>
      <c r="F1127" s="1459">
        <v>0</v>
      </c>
      <c r="G1127" s="1470" t="s">
        <v>4909</v>
      </c>
      <c r="H1127" s="1456">
        <v>0</v>
      </c>
      <c r="I1127" s="1456">
        <v>0</v>
      </c>
      <c r="J1127" s="1471">
        <v>0</v>
      </c>
      <c r="K1127" s="1460"/>
      <c r="L1127" s="1454">
        <v>13105000400</v>
      </c>
      <c r="M1127" s="1455">
        <v>0</v>
      </c>
      <c r="N1127" s="1455">
        <v>0</v>
      </c>
      <c r="O1127" s="1455">
        <v>0</v>
      </c>
      <c r="AA1127"/>
      <c r="AB1127"/>
    </row>
    <row r="1128" spans="3:28">
      <c r="C1128" s="1461" t="s">
        <v>4910</v>
      </c>
      <c r="D1128" s="1458">
        <v>0</v>
      </c>
      <c r="E1128" s="1458">
        <v>0</v>
      </c>
      <c r="F1128" s="1459">
        <v>0</v>
      </c>
      <c r="G1128" s="1470" t="s">
        <v>4910</v>
      </c>
      <c r="H1128" s="1456">
        <v>0</v>
      </c>
      <c r="I1128" s="1456">
        <v>1</v>
      </c>
      <c r="J1128" s="1471">
        <v>1</v>
      </c>
      <c r="K1128" s="1460"/>
      <c r="L1128" s="1454">
        <v>13105000500</v>
      </c>
      <c r="M1128" s="1455">
        <v>0</v>
      </c>
      <c r="N1128" s="1455">
        <v>1</v>
      </c>
      <c r="O1128" s="1455">
        <v>1</v>
      </c>
      <c r="AA1128"/>
      <c r="AB1128"/>
    </row>
    <row r="1129" spans="3:28">
      <c r="C1129" s="1461" t="s">
        <v>4911</v>
      </c>
      <c r="D1129" s="1458">
        <v>0</v>
      </c>
      <c r="E1129" s="1458">
        <v>0</v>
      </c>
      <c r="F1129" s="1459">
        <v>0</v>
      </c>
      <c r="G1129" s="1470" t="s">
        <v>4911</v>
      </c>
      <c r="H1129" s="1456">
        <v>0</v>
      </c>
      <c r="I1129" s="1456">
        <v>0</v>
      </c>
      <c r="J1129" s="1471">
        <v>0</v>
      </c>
      <c r="K1129" s="1460"/>
      <c r="L1129" s="1454">
        <v>13107970100</v>
      </c>
      <c r="M1129" s="1455">
        <v>0</v>
      </c>
      <c r="N1129" s="1455">
        <v>0</v>
      </c>
      <c r="O1129" s="1455">
        <v>0</v>
      </c>
      <c r="AA1129"/>
      <c r="AB1129"/>
    </row>
    <row r="1130" spans="3:28">
      <c r="C1130" s="1461" t="s">
        <v>4912</v>
      </c>
      <c r="D1130" s="1458">
        <v>0</v>
      </c>
      <c r="E1130" s="1458">
        <v>0</v>
      </c>
      <c r="F1130" s="1459">
        <v>0</v>
      </c>
      <c r="G1130" s="1470" t="s">
        <v>4912</v>
      </c>
      <c r="H1130" s="1456">
        <v>0</v>
      </c>
      <c r="I1130" s="1456">
        <v>0</v>
      </c>
      <c r="J1130" s="1471">
        <v>0</v>
      </c>
      <c r="K1130" s="1460"/>
      <c r="L1130" s="1454">
        <v>13107970200</v>
      </c>
      <c r="M1130" s="1455">
        <v>0</v>
      </c>
      <c r="N1130" s="1455">
        <v>0</v>
      </c>
      <c r="O1130" s="1455">
        <v>0</v>
      </c>
      <c r="AA1130"/>
      <c r="AB1130"/>
    </row>
    <row r="1131" spans="3:28">
      <c r="C1131" s="1461" t="s">
        <v>4913</v>
      </c>
      <c r="D1131" s="1458">
        <v>0</v>
      </c>
      <c r="E1131" s="1458">
        <v>0</v>
      </c>
      <c r="F1131" s="1459">
        <v>0</v>
      </c>
      <c r="G1131" s="1470" t="s">
        <v>4913</v>
      </c>
      <c r="H1131" s="1456">
        <v>0</v>
      </c>
      <c r="I1131" s="1456">
        <v>0</v>
      </c>
      <c r="J1131" s="1471">
        <v>0</v>
      </c>
      <c r="K1131" s="1460"/>
      <c r="L1131" s="1454">
        <v>13107970300</v>
      </c>
      <c r="M1131" s="1455">
        <v>0</v>
      </c>
      <c r="N1131" s="1455">
        <v>0</v>
      </c>
      <c r="O1131" s="1455">
        <v>0</v>
      </c>
      <c r="AA1131"/>
      <c r="AB1131"/>
    </row>
    <row r="1132" spans="3:28">
      <c r="C1132" s="1461" t="s">
        <v>4914</v>
      </c>
      <c r="D1132" s="1458">
        <v>0</v>
      </c>
      <c r="E1132" s="1458">
        <v>0</v>
      </c>
      <c r="F1132" s="1459">
        <v>0</v>
      </c>
      <c r="G1132" s="1470" t="s">
        <v>4914</v>
      </c>
      <c r="H1132" s="1456">
        <v>0</v>
      </c>
      <c r="I1132" s="1456">
        <v>0</v>
      </c>
      <c r="J1132" s="1471">
        <v>0</v>
      </c>
      <c r="K1132" s="1460"/>
      <c r="L1132" s="1454">
        <v>13107970400</v>
      </c>
      <c r="M1132" s="1455">
        <v>0</v>
      </c>
      <c r="N1132" s="1455">
        <v>0</v>
      </c>
      <c r="O1132" s="1455">
        <v>0</v>
      </c>
      <c r="AA1132"/>
      <c r="AB1132"/>
    </row>
    <row r="1133" spans="3:28">
      <c r="C1133" s="1461" t="s">
        <v>4915</v>
      </c>
      <c r="D1133" s="1458">
        <v>0</v>
      </c>
      <c r="E1133" s="1458">
        <v>0</v>
      </c>
      <c r="F1133" s="1459">
        <v>0</v>
      </c>
      <c r="G1133" s="1470" t="s">
        <v>4915</v>
      </c>
      <c r="H1133" s="1456">
        <v>0</v>
      </c>
      <c r="I1133" s="1456">
        <v>0</v>
      </c>
      <c r="J1133" s="1471">
        <v>0</v>
      </c>
      <c r="K1133" s="1460"/>
      <c r="L1133" s="1454">
        <v>13107970500</v>
      </c>
      <c r="M1133" s="1455">
        <v>0</v>
      </c>
      <c r="N1133" s="1455">
        <v>0</v>
      </c>
      <c r="O1133" s="1455">
        <v>0</v>
      </c>
      <c r="AA1133"/>
      <c r="AB1133"/>
    </row>
    <row r="1134" spans="3:28">
      <c r="C1134" s="1461" t="s">
        <v>4916</v>
      </c>
      <c r="D1134" s="1458">
        <v>0</v>
      </c>
      <c r="E1134" s="1458">
        <v>0</v>
      </c>
      <c r="F1134" s="1459">
        <v>0</v>
      </c>
      <c r="G1134" s="1470" t="s">
        <v>4916</v>
      </c>
      <c r="H1134" s="1456">
        <v>0</v>
      </c>
      <c r="I1134" s="1456">
        <v>0</v>
      </c>
      <c r="J1134" s="1471">
        <v>0</v>
      </c>
      <c r="K1134" s="1460"/>
      <c r="L1134" s="1454">
        <v>13107970600</v>
      </c>
      <c r="M1134" s="1455">
        <v>0</v>
      </c>
      <c r="N1134" s="1455">
        <v>0</v>
      </c>
      <c r="O1134" s="1455">
        <v>0</v>
      </c>
      <c r="AA1134"/>
      <c r="AB1134"/>
    </row>
    <row r="1135" spans="3:28">
      <c r="C1135" s="1461" t="s">
        <v>4917</v>
      </c>
      <c r="D1135" s="1458">
        <v>0</v>
      </c>
      <c r="E1135" s="1458">
        <v>0</v>
      </c>
      <c r="F1135" s="1459">
        <v>0</v>
      </c>
      <c r="G1135" s="1470" t="s">
        <v>4917</v>
      </c>
      <c r="H1135" s="1456">
        <v>0</v>
      </c>
      <c r="I1135" s="1456">
        <v>0</v>
      </c>
      <c r="J1135" s="1471">
        <v>0</v>
      </c>
      <c r="K1135" s="1460"/>
      <c r="L1135" s="1454">
        <v>13109970100</v>
      </c>
      <c r="M1135" s="1455">
        <v>0</v>
      </c>
      <c r="N1135" s="1455">
        <v>0</v>
      </c>
      <c r="O1135" s="1455">
        <v>0</v>
      </c>
      <c r="AA1135"/>
      <c r="AB1135"/>
    </row>
    <row r="1136" spans="3:28">
      <c r="C1136" s="1461" t="s">
        <v>4918</v>
      </c>
      <c r="D1136" s="1458">
        <v>0</v>
      </c>
      <c r="E1136" s="1458">
        <v>0</v>
      </c>
      <c r="F1136" s="1459">
        <v>0</v>
      </c>
      <c r="G1136" s="1470" t="s">
        <v>4918</v>
      </c>
      <c r="H1136" s="1456">
        <v>0</v>
      </c>
      <c r="I1136" s="1456">
        <v>0</v>
      </c>
      <c r="J1136" s="1471">
        <v>0</v>
      </c>
      <c r="K1136" s="1460"/>
      <c r="L1136" s="1454">
        <v>13109970200</v>
      </c>
      <c r="M1136" s="1455">
        <v>0</v>
      </c>
      <c r="N1136" s="1455">
        <v>0</v>
      </c>
      <c r="O1136" s="1455">
        <v>0</v>
      </c>
      <c r="AA1136"/>
      <c r="AB1136"/>
    </row>
    <row r="1137" spans="3:28">
      <c r="C1137" s="1461" t="s">
        <v>4919</v>
      </c>
      <c r="D1137" s="1458">
        <v>0</v>
      </c>
      <c r="E1137" s="1458">
        <v>0</v>
      </c>
      <c r="F1137" s="1459">
        <v>0</v>
      </c>
      <c r="G1137" s="1470" t="s">
        <v>4919</v>
      </c>
      <c r="H1137" s="1456">
        <v>0</v>
      </c>
      <c r="I1137" s="1456">
        <v>0</v>
      </c>
      <c r="J1137" s="1471">
        <v>0</v>
      </c>
      <c r="K1137" s="1460"/>
      <c r="L1137" s="1454">
        <v>13109970300</v>
      </c>
      <c r="M1137" s="1455">
        <v>0</v>
      </c>
      <c r="N1137" s="1455">
        <v>0</v>
      </c>
      <c r="O1137" s="1455">
        <v>0</v>
      </c>
      <c r="AA1137"/>
      <c r="AB1137"/>
    </row>
    <row r="1138" spans="3:28">
      <c r="C1138" s="1461" t="s">
        <v>4920</v>
      </c>
      <c r="D1138" s="1458">
        <v>0</v>
      </c>
      <c r="E1138" s="1458">
        <v>0</v>
      </c>
      <c r="F1138" s="1459">
        <v>0</v>
      </c>
      <c r="G1138" s="1470" t="s">
        <v>4920</v>
      </c>
      <c r="H1138" s="1456">
        <v>0</v>
      </c>
      <c r="I1138" s="1456">
        <v>0</v>
      </c>
      <c r="J1138" s="1471">
        <v>0</v>
      </c>
      <c r="K1138" s="1460"/>
      <c r="L1138" s="1454">
        <v>13111050100</v>
      </c>
      <c r="M1138" s="1455">
        <v>0</v>
      </c>
      <c r="N1138" s="1455">
        <v>0</v>
      </c>
      <c r="O1138" s="1455">
        <v>0</v>
      </c>
      <c r="AA1138"/>
      <c r="AB1138"/>
    </row>
    <row r="1139" spans="3:28">
      <c r="C1139" s="1461" t="s">
        <v>4921</v>
      </c>
      <c r="D1139" s="1458">
        <v>0</v>
      </c>
      <c r="E1139" s="1458">
        <v>0</v>
      </c>
      <c r="F1139" s="1459">
        <v>0</v>
      </c>
      <c r="G1139" s="1470" t="s">
        <v>4921</v>
      </c>
      <c r="H1139" s="1456">
        <v>0</v>
      </c>
      <c r="I1139" s="1456">
        <v>0</v>
      </c>
      <c r="J1139" s="1471">
        <v>0</v>
      </c>
      <c r="K1139" s="1460"/>
      <c r="L1139" s="1454">
        <v>13111050200</v>
      </c>
      <c r="M1139" s="1455">
        <v>0</v>
      </c>
      <c r="N1139" s="1455">
        <v>0</v>
      </c>
      <c r="O1139" s="1455">
        <v>0</v>
      </c>
      <c r="AA1139"/>
      <c r="AB1139"/>
    </row>
    <row r="1140" spans="3:28">
      <c r="C1140" s="1461" t="s">
        <v>4922</v>
      </c>
      <c r="D1140" s="1458">
        <v>0</v>
      </c>
      <c r="E1140" s="1458">
        <v>0</v>
      </c>
      <c r="F1140" s="1459">
        <v>0</v>
      </c>
      <c r="G1140" s="1470" t="s">
        <v>4922</v>
      </c>
      <c r="H1140" s="1456">
        <v>0</v>
      </c>
      <c r="I1140" s="1456" t="s">
        <v>3906</v>
      </c>
      <c r="J1140" s="1471">
        <v>0</v>
      </c>
      <c r="K1140" s="1460"/>
      <c r="L1140" s="1454">
        <v>13111050300</v>
      </c>
      <c r="M1140" s="1455">
        <v>0</v>
      </c>
      <c r="N1140" s="1455">
        <v>0</v>
      </c>
      <c r="O1140" s="1455">
        <v>0</v>
      </c>
      <c r="AA1140"/>
      <c r="AB1140"/>
    </row>
    <row r="1141" spans="3:28">
      <c r="C1141" s="1461" t="s">
        <v>4923</v>
      </c>
      <c r="D1141" s="1458">
        <v>0</v>
      </c>
      <c r="E1141" s="1458">
        <v>0</v>
      </c>
      <c r="F1141" s="1459">
        <v>0</v>
      </c>
      <c r="G1141" s="1470" t="s">
        <v>4923</v>
      </c>
      <c r="H1141" s="1456">
        <v>0</v>
      </c>
      <c r="I1141" s="1456">
        <v>1</v>
      </c>
      <c r="J1141" s="1471">
        <v>1</v>
      </c>
      <c r="K1141" s="1460"/>
      <c r="L1141" s="1454">
        <v>13111050400</v>
      </c>
      <c r="M1141" s="1455">
        <v>0</v>
      </c>
      <c r="N1141" s="1455">
        <v>1</v>
      </c>
      <c r="O1141" s="1455">
        <v>1</v>
      </c>
      <c r="AA1141"/>
      <c r="AB1141"/>
    </row>
    <row r="1142" spans="3:28">
      <c r="C1142" s="1461" t="s">
        <v>4924</v>
      </c>
      <c r="D1142" s="1458">
        <v>0</v>
      </c>
      <c r="E1142" s="1458">
        <v>0</v>
      </c>
      <c r="F1142" s="1459">
        <v>0</v>
      </c>
      <c r="G1142" s="1470" t="s">
        <v>4924</v>
      </c>
      <c r="H1142" s="1456">
        <v>1</v>
      </c>
      <c r="I1142" s="1456">
        <v>0</v>
      </c>
      <c r="J1142" s="1471">
        <v>1</v>
      </c>
      <c r="K1142" s="1460"/>
      <c r="L1142" s="1454">
        <v>13111050500</v>
      </c>
      <c r="M1142" s="1455">
        <v>1</v>
      </c>
      <c r="N1142" s="1455">
        <v>0</v>
      </c>
      <c r="O1142" s="1455">
        <v>1</v>
      </c>
      <c r="AA1142"/>
      <c r="AB1142"/>
    </row>
    <row r="1143" spans="3:28">
      <c r="C1143" s="1461" t="s">
        <v>4925</v>
      </c>
      <c r="D1143" s="1458">
        <v>1</v>
      </c>
      <c r="E1143" s="1458">
        <v>0</v>
      </c>
      <c r="F1143" s="1459">
        <v>1</v>
      </c>
      <c r="G1143" s="1470" t="s">
        <v>4925</v>
      </c>
      <c r="H1143" s="1456">
        <v>1</v>
      </c>
      <c r="I1143" s="1456">
        <v>1</v>
      </c>
      <c r="J1143" s="1471">
        <v>2</v>
      </c>
      <c r="K1143" s="1460"/>
      <c r="L1143" s="1454">
        <v>13113140101</v>
      </c>
      <c r="M1143" s="1455">
        <v>1</v>
      </c>
      <c r="N1143" s="1455">
        <v>1</v>
      </c>
      <c r="O1143" s="1455">
        <v>2</v>
      </c>
      <c r="AA1143"/>
      <c r="AB1143"/>
    </row>
    <row r="1144" spans="3:28">
      <c r="C1144" s="1461" t="s">
        <v>4926</v>
      </c>
      <c r="D1144" s="1458">
        <v>1</v>
      </c>
      <c r="E1144" s="1458">
        <v>1</v>
      </c>
      <c r="F1144" s="1459">
        <v>2</v>
      </c>
      <c r="G1144" s="1470" t="s">
        <v>4926</v>
      </c>
      <c r="H1144" s="1456">
        <v>1</v>
      </c>
      <c r="I1144" s="1456">
        <v>1</v>
      </c>
      <c r="J1144" s="1471">
        <v>2</v>
      </c>
      <c r="K1144" s="1460"/>
      <c r="L1144" s="1454">
        <v>13113140102</v>
      </c>
      <c r="M1144" s="1455">
        <v>1</v>
      </c>
      <c r="N1144" s="1455">
        <v>1</v>
      </c>
      <c r="O1144" s="1455">
        <v>2</v>
      </c>
      <c r="AA1144"/>
      <c r="AB1144"/>
    </row>
    <row r="1145" spans="3:28">
      <c r="C1145" s="1461" t="s">
        <v>4927</v>
      </c>
      <c r="D1145" s="1458">
        <v>1</v>
      </c>
      <c r="E1145" s="1458">
        <v>1</v>
      </c>
      <c r="F1145" s="1459">
        <v>2</v>
      </c>
      <c r="G1145" s="1470" t="s">
        <v>4927</v>
      </c>
      <c r="H1145" s="1456">
        <v>1</v>
      </c>
      <c r="I1145" s="1456">
        <v>1</v>
      </c>
      <c r="J1145" s="1471">
        <v>2</v>
      </c>
      <c r="K1145" s="1460"/>
      <c r="L1145" s="1454">
        <v>13113140203</v>
      </c>
      <c r="M1145" s="1455">
        <v>1</v>
      </c>
      <c r="N1145" s="1455">
        <v>1</v>
      </c>
      <c r="O1145" s="1455">
        <v>2</v>
      </c>
      <c r="AA1145"/>
      <c r="AB1145"/>
    </row>
    <row r="1146" spans="3:28">
      <c r="C1146" s="1461" t="s">
        <v>4928</v>
      </c>
      <c r="D1146" s="1458">
        <v>1</v>
      </c>
      <c r="E1146" s="1458">
        <v>1</v>
      </c>
      <c r="F1146" s="1459">
        <v>2</v>
      </c>
      <c r="G1146" s="1470" t="s">
        <v>4928</v>
      </c>
      <c r="H1146" s="1456">
        <v>1</v>
      </c>
      <c r="I1146" s="1456">
        <v>1</v>
      </c>
      <c r="J1146" s="1471">
        <v>2</v>
      </c>
      <c r="K1146" s="1460"/>
      <c r="L1146" s="1454">
        <v>13113140204</v>
      </c>
      <c r="M1146" s="1455">
        <v>1</v>
      </c>
      <c r="N1146" s="1455">
        <v>1</v>
      </c>
      <c r="O1146" s="1455">
        <v>2</v>
      </c>
      <c r="AA1146"/>
      <c r="AB1146"/>
    </row>
    <row r="1147" spans="3:28">
      <c r="C1147" s="1461" t="s">
        <v>4929</v>
      </c>
      <c r="D1147" s="1458">
        <v>1</v>
      </c>
      <c r="E1147" s="1458">
        <v>1</v>
      </c>
      <c r="F1147" s="1459">
        <v>2</v>
      </c>
      <c r="G1147" s="1470" t="s">
        <v>4929</v>
      </c>
      <c r="H1147" s="1456">
        <v>1</v>
      </c>
      <c r="I1147" s="1456">
        <v>1</v>
      </c>
      <c r="J1147" s="1471">
        <v>2</v>
      </c>
      <c r="K1147" s="1460"/>
      <c r="L1147" s="1454">
        <v>13113140206</v>
      </c>
      <c r="M1147" s="1455">
        <v>1</v>
      </c>
      <c r="N1147" s="1455">
        <v>1</v>
      </c>
      <c r="O1147" s="1455">
        <v>2</v>
      </c>
      <c r="AA1147"/>
      <c r="AB1147"/>
    </row>
    <row r="1148" spans="3:28">
      <c r="C1148" s="1461" t="s">
        <v>4930</v>
      </c>
      <c r="D1148" s="1458">
        <v>1</v>
      </c>
      <c r="E1148" s="1458">
        <v>1</v>
      </c>
      <c r="F1148" s="1459">
        <v>2</v>
      </c>
      <c r="G1148" s="1470" t="s">
        <v>4930</v>
      </c>
      <c r="H1148" s="1456">
        <v>1</v>
      </c>
      <c r="I1148" s="1456">
        <v>1</v>
      </c>
      <c r="J1148" s="1471">
        <v>2</v>
      </c>
      <c r="K1148" s="1460"/>
      <c r="L1148" s="1454">
        <v>13113140207</v>
      </c>
      <c r="M1148" s="1455">
        <v>1</v>
      </c>
      <c r="N1148" s="1455">
        <v>1</v>
      </c>
      <c r="O1148" s="1455">
        <v>2</v>
      </c>
      <c r="AA1148"/>
      <c r="AB1148"/>
    </row>
    <row r="1149" spans="3:28">
      <c r="C1149" s="1461" t="s">
        <v>4931</v>
      </c>
      <c r="D1149" s="1458">
        <v>1</v>
      </c>
      <c r="E1149" s="1458">
        <v>1</v>
      </c>
      <c r="F1149" s="1459">
        <v>2</v>
      </c>
      <c r="G1149" s="1470" t="s">
        <v>4931</v>
      </c>
      <c r="H1149" s="1456">
        <v>1</v>
      </c>
      <c r="I1149" s="1456">
        <v>1</v>
      </c>
      <c r="J1149" s="1471">
        <v>2</v>
      </c>
      <c r="K1149" s="1460"/>
      <c r="L1149" s="1454">
        <v>13113140208</v>
      </c>
      <c r="M1149" s="1455">
        <v>1</v>
      </c>
      <c r="N1149" s="1455">
        <v>1</v>
      </c>
      <c r="O1149" s="1455">
        <v>2</v>
      </c>
      <c r="AA1149"/>
      <c r="AB1149"/>
    </row>
    <row r="1150" spans="3:28">
      <c r="C1150" s="1461" t="s">
        <v>4932</v>
      </c>
      <c r="D1150" s="1458">
        <v>1</v>
      </c>
      <c r="E1150" s="1458">
        <v>1</v>
      </c>
      <c r="F1150" s="1459">
        <v>2</v>
      </c>
      <c r="G1150" s="1470" t="s">
        <v>4932</v>
      </c>
      <c r="H1150" s="1456">
        <v>1</v>
      </c>
      <c r="I1150" s="1456">
        <v>1</v>
      </c>
      <c r="J1150" s="1471">
        <v>2</v>
      </c>
      <c r="K1150" s="1460"/>
      <c r="L1150" s="1454">
        <v>13113140303</v>
      </c>
      <c r="M1150" s="1455">
        <v>1</v>
      </c>
      <c r="N1150" s="1455">
        <v>1</v>
      </c>
      <c r="O1150" s="1455">
        <v>2</v>
      </c>
      <c r="AA1150"/>
      <c r="AB1150"/>
    </row>
    <row r="1151" spans="3:28">
      <c r="C1151" s="1461" t="s">
        <v>4933</v>
      </c>
      <c r="D1151" s="1458">
        <v>1</v>
      </c>
      <c r="E1151" s="1458">
        <v>1</v>
      </c>
      <c r="F1151" s="1459">
        <v>2</v>
      </c>
      <c r="G1151" s="1470" t="s">
        <v>4933</v>
      </c>
      <c r="H1151" s="1456">
        <v>1</v>
      </c>
      <c r="I1151" s="1456">
        <v>1</v>
      </c>
      <c r="J1151" s="1471">
        <v>2</v>
      </c>
      <c r="K1151" s="1460"/>
      <c r="L1151" s="1454">
        <v>13113140304</v>
      </c>
      <c r="M1151" s="1455">
        <v>1</v>
      </c>
      <c r="N1151" s="1455">
        <v>1</v>
      </c>
      <c r="O1151" s="1455">
        <v>2</v>
      </c>
      <c r="AA1151"/>
      <c r="AB1151"/>
    </row>
    <row r="1152" spans="3:28">
      <c r="C1152" s="1461" t="s">
        <v>4934</v>
      </c>
      <c r="D1152" s="1458">
        <v>1</v>
      </c>
      <c r="E1152" s="1458">
        <v>1</v>
      </c>
      <c r="F1152" s="1459">
        <v>2</v>
      </c>
      <c r="G1152" s="1470" t="s">
        <v>4934</v>
      </c>
      <c r="H1152" s="1456">
        <v>1</v>
      </c>
      <c r="I1152" s="1456">
        <v>1</v>
      </c>
      <c r="J1152" s="1471">
        <v>2</v>
      </c>
      <c r="K1152" s="1460"/>
      <c r="L1152" s="1454">
        <v>13113140305</v>
      </c>
      <c r="M1152" s="1455">
        <v>1</v>
      </c>
      <c r="N1152" s="1455">
        <v>1</v>
      </c>
      <c r="O1152" s="1455">
        <v>2</v>
      </c>
      <c r="AA1152"/>
      <c r="AB1152"/>
    </row>
    <row r="1153" spans="3:28">
      <c r="C1153" s="1461" t="s">
        <v>4935</v>
      </c>
      <c r="D1153" s="1458">
        <v>1</v>
      </c>
      <c r="E1153" s="1458">
        <v>1</v>
      </c>
      <c r="F1153" s="1459">
        <v>2</v>
      </c>
      <c r="G1153" s="1470" t="s">
        <v>4935</v>
      </c>
      <c r="H1153" s="1456">
        <v>1</v>
      </c>
      <c r="I1153" s="1456">
        <v>1</v>
      </c>
      <c r="J1153" s="1471">
        <v>2</v>
      </c>
      <c r="K1153" s="1460"/>
      <c r="L1153" s="1454">
        <v>13113140306</v>
      </c>
      <c r="M1153" s="1455">
        <v>1</v>
      </c>
      <c r="N1153" s="1455">
        <v>1</v>
      </c>
      <c r="O1153" s="1455">
        <v>2</v>
      </c>
      <c r="AA1153"/>
      <c r="AB1153"/>
    </row>
    <row r="1154" spans="3:28">
      <c r="C1154" s="1461" t="s">
        <v>4936</v>
      </c>
      <c r="D1154" s="1458">
        <v>1</v>
      </c>
      <c r="E1154" s="1458">
        <v>1</v>
      </c>
      <c r="F1154" s="1459">
        <v>2</v>
      </c>
      <c r="G1154" s="1470" t="s">
        <v>4936</v>
      </c>
      <c r="H1154" s="1456">
        <v>1</v>
      </c>
      <c r="I1154" s="1456">
        <v>1</v>
      </c>
      <c r="J1154" s="1471">
        <v>2</v>
      </c>
      <c r="K1154" s="1460"/>
      <c r="L1154" s="1454">
        <v>13113140307</v>
      </c>
      <c r="M1154" s="1455">
        <v>1</v>
      </c>
      <c r="N1154" s="1455">
        <v>1</v>
      </c>
      <c r="O1154" s="1455">
        <v>2</v>
      </c>
      <c r="AA1154"/>
      <c r="AB1154"/>
    </row>
    <row r="1155" spans="3:28">
      <c r="C1155" s="1461" t="s">
        <v>4937</v>
      </c>
      <c r="D1155" s="1458">
        <v>1</v>
      </c>
      <c r="E1155" s="1458">
        <v>1</v>
      </c>
      <c r="F1155" s="1459">
        <v>2</v>
      </c>
      <c r="G1155" s="1470" t="s">
        <v>4937</v>
      </c>
      <c r="H1155" s="1456">
        <v>1</v>
      </c>
      <c r="I1155" s="1456">
        <v>1</v>
      </c>
      <c r="J1155" s="1471">
        <v>2</v>
      </c>
      <c r="K1155" s="1460"/>
      <c r="L1155" s="1454">
        <v>13113140403</v>
      </c>
      <c r="M1155" s="1455">
        <v>1</v>
      </c>
      <c r="N1155" s="1455">
        <v>1</v>
      </c>
      <c r="O1155" s="1455">
        <v>2</v>
      </c>
      <c r="AA1155"/>
      <c r="AB1155"/>
    </row>
    <row r="1156" spans="3:28">
      <c r="C1156" s="1461" t="s">
        <v>4938</v>
      </c>
      <c r="D1156" s="1458">
        <v>1</v>
      </c>
      <c r="E1156" s="1458">
        <v>1</v>
      </c>
      <c r="F1156" s="1459">
        <v>2</v>
      </c>
      <c r="G1156" s="1470" t="s">
        <v>4938</v>
      </c>
      <c r="H1156" s="1456">
        <v>1</v>
      </c>
      <c r="I1156" s="1456">
        <v>1</v>
      </c>
      <c r="J1156" s="1471">
        <v>2</v>
      </c>
      <c r="K1156" s="1460"/>
      <c r="L1156" s="1454">
        <v>13113140404</v>
      </c>
      <c r="M1156" s="1455">
        <v>1</v>
      </c>
      <c r="N1156" s="1455">
        <v>1</v>
      </c>
      <c r="O1156" s="1455">
        <v>2</v>
      </c>
      <c r="AA1156"/>
      <c r="AB1156"/>
    </row>
    <row r="1157" spans="3:28">
      <c r="C1157" s="1461" t="s">
        <v>4939</v>
      </c>
      <c r="D1157" s="1458">
        <v>1</v>
      </c>
      <c r="E1157" s="1458">
        <v>1</v>
      </c>
      <c r="F1157" s="1459">
        <v>2</v>
      </c>
      <c r="G1157" s="1470" t="s">
        <v>4939</v>
      </c>
      <c r="H1157" s="1456">
        <v>1</v>
      </c>
      <c r="I1157" s="1456">
        <v>1</v>
      </c>
      <c r="J1157" s="1471">
        <v>2</v>
      </c>
      <c r="K1157" s="1460"/>
      <c r="L1157" s="1454">
        <v>13113140405</v>
      </c>
      <c r="M1157" s="1455">
        <v>1</v>
      </c>
      <c r="N1157" s="1455">
        <v>1</v>
      </c>
      <c r="O1157" s="1455">
        <v>2</v>
      </c>
      <c r="AA1157"/>
      <c r="AB1157"/>
    </row>
    <row r="1158" spans="3:28">
      <c r="C1158" s="1461" t="s">
        <v>4940</v>
      </c>
      <c r="D1158" s="1458">
        <v>0</v>
      </c>
      <c r="E1158" s="1458">
        <v>1</v>
      </c>
      <c r="F1158" s="1459">
        <v>1</v>
      </c>
      <c r="G1158" s="1470" t="s">
        <v>4940</v>
      </c>
      <c r="H1158" s="1456">
        <v>0</v>
      </c>
      <c r="I1158" s="1456">
        <v>1</v>
      </c>
      <c r="J1158" s="1471">
        <v>1</v>
      </c>
      <c r="K1158" s="1460"/>
      <c r="L1158" s="1454">
        <v>13113140406</v>
      </c>
      <c r="M1158" s="1455">
        <v>0</v>
      </c>
      <c r="N1158" s="1455">
        <v>1</v>
      </c>
      <c r="O1158" s="1455">
        <v>1</v>
      </c>
      <c r="AA1158"/>
      <c r="AB1158"/>
    </row>
    <row r="1159" spans="3:28">
      <c r="C1159" s="1461" t="s">
        <v>4941</v>
      </c>
      <c r="D1159" s="1458">
        <v>1</v>
      </c>
      <c r="E1159" s="1458">
        <v>1</v>
      </c>
      <c r="F1159" s="1459">
        <v>2</v>
      </c>
      <c r="G1159" s="1470" t="s">
        <v>4941</v>
      </c>
      <c r="H1159" s="1456">
        <v>1</v>
      </c>
      <c r="I1159" s="1456">
        <v>1</v>
      </c>
      <c r="J1159" s="1471">
        <v>2</v>
      </c>
      <c r="K1159" s="1460"/>
      <c r="L1159" s="1454">
        <v>13113140407</v>
      </c>
      <c r="M1159" s="1455">
        <v>1</v>
      </c>
      <c r="N1159" s="1455">
        <v>1</v>
      </c>
      <c r="O1159" s="1455">
        <v>2</v>
      </c>
      <c r="AA1159"/>
      <c r="AB1159"/>
    </row>
    <row r="1160" spans="3:28">
      <c r="C1160" s="1461" t="s">
        <v>4942</v>
      </c>
      <c r="D1160" s="1458">
        <v>1</v>
      </c>
      <c r="E1160" s="1458">
        <v>1</v>
      </c>
      <c r="F1160" s="1459">
        <v>2</v>
      </c>
      <c r="G1160" s="1470" t="s">
        <v>4942</v>
      </c>
      <c r="H1160" s="1456">
        <v>1</v>
      </c>
      <c r="I1160" s="1456">
        <v>1</v>
      </c>
      <c r="J1160" s="1471">
        <v>2</v>
      </c>
      <c r="K1160" s="1460"/>
      <c r="L1160" s="1454">
        <v>13113140408</v>
      </c>
      <c r="M1160" s="1455">
        <v>1</v>
      </c>
      <c r="N1160" s="1455">
        <v>1</v>
      </c>
      <c r="O1160" s="1455">
        <v>2</v>
      </c>
      <c r="AA1160"/>
      <c r="AB1160"/>
    </row>
    <row r="1161" spans="3:28">
      <c r="C1161" s="1461" t="s">
        <v>4943</v>
      </c>
      <c r="D1161" s="1458">
        <v>1</v>
      </c>
      <c r="E1161" s="1458">
        <v>1</v>
      </c>
      <c r="F1161" s="1459">
        <v>2</v>
      </c>
      <c r="G1161" s="1470" t="s">
        <v>4943</v>
      </c>
      <c r="H1161" s="1456">
        <v>1</v>
      </c>
      <c r="I1161" s="1456">
        <v>1</v>
      </c>
      <c r="J1161" s="1471">
        <v>2</v>
      </c>
      <c r="K1161" s="1460"/>
      <c r="L1161" s="1454">
        <v>13113140501</v>
      </c>
      <c r="M1161" s="1455">
        <v>1</v>
      </c>
      <c r="N1161" s="1455">
        <v>1</v>
      </c>
      <c r="O1161" s="1455">
        <v>2</v>
      </c>
      <c r="AA1161"/>
      <c r="AB1161"/>
    </row>
    <row r="1162" spans="3:28">
      <c r="C1162" s="1461" t="s">
        <v>4944</v>
      </c>
      <c r="D1162" s="1458">
        <v>1</v>
      </c>
      <c r="E1162" s="1458">
        <v>1</v>
      </c>
      <c r="F1162" s="1459">
        <v>2</v>
      </c>
      <c r="G1162" s="1470" t="s">
        <v>4944</v>
      </c>
      <c r="H1162" s="1456">
        <v>1</v>
      </c>
      <c r="I1162" s="1456">
        <v>1</v>
      </c>
      <c r="J1162" s="1471">
        <v>2</v>
      </c>
      <c r="K1162" s="1460"/>
      <c r="L1162" s="1454">
        <v>13113140502</v>
      </c>
      <c r="M1162" s="1455">
        <v>1</v>
      </c>
      <c r="N1162" s="1455">
        <v>1</v>
      </c>
      <c r="O1162" s="1455">
        <v>2</v>
      </c>
      <c r="AA1162"/>
      <c r="AB1162"/>
    </row>
    <row r="1163" spans="3:28">
      <c r="C1163" s="1461" t="s">
        <v>4945</v>
      </c>
      <c r="D1163" s="1458">
        <v>0</v>
      </c>
      <c r="E1163" s="1458">
        <v>0</v>
      </c>
      <c r="F1163" s="1459">
        <v>0</v>
      </c>
      <c r="G1163" s="1470" t="s">
        <v>4945</v>
      </c>
      <c r="H1163" s="1456">
        <v>0</v>
      </c>
      <c r="I1163" s="1456">
        <v>1</v>
      </c>
      <c r="J1163" s="1471">
        <v>1</v>
      </c>
      <c r="K1163" s="1460"/>
      <c r="L1163" s="1454">
        <v>13115000100</v>
      </c>
      <c r="M1163" s="1455">
        <v>0</v>
      </c>
      <c r="N1163" s="1455">
        <v>1</v>
      </c>
      <c r="O1163" s="1455">
        <v>1</v>
      </c>
      <c r="AA1163"/>
      <c r="AB1163"/>
    </row>
    <row r="1164" spans="3:28">
      <c r="C1164" s="1461" t="s">
        <v>4946</v>
      </c>
      <c r="D1164" s="1458">
        <v>1</v>
      </c>
      <c r="E1164" s="1458">
        <v>1</v>
      </c>
      <c r="F1164" s="1459">
        <v>2</v>
      </c>
      <c r="G1164" s="1470" t="s">
        <v>4946</v>
      </c>
      <c r="H1164" s="1456">
        <v>1</v>
      </c>
      <c r="I1164" s="1456">
        <v>0</v>
      </c>
      <c r="J1164" s="1471">
        <v>1</v>
      </c>
      <c r="K1164" s="1460"/>
      <c r="L1164" s="1454">
        <v>13115000201</v>
      </c>
      <c r="M1164" s="1455">
        <v>1</v>
      </c>
      <c r="N1164" s="1455">
        <v>1</v>
      </c>
      <c r="O1164" s="1455">
        <v>2</v>
      </c>
      <c r="AA1164"/>
      <c r="AB1164"/>
    </row>
    <row r="1165" spans="3:28">
      <c r="C1165" s="1461" t="s">
        <v>4947</v>
      </c>
      <c r="D1165" s="1458">
        <v>1</v>
      </c>
      <c r="E1165" s="1458">
        <v>1</v>
      </c>
      <c r="F1165" s="1459">
        <v>2</v>
      </c>
      <c r="G1165" s="1470" t="s">
        <v>4947</v>
      </c>
      <c r="H1165" s="1456">
        <v>1</v>
      </c>
      <c r="I1165" s="1456">
        <v>1</v>
      </c>
      <c r="J1165" s="1471">
        <v>2</v>
      </c>
      <c r="K1165" s="1460"/>
      <c r="L1165" s="1454">
        <v>13115000202</v>
      </c>
      <c r="M1165" s="1455">
        <v>1</v>
      </c>
      <c r="N1165" s="1455">
        <v>1</v>
      </c>
      <c r="O1165" s="1456">
        <v>2</v>
      </c>
      <c r="AA1165"/>
      <c r="AB1165"/>
    </row>
    <row r="1166" spans="3:28">
      <c r="C1166" s="1461" t="s">
        <v>4948</v>
      </c>
      <c r="D1166" s="1458">
        <v>1</v>
      </c>
      <c r="E1166" s="1458">
        <v>1</v>
      </c>
      <c r="F1166" s="1459">
        <v>2</v>
      </c>
      <c r="G1166" s="1470" t="s">
        <v>4948</v>
      </c>
      <c r="H1166" s="1456">
        <v>1</v>
      </c>
      <c r="I1166" s="1456">
        <v>1</v>
      </c>
      <c r="J1166" s="1471">
        <v>2</v>
      </c>
      <c r="K1166" s="1460"/>
      <c r="L1166" s="1454">
        <v>13115000300</v>
      </c>
      <c r="M1166" s="1455">
        <v>1</v>
      </c>
      <c r="N1166" s="1455">
        <v>1</v>
      </c>
      <c r="O1166" s="1456">
        <v>2</v>
      </c>
      <c r="AA1166"/>
      <c r="AB1166"/>
    </row>
    <row r="1167" spans="3:28">
      <c r="C1167" s="1461" t="s">
        <v>4949</v>
      </c>
      <c r="D1167" s="1458">
        <v>0</v>
      </c>
      <c r="E1167" s="1458">
        <v>0</v>
      </c>
      <c r="F1167" s="1459">
        <v>0</v>
      </c>
      <c r="G1167" s="1470" t="s">
        <v>4949</v>
      </c>
      <c r="H1167" s="1456">
        <v>0</v>
      </c>
      <c r="I1167" s="1456">
        <v>1</v>
      </c>
      <c r="J1167" s="1471">
        <v>1</v>
      </c>
      <c r="K1167" s="1460"/>
      <c r="L1167" s="1454">
        <v>13115000400</v>
      </c>
      <c r="M1167" s="1455">
        <v>0</v>
      </c>
      <c r="N1167" s="1455">
        <v>1</v>
      </c>
      <c r="O1167" s="1456">
        <v>1</v>
      </c>
      <c r="AA1167"/>
      <c r="AB1167"/>
    </row>
    <row r="1168" spans="3:28">
      <c r="C1168" s="1461" t="s">
        <v>4950</v>
      </c>
      <c r="D1168" s="1458">
        <v>0</v>
      </c>
      <c r="E1168" s="1458">
        <v>0</v>
      </c>
      <c r="F1168" s="1459">
        <v>0</v>
      </c>
      <c r="G1168" s="1470" t="s">
        <v>4950</v>
      </c>
      <c r="H1168" s="1456">
        <v>0</v>
      </c>
      <c r="I1168" s="1456">
        <v>0</v>
      </c>
      <c r="J1168" s="1471">
        <v>0</v>
      </c>
      <c r="K1168" s="1460"/>
      <c r="L1168" s="1454">
        <v>13115000500</v>
      </c>
      <c r="M1168" s="1455">
        <v>0</v>
      </c>
      <c r="N1168" s="1455">
        <v>0</v>
      </c>
      <c r="O1168" s="1456">
        <v>0</v>
      </c>
      <c r="AA1168"/>
      <c r="AB1168"/>
    </row>
    <row r="1169" spans="3:28">
      <c r="C1169" s="1461" t="s">
        <v>4951</v>
      </c>
      <c r="D1169" s="1458">
        <v>0</v>
      </c>
      <c r="E1169" s="1458">
        <v>0</v>
      </c>
      <c r="F1169" s="1459">
        <v>0</v>
      </c>
      <c r="G1169" s="1470" t="s">
        <v>4951</v>
      </c>
      <c r="H1169" s="1456">
        <v>0</v>
      </c>
      <c r="I1169" s="1456">
        <v>0</v>
      </c>
      <c r="J1169" s="1471">
        <v>0</v>
      </c>
      <c r="K1169" s="1460"/>
      <c r="L1169" s="1454">
        <v>13115000600</v>
      </c>
      <c r="M1169" s="1455">
        <v>0</v>
      </c>
      <c r="N1169" s="1455">
        <v>0</v>
      </c>
      <c r="O1169" s="1456">
        <v>0</v>
      </c>
      <c r="AA1169"/>
      <c r="AB1169"/>
    </row>
    <row r="1170" spans="3:28">
      <c r="C1170" s="1461" t="s">
        <v>4952</v>
      </c>
      <c r="D1170" s="1458">
        <v>1</v>
      </c>
      <c r="E1170" s="1458">
        <v>1</v>
      </c>
      <c r="F1170" s="1459">
        <v>2</v>
      </c>
      <c r="G1170" s="1470" t="s">
        <v>4952</v>
      </c>
      <c r="H1170" s="1456">
        <v>0</v>
      </c>
      <c r="I1170" s="1456">
        <v>1</v>
      </c>
      <c r="J1170" s="1471">
        <v>1</v>
      </c>
      <c r="K1170" s="1460"/>
      <c r="L1170" s="1454">
        <v>13115000700</v>
      </c>
      <c r="M1170" s="1455">
        <v>1</v>
      </c>
      <c r="N1170" s="1455">
        <v>1</v>
      </c>
      <c r="O1170" s="1456">
        <v>2</v>
      </c>
      <c r="AA1170"/>
      <c r="AB1170"/>
    </row>
    <row r="1171" spans="3:28">
      <c r="C1171" s="1461" t="s">
        <v>4953</v>
      </c>
      <c r="D1171" s="1458">
        <v>1</v>
      </c>
      <c r="E1171" s="1458">
        <v>1</v>
      </c>
      <c r="F1171" s="1459">
        <v>2</v>
      </c>
      <c r="G1171" s="1470" t="s">
        <v>4953</v>
      </c>
      <c r="H1171" s="1456">
        <v>1</v>
      </c>
      <c r="I1171" s="1456">
        <v>1</v>
      </c>
      <c r="J1171" s="1471">
        <v>2</v>
      </c>
      <c r="K1171" s="1460"/>
      <c r="L1171" s="1454">
        <v>13115000800</v>
      </c>
      <c r="M1171" s="1455">
        <v>1</v>
      </c>
      <c r="N1171" s="1455">
        <v>1</v>
      </c>
      <c r="O1171" s="1456">
        <v>2</v>
      </c>
      <c r="AA1171"/>
      <c r="AB1171"/>
    </row>
    <row r="1172" spans="3:28">
      <c r="C1172" s="1461" t="s">
        <v>4954</v>
      </c>
      <c r="D1172" s="1458">
        <v>0</v>
      </c>
      <c r="E1172" s="1458">
        <v>1</v>
      </c>
      <c r="F1172" s="1459">
        <v>1</v>
      </c>
      <c r="G1172" s="1470" t="s">
        <v>4954</v>
      </c>
      <c r="H1172" s="1456">
        <v>0</v>
      </c>
      <c r="I1172" s="1456">
        <v>1</v>
      </c>
      <c r="J1172" s="1471">
        <v>1</v>
      </c>
      <c r="K1172" s="1460"/>
      <c r="L1172" s="1454">
        <v>13115000900</v>
      </c>
      <c r="M1172" s="1455">
        <v>0</v>
      </c>
      <c r="N1172" s="1455">
        <v>1</v>
      </c>
      <c r="O1172" s="1456">
        <v>1</v>
      </c>
      <c r="AA1172"/>
      <c r="AB1172"/>
    </row>
    <row r="1173" spans="3:28">
      <c r="C1173" s="1461" t="s">
        <v>4955</v>
      </c>
      <c r="D1173" s="1458">
        <v>0</v>
      </c>
      <c r="E1173" s="1458">
        <v>0</v>
      </c>
      <c r="F1173" s="1459">
        <v>0</v>
      </c>
      <c r="G1173" s="1470" t="s">
        <v>4955</v>
      </c>
      <c r="H1173" s="1456">
        <v>0</v>
      </c>
      <c r="I1173" s="1456">
        <v>0</v>
      </c>
      <c r="J1173" s="1471">
        <v>0</v>
      </c>
      <c r="K1173" s="1460"/>
      <c r="L1173" s="1454">
        <v>13115001100</v>
      </c>
      <c r="M1173" s="1455">
        <v>0</v>
      </c>
      <c r="N1173" s="1455">
        <v>0</v>
      </c>
      <c r="O1173" s="1456">
        <v>0</v>
      </c>
      <c r="AA1173"/>
      <c r="AB1173"/>
    </row>
    <row r="1174" spans="3:28">
      <c r="C1174" s="1461" t="s">
        <v>4956</v>
      </c>
      <c r="D1174" s="1458">
        <v>0</v>
      </c>
      <c r="E1174" s="1458">
        <v>0</v>
      </c>
      <c r="F1174" s="1459">
        <v>0</v>
      </c>
      <c r="G1174" s="1470" t="s">
        <v>4956</v>
      </c>
      <c r="H1174" s="1456">
        <v>0</v>
      </c>
      <c r="I1174" s="1456">
        <v>0</v>
      </c>
      <c r="J1174" s="1471">
        <v>0</v>
      </c>
      <c r="K1174" s="1460"/>
      <c r="L1174" s="1454">
        <v>13115001200</v>
      </c>
      <c r="M1174" s="1455">
        <v>0</v>
      </c>
      <c r="N1174" s="1455">
        <v>0</v>
      </c>
      <c r="O1174" s="1456">
        <v>0</v>
      </c>
      <c r="AA1174"/>
      <c r="AB1174"/>
    </row>
    <row r="1175" spans="3:28">
      <c r="C1175" s="1461" t="s">
        <v>4957</v>
      </c>
      <c r="D1175" s="1458">
        <v>0</v>
      </c>
      <c r="E1175" s="1458">
        <v>0</v>
      </c>
      <c r="F1175" s="1459">
        <v>0</v>
      </c>
      <c r="G1175" s="1470" t="s">
        <v>4957</v>
      </c>
      <c r="H1175" s="1456">
        <v>0</v>
      </c>
      <c r="I1175" s="1456">
        <v>0</v>
      </c>
      <c r="J1175" s="1471">
        <v>0</v>
      </c>
      <c r="K1175" s="1460"/>
      <c r="L1175" s="1454">
        <v>13115001300</v>
      </c>
      <c r="M1175" s="1455">
        <v>0</v>
      </c>
      <c r="N1175" s="1455">
        <v>0</v>
      </c>
      <c r="O1175" s="1456">
        <v>0</v>
      </c>
      <c r="AA1175"/>
      <c r="AB1175"/>
    </row>
    <row r="1176" spans="3:28">
      <c r="C1176" s="1461" t="s">
        <v>4958</v>
      </c>
      <c r="D1176" s="1458">
        <v>1</v>
      </c>
      <c r="E1176" s="1458">
        <v>1</v>
      </c>
      <c r="F1176" s="1459">
        <v>2</v>
      </c>
      <c r="G1176" s="1470" t="s">
        <v>4958</v>
      </c>
      <c r="H1176" s="1456">
        <v>0</v>
      </c>
      <c r="I1176" s="1456">
        <v>1</v>
      </c>
      <c r="J1176" s="1471">
        <v>1</v>
      </c>
      <c r="K1176" s="1460"/>
      <c r="L1176" s="1454">
        <v>13115001400</v>
      </c>
      <c r="M1176" s="1455">
        <v>1</v>
      </c>
      <c r="N1176" s="1455">
        <v>1</v>
      </c>
      <c r="O1176" s="1456">
        <v>2</v>
      </c>
      <c r="AA1176"/>
      <c r="AB1176"/>
    </row>
    <row r="1177" spans="3:28">
      <c r="C1177" s="1461" t="s">
        <v>4959</v>
      </c>
      <c r="D1177" s="1458">
        <v>0</v>
      </c>
      <c r="E1177" s="1458">
        <v>0</v>
      </c>
      <c r="F1177" s="1459">
        <v>0</v>
      </c>
      <c r="G1177" s="1470" t="s">
        <v>4959</v>
      </c>
      <c r="H1177" s="1456">
        <v>0</v>
      </c>
      <c r="I1177" s="1456">
        <v>0</v>
      </c>
      <c r="J1177" s="1471">
        <v>0</v>
      </c>
      <c r="K1177" s="1460"/>
      <c r="L1177" s="1454">
        <v>13115001600</v>
      </c>
      <c r="M1177" s="1455">
        <v>0</v>
      </c>
      <c r="N1177" s="1455">
        <v>0</v>
      </c>
      <c r="O1177" s="1456">
        <v>0</v>
      </c>
      <c r="AA1177"/>
      <c r="AB1177"/>
    </row>
    <row r="1178" spans="3:28">
      <c r="C1178" s="1461" t="s">
        <v>4960</v>
      </c>
      <c r="D1178" s="1458">
        <v>1</v>
      </c>
      <c r="E1178" s="1458">
        <v>0</v>
      </c>
      <c r="F1178" s="1459">
        <v>1</v>
      </c>
      <c r="G1178" s="1470" t="s">
        <v>4960</v>
      </c>
      <c r="H1178" s="1456">
        <v>1</v>
      </c>
      <c r="I1178" s="1456">
        <v>1</v>
      </c>
      <c r="J1178" s="1471">
        <v>2</v>
      </c>
      <c r="K1178" s="1460"/>
      <c r="L1178" s="1454">
        <v>13115001701</v>
      </c>
      <c r="M1178" s="1455">
        <v>1</v>
      </c>
      <c r="N1178" s="1455">
        <v>1</v>
      </c>
      <c r="O1178" s="1456">
        <v>2</v>
      </c>
      <c r="AA1178"/>
      <c r="AB1178"/>
    </row>
    <row r="1179" spans="3:28">
      <c r="C1179" s="1461" t="s">
        <v>4961</v>
      </c>
      <c r="D1179" s="1458">
        <v>1</v>
      </c>
      <c r="E1179" s="1458">
        <v>1</v>
      </c>
      <c r="F1179" s="1459">
        <v>2</v>
      </c>
      <c r="G1179" s="1470" t="s">
        <v>4961</v>
      </c>
      <c r="H1179" s="1456">
        <v>0</v>
      </c>
      <c r="I1179" s="1456">
        <v>0</v>
      </c>
      <c r="J1179" s="1471">
        <v>0</v>
      </c>
      <c r="K1179" s="1460"/>
      <c r="L1179" s="1454">
        <v>13115001702</v>
      </c>
      <c r="M1179" s="1455">
        <v>1</v>
      </c>
      <c r="N1179" s="1455">
        <v>1</v>
      </c>
      <c r="O1179" s="1456">
        <v>2</v>
      </c>
      <c r="AA1179"/>
      <c r="AB1179"/>
    </row>
    <row r="1180" spans="3:28">
      <c r="C1180" s="1461" t="s">
        <v>4962</v>
      </c>
      <c r="D1180" s="1458">
        <v>0</v>
      </c>
      <c r="E1180" s="1458">
        <v>0</v>
      </c>
      <c r="F1180" s="1459">
        <v>0</v>
      </c>
      <c r="G1180" s="1470" t="s">
        <v>4962</v>
      </c>
      <c r="H1180" s="1456">
        <v>0</v>
      </c>
      <c r="I1180" s="1456">
        <v>0</v>
      </c>
      <c r="J1180" s="1471">
        <v>0</v>
      </c>
      <c r="K1180" s="1460"/>
      <c r="L1180" s="1454">
        <v>13115001800</v>
      </c>
      <c r="M1180" s="1455">
        <v>0</v>
      </c>
      <c r="N1180" s="1455">
        <v>0</v>
      </c>
      <c r="O1180" s="1456">
        <v>0</v>
      </c>
      <c r="AA1180"/>
      <c r="AB1180"/>
    </row>
    <row r="1181" spans="3:28">
      <c r="C1181" s="1461" t="s">
        <v>4963</v>
      </c>
      <c r="D1181" s="1458">
        <v>0</v>
      </c>
      <c r="E1181" s="1458">
        <v>0</v>
      </c>
      <c r="F1181" s="1459">
        <v>0</v>
      </c>
      <c r="G1181" s="1470" t="s">
        <v>4963</v>
      </c>
      <c r="H1181" s="1456">
        <v>0</v>
      </c>
      <c r="I1181" s="1456">
        <v>0</v>
      </c>
      <c r="J1181" s="1471">
        <v>0</v>
      </c>
      <c r="K1181" s="1460"/>
      <c r="L1181" s="1454">
        <v>13115002000</v>
      </c>
      <c r="M1181" s="1455">
        <v>0</v>
      </c>
      <c r="N1181" s="1455">
        <v>0</v>
      </c>
      <c r="O1181" s="1456">
        <v>0</v>
      </c>
      <c r="AA1181"/>
      <c r="AB1181"/>
    </row>
    <row r="1182" spans="3:28">
      <c r="C1182" s="1461" t="s">
        <v>4964</v>
      </c>
      <c r="D1182" s="1458">
        <v>0</v>
      </c>
      <c r="E1182" s="1458">
        <v>0</v>
      </c>
      <c r="F1182" s="1459">
        <v>0</v>
      </c>
      <c r="G1182" s="1470" t="s">
        <v>4964</v>
      </c>
      <c r="H1182" s="1456">
        <v>0</v>
      </c>
      <c r="I1182" s="1456">
        <v>0</v>
      </c>
      <c r="J1182" s="1471">
        <v>0</v>
      </c>
      <c r="K1182" s="1460"/>
      <c r="L1182" s="1454">
        <v>13115002100</v>
      </c>
      <c r="M1182" s="1455">
        <v>0</v>
      </c>
      <c r="N1182" s="1455">
        <v>0</v>
      </c>
      <c r="O1182" s="1456">
        <v>0</v>
      </c>
      <c r="AA1182"/>
      <c r="AB1182"/>
    </row>
    <row r="1183" spans="3:28">
      <c r="C1183" s="1461" t="s">
        <v>4965</v>
      </c>
      <c r="D1183" s="1458">
        <v>1</v>
      </c>
      <c r="E1183" s="1458">
        <v>1</v>
      </c>
      <c r="F1183" s="1459">
        <v>2</v>
      </c>
      <c r="G1183" s="1470" t="s">
        <v>4965</v>
      </c>
      <c r="H1183" s="1456">
        <v>1</v>
      </c>
      <c r="I1183" s="1456">
        <v>1</v>
      </c>
      <c r="J1183" s="1471">
        <v>2</v>
      </c>
      <c r="K1183" s="1460"/>
      <c r="L1183" s="1454">
        <v>13117130101</v>
      </c>
      <c r="M1183" s="1455">
        <v>1</v>
      </c>
      <c r="N1183" s="1455">
        <v>1</v>
      </c>
      <c r="O1183" s="1456">
        <v>2</v>
      </c>
      <c r="AA1183"/>
      <c r="AB1183"/>
    </row>
    <row r="1184" spans="3:28">
      <c r="C1184" s="1461" t="s">
        <v>4966</v>
      </c>
      <c r="D1184" s="1458">
        <v>1</v>
      </c>
      <c r="E1184" s="1458">
        <v>1</v>
      </c>
      <c r="F1184" s="1459">
        <v>2</v>
      </c>
      <c r="G1184" s="1470" t="s">
        <v>4966</v>
      </c>
      <c r="H1184" s="1456">
        <v>1</v>
      </c>
      <c r="I1184" s="1456">
        <v>1</v>
      </c>
      <c r="J1184" s="1471">
        <v>2</v>
      </c>
      <c r="K1184" s="1460"/>
      <c r="L1184" s="1454">
        <v>13117130102</v>
      </c>
      <c r="M1184" s="1455">
        <v>1</v>
      </c>
      <c r="N1184" s="1455">
        <v>1</v>
      </c>
      <c r="O1184" s="1456">
        <v>2</v>
      </c>
      <c r="AA1184"/>
      <c r="AB1184"/>
    </row>
    <row r="1185" spans="3:28">
      <c r="C1185" s="1461" t="s">
        <v>4967</v>
      </c>
      <c r="D1185" s="1458">
        <v>1</v>
      </c>
      <c r="E1185" s="1458">
        <v>1</v>
      </c>
      <c r="F1185" s="1459">
        <v>2</v>
      </c>
      <c r="G1185" s="1470" t="s">
        <v>4967</v>
      </c>
      <c r="H1185" s="1456">
        <v>1</v>
      </c>
      <c r="I1185" s="1456">
        <v>0</v>
      </c>
      <c r="J1185" s="1471">
        <v>1</v>
      </c>
      <c r="K1185" s="1460"/>
      <c r="L1185" s="1454">
        <v>13117130103</v>
      </c>
      <c r="M1185" s="1455">
        <v>1</v>
      </c>
      <c r="N1185" s="1455">
        <v>1</v>
      </c>
      <c r="O1185" s="1456">
        <v>2</v>
      </c>
      <c r="AA1185"/>
      <c r="AB1185"/>
    </row>
    <row r="1186" spans="3:28">
      <c r="C1186" s="1461" t="s">
        <v>4968</v>
      </c>
      <c r="D1186" s="1458">
        <v>1</v>
      </c>
      <c r="E1186" s="1458">
        <v>1</v>
      </c>
      <c r="F1186" s="1459">
        <v>2</v>
      </c>
      <c r="G1186" s="1470" t="s">
        <v>4968</v>
      </c>
      <c r="H1186" s="1456">
        <v>1</v>
      </c>
      <c r="I1186" s="1456">
        <v>1</v>
      </c>
      <c r="J1186" s="1471">
        <v>2</v>
      </c>
      <c r="K1186" s="1460"/>
      <c r="L1186" s="1454">
        <v>13117130104</v>
      </c>
      <c r="M1186" s="1455">
        <v>1</v>
      </c>
      <c r="N1186" s="1455">
        <v>1</v>
      </c>
      <c r="O1186" s="1456">
        <v>2</v>
      </c>
      <c r="AA1186"/>
      <c r="AB1186"/>
    </row>
    <row r="1187" spans="3:28">
      <c r="C1187" s="1461" t="s">
        <v>4969</v>
      </c>
      <c r="D1187" s="1458">
        <v>0</v>
      </c>
      <c r="E1187" s="1458">
        <v>0</v>
      </c>
      <c r="F1187" s="1459">
        <v>0</v>
      </c>
      <c r="G1187" s="1470" t="s">
        <v>4969</v>
      </c>
      <c r="H1187" s="1456">
        <v>0</v>
      </c>
      <c r="I1187" s="1456">
        <v>1</v>
      </c>
      <c r="J1187" s="1471">
        <v>1</v>
      </c>
      <c r="K1187" s="1460"/>
      <c r="L1187" s="1454">
        <v>13117130105</v>
      </c>
      <c r="M1187" s="1455">
        <v>0</v>
      </c>
      <c r="N1187" s="1455">
        <v>1</v>
      </c>
      <c r="O1187" s="1456">
        <v>1</v>
      </c>
      <c r="AA1187"/>
      <c r="AB1187"/>
    </row>
    <row r="1188" spans="3:28">
      <c r="C1188" s="1461" t="s">
        <v>4970</v>
      </c>
      <c r="D1188" s="1458">
        <v>1</v>
      </c>
      <c r="E1188" s="1458">
        <v>1</v>
      </c>
      <c r="F1188" s="1459">
        <v>2</v>
      </c>
      <c r="G1188" s="1470" t="s">
        <v>4970</v>
      </c>
      <c r="H1188" s="1456">
        <v>1</v>
      </c>
      <c r="I1188" s="1456">
        <v>1</v>
      </c>
      <c r="J1188" s="1471">
        <v>2</v>
      </c>
      <c r="K1188" s="1460"/>
      <c r="L1188" s="1454">
        <v>13117130201</v>
      </c>
      <c r="M1188" s="1455">
        <v>1</v>
      </c>
      <c r="N1188" s="1455">
        <v>1</v>
      </c>
      <c r="O1188" s="1456">
        <v>2</v>
      </c>
      <c r="AA1188"/>
      <c r="AB1188"/>
    </row>
    <row r="1189" spans="3:28">
      <c r="C1189" s="1461" t="s">
        <v>4971</v>
      </c>
      <c r="D1189" s="1458">
        <v>1</v>
      </c>
      <c r="E1189" s="1458">
        <v>1</v>
      </c>
      <c r="F1189" s="1459">
        <v>2</v>
      </c>
      <c r="G1189" s="1470" t="s">
        <v>4971</v>
      </c>
      <c r="H1189" s="1456">
        <v>1</v>
      </c>
      <c r="I1189" s="1456" t="s">
        <v>3906</v>
      </c>
      <c r="J1189" s="1471">
        <v>1</v>
      </c>
      <c r="K1189" s="1460"/>
      <c r="L1189" s="1454">
        <v>13117130202</v>
      </c>
      <c r="M1189" s="1455">
        <v>1</v>
      </c>
      <c r="N1189" s="1455">
        <v>1</v>
      </c>
      <c r="O1189" s="1456">
        <v>2</v>
      </c>
      <c r="AA1189"/>
      <c r="AB1189"/>
    </row>
    <row r="1190" spans="3:28">
      <c r="C1190" s="1461" t="s">
        <v>4972</v>
      </c>
      <c r="D1190" s="1458">
        <v>1</v>
      </c>
      <c r="E1190" s="1458">
        <v>1</v>
      </c>
      <c r="F1190" s="1459">
        <v>2</v>
      </c>
      <c r="G1190" s="1470" t="s">
        <v>4972</v>
      </c>
      <c r="H1190" s="1456">
        <v>1</v>
      </c>
      <c r="I1190" s="1456">
        <v>1</v>
      </c>
      <c r="J1190" s="1471">
        <v>2</v>
      </c>
      <c r="K1190" s="1460"/>
      <c r="L1190" s="1454">
        <v>13117130203</v>
      </c>
      <c r="M1190" s="1455">
        <v>1</v>
      </c>
      <c r="N1190" s="1455">
        <v>1</v>
      </c>
      <c r="O1190" s="1456">
        <v>2</v>
      </c>
      <c r="AA1190"/>
      <c r="AB1190"/>
    </row>
    <row r="1191" spans="3:28">
      <c r="C1191" s="1461" t="s">
        <v>4973</v>
      </c>
      <c r="D1191" s="1458">
        <v>1</v>
      </c>
      <c r="E1191" s="1458">
        <v>0</v>
      </c>
      <c r="F1191" s="1459">
        <v>1</v>
      </c>
      <c r="G1191" s="1470" t="s">
        <v>4973</v>
      </c>
      <c r="H1191" s="1456">
        <v>1</v>
      </c>
      <c r="I1191" s="1456">
        <v>0</v>
      </c>
      <c r="J1191" s="1471">
        <v>1</v>
      </c>
      <c r="K1191" s="1460"/>
      <c r="L1191" s="1454">
        <v>13117130204</v>
      </c>
      <c r="M1191" s="1455">
        <v>1</v>
      </c>
      <c r="N1191" s="1455">
        <v>0</v>
      </c>
      <c r="O1191" s="1456">
        <v>1</v>
      </c>
      <c r="AA1191"/>
      <c r="AB1191"/>
    </row>
    <row r="1192" spans="3:28">
      <c r="C1192" s="1461" t="s">
        <v>4974</v>
      </c>
      <c r="D1192" s="1458">
        <v>1</v>
      </c>
      <c r="E1192" s="1458">
        <v>1</v>
      </c>
      <c r="F1192" s="1459">
        <v>2</v>
      </c>
      <c r="G1192" s="1470" t="s">
        <v>4974</v>
      </c>
      <c r="H1192" s="1456">
        <v>1</v>
      </c>
      <c r="I1192" s="1456" t="s">
        <v>3906</v>
      </c>
      <c r="J1192" s="1471">
        <v>1</v>
      </c>
      <c r="K1192" s="1460"/>
      <c r="L1192" s="1454">
        <v>13117130205</v>
      </c>
      <c r="M1192" s="1455">
        <v>1</v>
      </c>
      <c r="N1192" s="1455">
        <v>1</v>
      </c>
      <c r="O1192" s="1456">
        <v>2</v>
      </c>
      <c r="AA1192"/>
      <c r="AB1192"/>
    </row>
    <row r="1193" spans="3:28">
      <c r="C1193" s="1461" t="s">
        <v>4975</v>
      </c>
      <c r="D1193" s="1458">
        <v>1</v>
      </c>
      <c r="E1193" s="1458">
        <v>1</v>
      </c>
      <c r="F1193" s="1459">
        <v>2</v>
      </c>
      <c r="G1193" s="1470" t="s">
        <v>4975</v>
      </c>
      <c r="H1193" s="1456">
        <v>1</v>
      </c>
      <c r="I1193" s="1456">
        <v>1</v>
      </c>
      <c r="J1193" s="1471">
        <v>2</v>
      </c>
      <c r="K1193" s="1460"/>
      <c r="L1193" s="1454">
        <v>13117130301</v>
      </c>
      <c r="M1193" s="1455">
        <v>1</v>
      </c>
      <c r="N1193" s="1455">
        <v>1</v>
      </c>
      <c r="O1193" s="1456">
        <v>2</v>
      </c>
      <c r="AA1193"/>
      <c r="AB1193"/>
    </row>
    <row r="1194" spans="3:28">
      <c r="C1194" s="1461" t="s">
        <v>4976</v>
      </c>
      <c r="D1194" s="1458">
        <v>1</v>
      </c>
      <c r="E1194" s="1458">
        <v>1</v>
      </c>
      <c r="F1194" s="1459">
        <v>2</v>
      </c>
      <c r="G1194" s="1470" t="s">
        <v>4976</v>
      </c>
      <c r="H1194" s="1456">
        <v>1</v>
      </c>
      <c r="I1194" s="1456">
        <v>1</v>
      </c>
      <c r="J1194" s="1471">
        <v>2</v>
      </c>
      <c r="K1194" s="1460"/>
      <c r="L1194" s="1454">
        <v>13117130302</v>
      </c>
      <c r="M1194" s="1455">
        <v>1</v>
      </c>
      <c r="N1194" s="1455">
        <v>1</v>
      </c>
      <c r="O1194" s="1456">
        <v>2</v>
      </c>
      <c r="AA1194"/>
      <c r="AB1194"/>
    </row>
    <row r="1195" spans="3:28">
      <c r="C1195" s="1461" t="s">
        <v>4977</v>
      </c>
      <c r="D1195" s="1458">
        <v>1</v>
      </c>
      <c r="E1195" s="1458">
        <v>1</v>
      </c>
      <c r="F1195" s="1459">
        <v>2</v>
      </c>
      <c r="G1195" s="1470" t="s">
        <v>4977</v>
      </c>
      <c r="H1195" s="1456">
        <v>1</v>
      </c>
      <c r="I1195" s="1456">
        <v>1</v>
      </c>
      <c r="J1195" s="1471">
        <v>2</v>
      </c>
      <c r="K1195" s="1460"/>
      <c r="L1195" s="1454">
        <v>13117130303</v>
      </c>
      <c r="M1195" s="1455">
        <v>1</v>
      </c>
      <c r="N1195" s="1455">
        <v>1</v>
      </c>
      <c r="O1195" s="1456">
        <v>2</v>
      </c>
      <c r="AA1195"/>
      <c r="AB1195"/>
    </row>
    <row r="1196" spans="3:28">
      <c r="C1196" s="1461" t="s">
        <v>4978</v>
      </c>
      <c r="D1196" s="1458">
        <v>1</v>
      </c>
      <c r="E1196" s="1458">
        <v>1</v>
      </c>
      <c r="F1196" s="1459">
        <v>2</v>
      </c>
      <c r="G1196" s="1470" t="s">
        <v>4978</v>
      </c>
      <c r="H1196" s="1456">
        <v>1</v>
      </c>
      <c r="I1196" s="1456">
        <v>1</v>
      </c>
      <c r="J1196" s="1471">
        <v>2</v>
      </c>
      <c r="K1196" s="1460"/>
      <c r="L1196" s="1454">
        <v>13117130304</v>
      </c>
      <c r="M1196" s="1455">
        <v>1</v>
      </c>
      <c r="N1196" s="1455">
        <v>1</v>
      </c>
      <c r="O1196" s="1456">
        <v>2</v>
      </c>
      <c r="AA1196"/>
      <c r="AB1196"/>
    </row>
    <row r="1197" spans="3:28">
      <c r="C1197" s="1461" t="s">
        <v>4979</v>
      </c>
      <c r="D1197" s="1458">
        <v>1</v>
      </c>
      <c r="E1197" s="1458">
        <v>1</v>
      </c>
      <c r="F1197" s="1459">
        <v>2</v>
      </c>
      <c r="G1197" s="1470" t="s">
        <v>4979</v>
      </c>
      <c r="H1197" s="1456">
        <v>1</v>
      </c>
      <c r="I1197" s="1456">
        <v>1</v>
      </c>
      <c r="J1197" s="1471">
        <v>2</v>
      </c>
      <c r="K1197" s="1460"/>
      <c r="L1197" s="1454">
        <v>13117130305</v>
      </c>
      <c r="M1197" s="1455">
        <v>1</v>
      </c>
      <c r="N1197" s="1455">
        <v>1</v>
      </c>
      <c r="O1197" s="1456">
        <v>2</v>
      </c>
      <c r="AA1197"/>
      <c r="AB1197"/>
    </row>
    <row r="1198" spans="3:28">
      <c r="C1198" s="1461" t="s">
        <v>4980</v>
      </c>
      <c r="D1198" s="1458">
        <v>1</v>
      </c>
      <c r="E1198" s="1458">
        <v>1</v>
      </c>
      <c r="F1198" s="1459">
        <v>2</v>
      </c>
      <c r="G1198" s="1470" t="s">
        <v>4980</v>
      </c>
      <c r="H1198" s="1456">
        <v>1</v>
      </c>
      <c r="I1198" s="1456">
        <v>1</v>
      </c>
      <c r="J1198" s="1471">
        <v>2</v>
      </c>
      <c r="K1198" s="1460"/>
      <c r="L1198" s="1454">
        <v>13117130306</v>
      </c>
      <c r="M1198" s="1455">
        <v>1</v>
      </c>
      <c r="N1198" s="1455">
        <v>1</v>
      </c>
      <c r="O1198" s="1456">
        <v>2</v>
      </c>
      <c r="AA1198"/>
      <c r="AB1198"/>
    </row>
    <row r="1199" spans="3:28">
      <c r="C1199" s="1461" t="s">
        <v>4981</v>
      </c>
      <c r="D1199" s="1458">
        <v>1</v>
      </c>
      <c r="E1199" s="1458">
        <v>1</v>
      </c>
      <c r="F1199" s="1459">
        <v>2</v>
      </c>
      <c r="G1199" s="1470" t="s">
        <v>4981</v>
      </c>
      <c r="H1199" s="1456">
        <v>1</v>
      </c>
      <c r="I1199" s="1456">
        <v>1</v>
      </c>
      <c r="J1199" s="1471">
        <v>2</v>
      </c>
      <c r="K1199" s="1460"/>
      <c r="L1199" s="1454">
        <v>13117130307</v>
      </c>
      <c r="M1199" s="1455">
        <v>1</v>
      </c>
      <c r="N1199" s="1455">
        <v>1</v>
      </c>
      <c r="O1199" s="1456">
        <v>2</v>
      </c>
      <c r="AA1199"/>
      <c r="AB1199"/>
    </row>
    <row r="1200" spans="3:28">
      <c r="C1200" s="1461" t="s">
        <v>4982</v>
      </c>
      <c r="D1200" s="1458">
        <v>1</v>
      </c>
      <c r="E1200" s="1458">
        <v>1</v>
      </c>
      <c r="F1200" s="1459">
        <v>2</v>
      </c>
      <c r="G1200" s="1470" t="s">
        <v>4982</v>
      </c>
      <c r="H1200" s="1456">
        <v>1</v>
      </c>
      <c r="I1200" s="1456">
        <v>1</v>
      </c>
      <c r="J1200" s="1471">
        <v>2</v>
      </c>
      <c r="K1200" s="1460"/>
      <c r="L1200" s="1454">
        <v>13117130403</v>
      </c>
      <c r="M1200" s="1455">
        <v>1</v>
      </c>
      <c r="N1200" s="1455">
        <v>1</v>
      </c>
      <c r="O1200" s="1456">
        <v>2</v>
      </c>
      <c r="AA1200"/>
      <c r="AB1200"/>
    </row>
    <row r="1201" spans="3:28">
      <c r="C1201" s="1461" t="s">
        <v>4983</v>
      </c>
      <c r="D1201" s="1458">
        <v>1</v>
      </c>
      <c r="E1201" s="1458">
        <v>1</v>
      </c>
      <c r="F1201" s="1459">
        <v>2</v>
      </c>
      <c r="G1201" s="1470" t="s">
        <v>4983</v>
      </c>
      <c r="H1201" s="1456">
        <v>1</v>
      </c>
      <c r="I1201" s="1456">
        <v>1</v>
      </c>
      <c r="J1201" s="1471">
        <v>2</v>
      </c>
      <c r="K1201" s="1460"/>
      <c r="L1201" s="1454">
        <v>13117130404</v>
      </c>
      <c r="M1201" s="1455">
        <v>1</v>
      </c>
      <c r="N1201" s="1455">
        <v>1</v>
      </c>
      <c r="O1201" s="1456">
        <v>2</v>
      </c>
      <c r="AA1201"/>
      <c r="AB1201"/>
    </row>
    <row r="1202" spans="3:28">
      <c r="C1202" s="1461" t="s">
        <v>4984</v>
      </c>
      <c r="D1202" s="1458">
        <v>1</v>
      </c>
      <c r="E1202" s="1458">
        <v>1</v>
      </c>
      <c r="F1202" s="1459">
        <v>2</v>
      </c>
      <c r="G1202" s="1470" t="s">
        <v>4984</v>
      </c>
      <c r="H1202" s="1456">
        <v>1</v>
      </c>
      <c r="I1202" s="1456">
        <v>1</v>
      </c>
      <c r="J1202" s="1471">
        <v>2</v>
      </c>
      <c r="K1202" s="1460"/>
      <c r="L1202" s="1454">
        <v>13117130405</v>
      </c>
      <c r="M1202" s="1455">
        <v>1</v>
      </c>
      <c r="N1202" s="1455">
        <v>1</v>
      </c>
      <c r="O1202" s="1456">
        <v>2</v>
      </c>
      <c r="AA1202"/>
      <c r="AB1202"/>
    </row>
    <row r="1203" spans="3:28">
      <c r="C1203" s="1461" t="s">
        <v>4985</v>
      </c>
      <c r="D1203" s="1458">
        <v>1</v>
      </c>
      <c r="E1203" s="1458">
        <v>0</v>
      </c>
      <c r="F1203" s="1459">
        <v>1</v>
      </c>
      <c r="G1203" s="1470" t="s">
        <v>4985</v>
      </c>
      <c r="H1203" s="1456">
        <v>1</v>
      </c>
      <c r="I1203" s="1456">
        <v>0</v>
      </c>
      <c r="J1203" s="1471">
        <v>1</v>
      </c>
      <c r="K1203" s="1460"/>
      <c r="L1203" s="1454">
        <v>13117130406</v>
      </c>
      <c r="M1203" s="1455">
        <v>1</v>
      </c>
      <c r="N1203" s="1455">
        <v>0</v>
      </c>
      <c r="O1203" s="1456">
        <v>1</v>
      </c>
      <c r="AA1203"/>
      <c r="AB1203"/>
    </row>
    <row r="1204" spans="3:28">
      <c r="C1204" s="1461" t="s">
        <v>4986</v>
      </c>
      <c r="D1204" s="1458">
        <v>1</v>
      </c>
      <c r="E1204" s="1458">
        <v>0</v>
      </c>
      <c r="F1204" s="1459">
        <v>1</v>
      </c>
      <c r="G1204" s="1470" t="s">
        <v>4986</v>
      </c>
      <c r="H1204" s="1456">
        <v>0</v>
      </c>
      <c r="I1204" s="1456">
        <v>0</v>
      </c>
      <c r="J1204" s="1471">
        <v>0</v>
      </c>
      <c r="K1204" s="1460"/>
      <c r="L1204" s="1454">
        <v>13117130408</v>
      </c>
      <c r="M1204" s="1455">
        <v>1</v>
      </c>
      <c r="N1204" s="1455">
        <v>0</v>
      </c>
      <c r="O1204" s="1456">
        <v>1</v>
      </c>
      <c r="AA1204"/>
      <c r="AB1204"/>
    </row>
    <row r="1205" spans="3:28">
      <c r="C1205" s="1461" t="s">
        <v>4987</v>
      </c>
      <c r="D1205" s="1458">
        <v>1</v>
      </c>
      <c r="E1205" s="1458">
        <v>1</v>
      </c>
      <c r="F1205" s="1459">
        <v>2</v>
      </c>
      <c r="G1205" s="1470" t="s">
        <v>4987</v>
      </c>
      <c r="H1205" s="1456">
        <v>1</v>
      </c>
      <c r="I1205" s="1456">
        <v>0</v>
      </c>
      <c r="J1205" s="1471">
        <v>1</v>
      </c>
      <c r="K1205" s="1460"/>
      <c r="L1205" s="1454">
        <v>13117130409</v>
      </c>
      <c r="M1205" s="1455">
        <v>1</v>
      </c>
      <c r="N1205" s="1455">
        <v>1</v>
      </c>
      <c r="O1205" s="1456">
        <v>2</v>
      </c>
      <c r="AA1205"/>
      <c r="AB1205"/>
    </row>
    <row r="1206" spans="3:28">
      <c r="C1206" s="1461" t="s">
        <v>4988</v>
      </c>
      <c r="D1206" s="1458">
        <v>1</v>
      </c>
      <c r="E1206" s="1458">
        <v>1</v>
      </c>
      <c r="F1206" s="1459">
        <v>2</v>
      </c>
      <c r="G1206" s="1470" t="s">
        <v>4988</v>
      </c>
      <c r="H1206" s="1456">
        <v>1</v>
      </c>
      <c r="I1206" s="1456">
        <v>1</v>
      </c>
      <c r="J1206" s="1471">
        <v>1</v>
      </c>
      <c r="K1206" s="1460"/>
      <c r="L1206" s="1454">
        <v>13117130410</v>
      </c>
      <c r="M1206" s="1455">
        <v>1</v>
      </c>
      <c r="N1206" s="1455">
        <v>1</v>
      </c>
      <c r="O1206" s="1456">
        <v>2</v>
      </c>
      <c r="AA1206"/>
      <c r="AB1206"/>
    </row>
    <row r="1207" spans="3:28">
      <c r="C1207" s="1461" t="s">
        <v>4989</v>
      </c>
      <c r="D1207" s="1458">
        <v>1</v>
      </c>
      <c r="E1207" s="1458">
        <v>1</v>
      </c>
      <c r="F1207" s="1459">
        <v>2</v>
      </c>
      <c r="G1207" s="1470" t="s">
        <v>4989</v>
      </c>
      <c r="H1207" s="1456">
        <v>1</v>
      </c>
      <c r="I1207" s="1456">
        <v>0</v>
      </c>
      <c r="J1207" s="1471">
        <v>1</v>
      </c>
      <c r="K1207" s="1460"/>
      <c r="L1207" s="1454">
        <v>13117130503</v>
      </c>
      <c r="M1207" s="1455">
        <v>1</v>
      </c>
      <c r="N1207" s="1455">
        <v>1</v>
      </c>
      <c r="O1207" s="1456">
        <v>2</v>
      </c>
      <c r="AA1207"/>
      <c r="AB1207"/>
    </row>
    <row r="1208" spans="3:28">
      <c r="C1208" s="1461" t="s">
        <v>4990</v>
      </c>
      <c r="D1208" s="1458">
        <v>1</v>
      </c>
      <c r="E1208" s="1458">
        <v>1</v>
      </c>
      <c r="F1208" s="1459">
        <v>2</v>
      </c>
      <c r="G1208" s="1470" t="s">
        <v>4990</v>
      </c>
      <c r="H1208" s="1456">
        <v>1</v>
      </c>
      <c r="I1208" s="1456">
        <v>0</v>
      </c>
      <c r="J1208" s="1471">
        <v>1</v>
      </c>
      <c r="K1208" s="1460"/>
      <c r="L1208" s="1454">
        <v>13117130504</v>
      </c>
      <c r="M1208" s="1455">
        <v>1</v>
      </c>
      <c r="N1208" s="1455">
        <v>1</v>
      </c>
      <c r="O1208" s="1456">
        <v>2</v>
      </c>
      <c r="AA1208"/>
      <c r="AB1208"/>
    </row>
    <row r="1209" spans="3:28">
      <c r="C1209" s="1461" t="s">
        <v>4991</v>
      </c>
      <c r="D1209" s="1458">
        <v>1</v>
      </c>
      <c r="E1209" s="1458">
        <v>1</v>
      </c>
      <c r="F1209" s="1459">
        <v>2</v>
      </c>
      <c r="G1209" s="1470" t="s">
        <v>4991</v>
      </c>
      <c r="H1209" s="1456">
        <v>1</v>
      </c>
      <c r="I1209" s="1456" t="s">
        <v>3906</v>
      </c>
      <c r="J1209" s="1471">
        <v>1</v>
      </c>
      <c r="K1209" s="1460"/>
      <c r="L1209" s="1454">
        <v>13117130505</v>
      </c>
      <c r="M1209" s="1455">
        <v>1</v>
      </c>
      <c r="N1209" s="1455">
        <v>1</v>
      </c>
      <c r="O1209" s="1456">
        <v>2</v>
      </c>
      <c r="AA1209"/>
      <c r="AB1209"/>
    </row>
    <row r="1210" spans="3:28">
      <c r="C1210" s="1461" t="s">
        <v>4992</v>
      </c>
      <c r="D1210" s="1458">
        <v>1</v>
      </c>
      <c r="E1210" s="1458">
        <v>1</v>
      </c>
      <c r="F1210" s="1459">
        <v>2</v>
      </c>
      <c r="G1210" s="1470" t="s">
        <v>4992</v>
      </c>
      <c r="H1210" s="1456">
        <v>1</v>
      </c>
      <c r="I1210" s="1456">
        <v>1</v>
      </c>
      <c r="J1210" s="1471">
        <v>2</v>
      </c>
      <c r="K1210" s="1460"/>
      <c r="L1210" s="1454">
        <v>13117130506</v>
      </c>
      <c r="M1210" s="1455">
        <v>1</v>
      </c>
      <c r="N1210" s="1455">
        <v>1</v>
      </c>
      <c r="O1210" s="1456">
        <v>2</v>
      </c>
      <c r="AA1210"/>
      <c r="AB1210"/>
    </row>
    <row r="1211" spans="3:28">
      <c r="C1211" s="1461" t="s">
        <v>4993</v>
      </c>
      <c r="D1211" s="1458">
        <v>1</v>
      </c>
      <c r="E1211" s="1458">
        <v>1</v>
      </c>
      <c r="F1211" s="1459">
        <v>2</v>
      </c>
      <c r="G1211" s="1470" t="s">
        <v>4993</v>
      </c>
      <c r="H1211" s="1456">
        <v>1</v>
      </c>
      <c r="I1211" s="1456">
        <v>1</v>
      </c>
      <c r="J1211" s="1471">
        <v>2</v>
      </c>
      <c r="K1211" s="1460"/>
      <c r="L1211" s="1454">
        <v>13117130507</v>
      </c>
      <c r="M1211" s="1455">
        <v>1</v>
      </c>
      <c r="N1211" s="1455">
        <v>1</v>
      </c>
      <c r="O1211" s="1456">
        <v>2</v>
      </c>
      <c r="AA1211"/>
      <c r="AB1211"/>
    </row>
    <row r="1212" spans="3:28">
      <c r="C1212" s="1461" t="s">
        <v>4994</v>
      </c>
      <c r="D1212" s="1458">
        <v>1</v>
      </c>
      <c r="E1212" s="1458">
        <v>1</v>
      </c>
      <c r="F1212" s="1459">
        <v>2</v>
      </c>
      <c r="G1212" s="1470" t="s">
        <v>4994</v>
      </c>
      <c r="H1212" s="1456">
        <v>1</v>
      </c>
      <c r="I1212" s="1456">
        <v>1</v>
      </c>
      <c r="J1212" s="1471">
        <v>2</v>
      </c>
      <c r="K1212" s="1460"/>
      <c r="L1212" s="1454">
        <v>13117130508</v>
      </c>
      <c r="M1212" s="1455">
        <v>1</v>
      </c>
      <c r="N1212" s="1455">
        <v>1</v>
      </c>
      <c r="O1212" s="1456">
        <v>2</v>
      </c>
      <c r="AA1212"/>
      <c r="AB1212"/>
    </row>
    <row r="1213" spans="3:28">
      <c r="C1213" s="1461" t="s">
        <v>4995</v>
      </c>
      <c r="D1213" s="1458">
        <v>1</v>
      </c>
      <c r="E1213" s="1458">
        <v>1</v>
      </c>
      <c r="F1213" s="1459">
        <v>2</v>
      </c>
      <c r="G1213" s="1470" t="s">
        <v>4995</v>
      </c>
      <c r="H1213" s="1456">
        <v>1</v>
      </c>
      <c r="I1213" s="1456">
        <v>1</v>
      </c>
      <c r="J1213" s="1471">
        <v>2</v>
      </c>
      <c r="K1213" s="1460"/>
      <c r="L1213" s="1454">
        <v>13117130509</v>
      </c>
      <c r="M1213" s="1455">
        <v>1</v>
      </c>
      <c r="N1213" s="1455">
        <v>1</v>
      </c>
      <c r="O1213" s="1456">
        <v>2</v>
      </c>
      <c r="AA1213"/>
      <c r="AB1213"/>
    </row>
    <row r="1214" spans="3:28">
      <c r="C1214" s="1461" t="s">
        <v>4996</v>
      </c>
      <c r="D1214" s="1458">
        <v>1</v>
      </c>
      <c r="E1214" s="1458">
        <v>1</v>
      </c>
      <c r="F1214" s="1459">
        <v>2</v>
      </c>
      <c r="G1214" s="1470" t="s">
        <v>4996</v>
      </c>
      <c r="H1214" s="1456">
        <v>1</v>
      </c>
      <c r="I1214" s="1456">
        <v>1</v>
      </c>
      <c r="J1214" s="1471">
        <v>2</v>
      </c>
      <c r="K1214" s="1460"/>
      <c r="L1214" s="1454">
        <v>13117130510</v>
      </c>
      <c r="M1214" s="1455">
        <v>1</v>
      </c>
      <c r="N1214" s="1455">
        <v>1</v>
      </c>
      <c r="O1214" s="1456">
        <v>2</v>
      </c>
      <c r="AA1214"/>
      <c r="AB1214"/>
    </row>
    <row r="1215" spans="3:28">
      <c r="C1215" s="1461" t="s">
        <v>4997</v>
      </c>
      <c r="D1215" s="1458">
        <v>1</v>
      </c>
      <c r="E1215" s="1458">
        <v>1</v>
      </c>
      <c r="F1215" s="1459">
        <v>2</v>
      </c>
      <c r="G1215" s="1470" t="s">
        <v>4997</v>
      </c>
      <c r="H1215" s="1456">
        <v>1</v>
      </c>
      <c r="I1215" s="1456">
        <v>1</v>
      </c>
      <c r="J1215" s="1471">
        <v>2</v>
      </c>
      <c r="K1215" s="1460"/>
      <c r="L1215" s="1454">
        <v>13117130601</v>
      </c>
      <c r="M1215" s="1455">
        <v>1</v>
      </c>
      <c r="N1215" s="1455">
        <v>1</v>
      </c>
      <c r="O1215" s="1456">
        <v>2</v>
      </c>
      <c r="AA1215"/>
      <c r="AB1215"/>
    </row>
    <row r="1216" spans="3:28">
      <c r="C1216" s="1461" t="s">
        <v>4998</v>
      </c>
      <c r="D1216" s="1458">
        <v>1</v>
      </c>
      <c r="E1216" s="1458">
        <v>1</v>
      </c>
      <c r="F1216" s="1459">
        <v>2</v>
      </c>
      <c r="G1216" s="1470" t="s">
        <v>4998</v>
      </c>
      <c r="H1216" s="1456">
        <v>1</v>
      </c>
      <c r="I1216" s="1456">
        <v>0</v>
      </c>
      <c r="J1216" s="1471">
        <v>1</v>
      </c>
      <c r="K1216" s="1460"/>
      <c r="L1216" s="1454">
        <v>13117130602</v>
      </c>
      <c r="M1216" s="1455">
        <v>1</v>
      </c>
      <c r="N1216" s="1455">
        <v>1</v>
      </c>
      <c r="O1216" s="1456">
        <v>2</v>
      </c>
      <c r="AA1216"/>
      <c r="AB1216"/>
    </row>
    <row r="1217" spans="3:28">
      <c r="C1217" s="1461" t="s">
        <v>4999</v>
      </c>
      <c r="D1217" s="1458">
        <v>1</v>
      </c>
      <c r="E1217" s="1458">
        <v>1</v>
      </c>
      <c r="F1217" s="1459">
        <v>2</v>
      </c>
      <c r="G1217" s="1470" t="s">
        <v>4999</v>
      </c>
      <c r="H1217" s="1456">
        <v>1</v>
      </c>
      <c r="I1217" s="1456" t="s">
        <v>3906</v>
      </c>
      <c r="J1217" s="1471">
        <v>1</v>
      </c>
      <c r="K1217" s="1460"/>
      <c r="L1217" s="1454">
        <v>13117130603</v>
      </c>
      <c r="M1217" s="1455">
        <v>1</v>
      </c>
      <c r="N1217" s="1455">
        <v>1</v>
      </c>
      <c r="O1217" s="1456">
        <v>2</v>
      </c>
      <c r="AA1217"/>
      <c r="AB1217"/>
    </row>
    <row r="1218" spans="3:28">
      <c r="C1218" s="1461" t="s">
        <v>5000</v>
      </c>
      <c r="D1218" s="1458">
        <v>1</v>
      </c>
      <c r="E1218" s="1458">
        <v>1</v>
      </c>
      <c r="F1218" s="1459">
        <v>2</v>
      </c>
      <c r="G1218" s="1470" t="s">
        <v>5000</v>
      </c>
      <c r="H1218" s="1456">
        <v>1</v>
      </c>
      <c r="I1218" s="1456">
        <v>1</v>
      </c>
      <c r="J1218" s="1471">
        <v>2</v>
      </c>
      <c r="K1218" s="1460"/>
      <c r="L1218" s="1454">
        <v>13117130604</v>
      </c>
      <c r="M1218" s="1455">
        <v>1</v>
      </c>
      <c r="N1218" s="1455">
        <v>1</v>
      </c>
      <c r="O1218" s="1456">
        <v>2</v>
      </c>
      <c r="AA1218"/>
      <c r="AB1218"/>
    </row>
    <row r="1219" spans="3:28">
      <c r="C1219" s="1461" t="s">
        <v>5001</v>
      </c>
      <c r="D1219" s="1458">
        <v>1</v>
      </c>
      <c r="E1219" s="1458">
        <v>1</v>
      </c>
      <c r="F1219" s="1459">
        <v>2</v>
      </c>
      <c r="G1219" s="1470" t="s">
        <v>5001</v>
      </c>
      <c r="H1219" s="1456">
        <v>1</v>
      </c>
      <c r="I1219" s="1456">
        <v>1</v>
      </c>
      <c r="J1219" s="1471">
        <v>2</v>
      </c>
      <c r="K1219" s="1460"/>
      <c r="L1219" s="1454">
        <v>13117130605</v>
      </c>
      <c r="M1219" s="1455">
        <v>1</v>
      </c>
      <c r="N1219" s="1455">
        <v>1</v>
      </c>
      <c r="O1219" s="1456">
        <v>2</v>
      </c>
      <c r="AA1219"/>
      <c r="AB1219"/>
    </row>
    <row r="1220" spans="3:28">
      <c r="C1220" s="1461" t="s">
        <v>5002</v>
      </c>
      <c r="D1220" s="1458">
        <v>1</v>
      </c>
      <c r="E1220" s="1458">
        <v>1</v>
      </c>
      <c r="F1220" s="1459">
        <v>2</v>
      </c>
      <c r="G1220" s="1470" t="s">
        <v>5002</v>
      </c>
      <c r="H1220" s="1456">
        <v>1</v>
      </c>
      <c r="I1220" s="1456">
        <v>1</v>
      </c>
      <c r="J1220" s="1471">
        <v>2</v>
      </c>
      <c r="K1220" s="1460"/>
      <c r="L1220" s="1454">
        <v>13117130606</v>
      </c>
      <c r="M1220" s="1455">
        <v>1</v>
      </c>
      <c r="N1220" s="1455">
        <v>1</v>
      </c>
      <c r="O1220" s="1456">
        <v>2</v>
      </c>
      <c r="AA1220"/>
      <c r="AB1220"/>
    </row>
    <row r="1221" spans="3:28">
      <c r="C1221" s="1461" t="s">
        <v>5003</v>
      </c>
      <c r="D1221" s="1458">
        <v>1</v>
      </c>
      <c r="E1221" s="1458">
        <v>1</v>
      </c>
      <c r="F1221" s="1459">
        <v>2</v>
      </c>
      <c r="G1221" s="1470" t="s">
        <v>5003</v>
      </c>
      <c r="H1221" s="1456">
        <v>1</v>
      </c>
      <c r="I1221" s="1456">
        <v>1</v>
      </c>
      <c r="J1221" s="1471">
        <v>2</v>
      </c>
      <c r="K1221" s="1460"/>
      <c r="L1221" s="1454">
        <v>13117130607</v>
      </c>
      <c r="M1221" s="1455">
        <v>1</v>
      </c>
      <c r="N1221" s="1455">
        <v>1</v>
      </c>
      <c r="O1221" s="1456">
        <v>2</v>
      </c>
      <c r="AA1221"/>
      <c r="AB1221"/>
    </row>
    <row r="1222" spans="3:28">
      <c r="C1222" s="1461" t="s">
        <v>5004</v>
      </c>
      <c r="D1222" s="1458">
        <v>1</v>
      </c>
      <c r="E1222" s="1458">
        <v>1</v>
      </c>
      <c r="F1222" s="1459">
        <v>2</v>
      </c>
      <c r="G1222" s="1470" t="s">
        <v>5004</v>
      </c>
      <c r="H1222" s="1456">
        <v>1</v>
      </c>
      <c r="I1222" s="1456">
        <v>1</v>
      </c>
      <c r="J1222" s="1471">
        <v>2</v>
      </c>
      <c r="K1222" s="1460"/>
      <c r="L1222" s="1454">
        <v>13117130608</v>
      </c>
      <c r="M1222" s="1455">
        <v>1</v>
      </c>
      <c r="N1222" s="1455">
        <v>1</v>
      </c>
      <c r="O1222" s="1456">
        <v>2</v>
      </c>
      <c r="AA1222"/>
      <c r="AB1222"/>
    </row>
    <row r="1223" spans="3:28">
      <c r="C1223" s="1461" t="s">
        <v>5005</v>
      </c>
      <c r="D1223" s="1458">
        <v>1</v>
      </c>
      <c r="E1223" s="1458">
        <v>1</v>
      </c>
      <c r="F1223" s="1459">
        <v>2</v>
      </c>
      <c r="G1223" s="1470" t="s">
        <v>5005</v>
      </c>
      <c r="H1223" s="1456">
        <v>1</v>
      </c>
      <c r="I1223" s="1456">
        <v>1</v>
      </c>
      <c r="J1223" s="1471">
        <v>2</v>
      </c>
      <c r="K1223" s="1460"/>
      <c r="L1223" s="1454">
        <v>13117130609</v>
      </c>
      <c r="M1223" s="1455">
        <v>1</v>
      </c>
      <c r="N1223" s="1455">
        <v>1</v>
      </c>
      <c r="O1223" s="1456">
        <v>2</v>
      </c>
      <c r="AA1223"/>
      <c r="AB1223"/>
    </row>
    <row r="1224" spans="3:28">
      <c r="C1224" s="1461" t="s">
        <v>5006</v>
      </c>
      <c r="D1224" s="1458">
        <v>1</v>
      </c>
      <c r="E1224" s="1458">
        <v>1</v>
      </c>
      <c r="F1224" s="1459">
        <v>2</v>
      </c>
      <c r="G1224" s="1470" t="s">
        <v>5006</v>
      </c>
      <c r="H1224" s="1456">
        <v>1</v>
      </c>
      <c r="I1224" s="1456">
        <v>1</v>
      </c>
      <c r="J1224" s="1471">
        <v>2</v>
      </c>
      <c r="K1224" s="1460"/>
      <c r="L1224" s="1454">
        <v>13117130610</v>
      </c>
      <c r="M1224" s="1455">
        <v>1</v>
      </c>
      <c r="N1224" s="1455">
        <v>1</v>
      </c>
      <c r="O1224" s="1456">
        <v>2</v>
      </c>
      <c r="AA1224"/>
      <c r="AB1224"/>
    </row>
    <row r="1225" spans="3:28">
      <c r="C1225" s="1461" t="s">
        <v>5007</v>
      </c>
      <c r="D1225" s="1458">
        <v>1</v>
      </c>
      <c r="E1225" s="1458">
        <v>1</v>
      </c>
      <c r="F1225" s="1459">
        <v>2</v>
      </c>
      <c r="G1225" s="1470" t="s">
        <v>5007</v>
      </c>
      <c r="H1225" s="1456">
        <v>1</v>
      </c>
      <c r="I1225" s="1456">
        <v>1</v>
      </c>
      <c r="J1225" s="1471">
        <v>2</v>
      </c>
      <c r="K1225" s="1460"/>
      <c r="L1225" s="1454">
        <v>13117130611</v>
      </c>
      <c r="M1225" s="1455">
        <v>1</v>
      </c>
      <c r="N1225" s="1455">
        <v>1</v>
      </c>
      <c r="O1225" s="1456">
        <v>2</v>
      </c>
      <c r="AA1225"/>
      <c r="AB1225"/>
    </row>
    <row r="1226" spans="3:28">
      <c r="C1226" s="1461" t="s">
        <v>5008</v>
      </c>
      <c r="D1226" s="1458">
        <v>1</v>
      </c>
      <c r="E1226" s="1458">
        <v>1</v>
      </c>
      <c r="F1226" s="1459">
        <v>2</v>
      </c>
      <c r="G1226" s="1470" t="s">
        <v>5008</v>
      </c>
      <c r="H1226" s="1456">
        <v>1</v>
      </c>
      <c r="I1226" s="1456">
        <v>1</v>
      </c>
      <c r="J1226" s="1471">
        <v>2</v>
      </c>
      <c r="K1226" s="1460"/>
      <c r="L1226" s="1454">
        <v>13117130612</v>
      </c>
      <c r="M1226" s="1455">
        <v>1</v>
      </c>
      <c r="N1226" s="1455">
        <v>1</v>
      </c>
      <c r="O1226" s="1456">
        <v>2</v>
      </c>
      <c r="AA1226"/>
      <c r="AB1226"/>
    </row>
    <row r="1227" spans="3:28">
      <c r="C1227" s="1461" t="s">
        <v>5009</v>
      </c>
      <c r="D1227" s="1458">
        <v>1</v>
      </c>
      <c r="E1227" s="1458">
        <v>1</v>
      </c>
      <c r="F1227" s="1459">
        <v>2</v>
      </c>
      <c r="G1227" s="1470" t="s">
        <v>5009</v>
      </c>
      <c r="H1227" s="1456">
        <v>1</v>
      </c>
      <c r="I1227" s="1456" t="s">
        <v>3906</v>
      </c>
      <c r="J1227" s="1471">
        <v>1</v>
      </c>
      <c r="K1227" s="1460"/>
      <c r="L1227" s="1454">
        <v>13117130613</v>
      </c>
      <c r="M1227" s="1455">
        <v>1</v>
      </c>
      <c r="N1227" s="1455">
        <v>1</v>
      </c>
      <c r="O1227" s="1456">
        <v>2</v>
      </c>
      <c r="AA1227"/>
      <c r="AB1227"/>
    </row>
    <row r="1228" spans="3:28">
      <c r="C1228" s="1461" t="s">
        <v>5010</v>
      </c>
      <c r="D1228" s="1458">
        <v>0</v>
      </c>
      <c r="E1228" s="1458">
        <v>0</v>
      </c>
      <c r="F1228" s="1459">
        <v>0</v>
      </c>
      <c r="G1228" s="1470" t="s">
        <v>5010</v>
      </c>
      <c r="H1228" s="1456">
        <v>0</v>
      </c>
      <c r="I1228" s="1456">
        <v>0</v>
      </c>
      <c r="J1228" s="1471">
        <v>0</v>
      </c>
      <c r="K1228" s="1460"/>
      <c r="L1228" s="1454">
        <v>13119890101</v>
      </c>
      <c r="M1228" s="1455">
        <v>0</v>
      </c>
      <c r="N1228" s="1455">
        <v>0</v>
      </c>
      <c r="O1228" s="1456">
        <v>0</v>
      </c>
      <c r="AA1228"/>
      <c r="AB1228"/>
    </row>
    <row r="1229" spans="3:28">
      <c r="C1229" s="1461" t="s">
        <v>5011</v>
      </c>
      <c r="D1229" s="1458">
        <v>0</v>
      </c>
      <c r="E1229" s="1458">
        <v>1</v>
      </c>
      <c r="F1229" s="1459">
        <v>1</v>
      </c>
      <c r="G1229" s="1470" t="s">
        <v>5011</v>
      </c>
      <c r="H1229" s="1456">
        <v>0</v>
      </c>
      <c r="I1229" s="1456">
        <v>0</v>
      </c>
      <c r="J1229" s="1471">
        <v>0</v>
      </c>
      <c r="K1229" s="1460"/>
      <c r="L1229" s="1454">
        <v>13119890102</v>
      </c>
      <c r="M1229" s="1455">
        <v>0</v>
      </c>
      <c r="N1229" s="1455">
        <v>1</v>
      </c>
      <c r="O1229" s="1456">
        <v>1</v>
      </c>
      <c r="AA1229"/>
      <c r="AB1229"/>
    </row>
    <row r="1230" spans="3:28">
      <c r="C1230" s="1461" t="s">
        <v>5012</v>
      </c>
      <c r="D1230" s="1458">
        <v>0</v>
      </c>
      <c r="E1230" s="1458">
        <v>0</v>
      </c>
      <c r="F1230" s="1459">
        <v>0</v>
      </c>
      <c r="G1230" s="1470" t="s">
        <v>5012</v>
      </c>
      <c r="H1230" s="1456">
        <v>0</v>
      </c>
      <c r="I1230" s="1456">
        <v>0</v>
      </c>
      <c r="J1230" s="1471">
        <v>0</v>
      </c>
      <c r="K1230" s="1460"/>
      <c r="L1230" s="1454">
        <v>13119890200</v>
      </c>
      <c r="M1230" s="1455">
        <v>0</v>
      </c>
      <c r="N1230" s="1455">
        <v>0</v>
      </c>
      <c r="O1230" s="1456">
        <v>0</v>
      </c>
      <c r="AA1230"/>
      <c r="AB1230"/>
    </row>
    <row r="1231" spans="3:28">
      <c r="C1231" s="1461" t="s">
        <v>5013</v>
      </c>
      <c r="D1231" s="1458">
        <v>0</v>
      </c>
      <c r="E1231" s="1458">
        <v>0</v>
      </c>
      <c r="F1231" s="1459">
        <v>0</v>
      </c>
      <c r="G1231" s="1470" t="s">
        <v>5013</v>
      </c>
      <c r="H1231" s="1456">
        <v>0</v>
      </c>
      <c r="I1231" s="1456">
        <v>0</v>
      </c>
      <c r="J1231" s="1471">
        <v>0</v>
      </c>
      <c r="K1231" s="1460"/>
      <c r="L1231" s="1454">
        <v>13119890300</v>
      </c>
      <c r="M1231" s="1455">
        <v>0</v>
      </c>
      <c r="N1231" s="1455">
        <v>0</v>
      </c>
      <c r="O1231" s="1456">
        <v>0</v>
      </c>
      <c r="AA1231"/>
      <c r="AB1231"/>
    </row>
    <row r="1232" spans="3:28">
      <c r="C1232" s="1461" t="s">
        <v>5014</v>
      </c>
      <c r="D1232" s="1458">
        <v>0</v>
      </c>
      <c r="E1232" s="1458">
        <v>0</v>
      </c>
      <c r="F1232" s="1459">
        <v>0</v>
      </c>
      <c r="G1232" s="1470" t="s">
        <v>5014</v>
      </c>
      <c r="H1232" s="1456">
        <v>0</v>
      </c>
      <c r="I1232" s="1456">
        <v>0</v>
      </c>
      <c r="J1232" s="1471">
        <v>0</v>
      </c>
      <c r="K1232" s="1460"/>
      <c r="L1232" s="1454">
        <v>13119890400</v>
      </c>
      <c r="M1232" s="1455">
        <v>0</v>
      </c>
      <c r="N1232" s="1455">
        <v>0</v>
      </c>
      <c r="O1232" s="1456">
        <v>0</v>
      </c>
      <c r="AA1232"/>
      <c r="AB1232"/>
    </row>
    <row r="1233" spans="3:28">
      <c r="C1233" s="1461" t="s">
        <v>5015</v>
      </c>
      <c r="D1233" s="1458">
        <v>1</v>
      </c>
      <c r="E1233" s="1458">
        <v>1</v>
      </c>
      <c r="F1233" s="1459">
        <v>2</v>
      </c>
      <c r="G1233" s="1470" t="s">
        <v>5015</v>
      </c>
      <c r="H1233" s="1456">
        <v>1</v>
      </c>
      <c r="I1233" s="1456">
        <v>1</v>
      </c>
      <c r="J1233" s="1471">
        <v>2</v>
      </c>
      <c r="K1233" s="1460"/>
      <c r="L1233" s="1454">
        <v>13121000100</v>
      </c>
      <c r="M1233" s="1455">
        <v>1</v>
      </c>
      <c r="N1233" s="1455">
        <v>1</v>
      </c>
      <c r="O1233" s="1456">
        <v>2</v>
      </c>
      <c r="AA1233"/>
      <c r="AB1233"/>
    </row>
    <row r="1234" spans="3:28">
      <c r="C1234" s="1461" t="s">
        <v>5016</v>
      </c>
      <c r="D1234" s="1458">
        <v>1</v>
      </c>
      <c r="E1234" s="1458">
        <v>1</v>
      </c>
      <c r="F1234" s="1459">
        <v>2</v>
      </c>
      <c r="G1234" s="1470" t="s">
        <v>5016</v>
      </c>
      <c r="H1234" s="1456">
        <v>1</v>
      </c>
      <c r="I1234" s="1456">
        <v>1</v>
      </c>
      <c r="J1234" s="1471">
        <v>2</v>
      </c>
      <c r="K1234" s="1460"/>
      <c r="L1234" s="1454">
        <v>13121000200</v>
      </c>
      <c r="M1234" s="1455">
        <v>1</v>
      </c>
      <c r="N1234" s="1455">
        <v>1</v>
      </c>
      <c r="O1234" s="1456">
        <v>2</v>
      </c>
      <c r="AA1234"/>
      <c r="AB1234"/>
    </row>
    <row r="1235" spans="3:28">
      <c r="C1235" s="1461" t="s">
        <v>5017</v>
      </c>
      <c r="D1235" s="1458">
        <v>1</v>
      </c>
      <c r="E1235" s="1458">
        <v>1</v>
      </c>
      <c r="F1235" s="1459">
        <v>2</v>
      </c>
      <c r="G1235" s="1470" t="s">
        <v>5017</v>
      </c>
      <c r="H1235" s="1456">
        <v>1</v>
      </c>
      <c r="I1235" s="1456">
        <v>1</v>
      </c>
      <c r="J1235" s="1471">
        <v>2</v>
      </c>
      <c r="K1235" s="1460"/>
      <c r="L1235" s="1454">
        <v>13121000400</v>
      </c>
      <c r="M1235" s="1455">
        <v>1</v>
      </c>
      <c r="N1235" s="1455">
        <v>1</v>
      </c>
      <c r="O1235" s="1456">
        <v>2</v>
      </c>
      <c r="AA1235"/>
      <c r="AB1235"/>
    </row>
    <row r="1236" spans="3:28">
      <c r="C1236" s="1461" t="s">
        <v>5018</v>
      </c>
      <c r="D1236" s="1458">
        <v>1</v>
      </c>
      <c r="E1236" s="1458">
        <v>1</v>
      </c>
      <c r="F1236" s="1459">
        <v>2</v>
      </c>
      <c r="G1236" s="1470" t="s">
        <v>5018</v>
      </c>
      <c r="H1236" s="1456">
        <v>1</v>
      </c>
      <c r="I1236" s="1456" t="s">
        <v>3906</v>
      </c>
      <c r="J1236" s="1471">
        <v>1</v>
      </c>
      <c r="K1236" s="1460"/>
      <c r="L1236" s="1454">
        <v>13121000500</v>
      </c>
      <c r="M1236" s="1455">
        <v>1</v>
      </c>
      <c r="N1236" s="1455">
        <v>1</v>
      </c>
      <c r="O1236" s="1456">
        <v>2</v>
      </c>
      <c r="AA1236"/>
      <c r="AB1236"/>
    </row>
    <row r="1237" spans="3:28">
      <c r="C1237" s="1461" t="s">
        <v>5019</v>
      </c>
      <c r="D1237" s="1458">
        <v>0</v>
      </c>
      <c r="E1237" s="1458">
        <v>1</v>
      </c>
      <c r="F1237" s="1459">
        <v>1</v>
      </c>
      <c r="G1237" s="1470" t="s">
        <v>5019</v>
      </c>
      <c r="H1237" s="1456">
        <v>0</v>
      </c>
      <c r="I1237" s="1456" t="s">
        <v>3906</v>
      </c>
      <c r="J1237" s="1471">
        <v>0</v>
      </c>
      <c r="K1237" s="1460"/>
      <c r="L1237" s="1454">
        <v>13121000600</v>
      </c>
      <c r="M1237" s="1455">
        <v>0</v>
      </c>
      <c r="N1237" s="1455">
        <v>1</v>
      </c>
      <c r="O1237" s="1456">
        <v>1</v>
      </c>
      <c r="AA1237"/>
      <c r="AB1237"/>
    </row>
    <row r="1238" spans="3:28">
      <c r="C1238" s="1461" t="s">
        <v>5020</v>
      </c>
      <c r="D1238" s="1458">
        <v>0</v>
      </c>
      <c r="E1238" s="1458">
        <v>0</v>
      </c>
      <c r="F1238" s="1459">
        <v>0</v>
      </c>
      <c r="G1238" s="1470" t="s">
        <v>5020</v>
      </c>
      <c r="H1238" s="1456">
        <v>0</v>
      </c>
      <c r="I1238" s="1456" t="s">
        <v>3906</v>
      </c>
      <c r="J1238" s="1471">
        <v>0</v>
      </c>
      <c r="K1238" s="1460"/>
      <c r="L1238" s="1454">
        <v>13121000700</v>
      </c>
      <c r="M1238" s="1455">
        <v>0</v>
      </c>
      <c r="N1238" s="1455">
        <v>0</v>
      </c>
      <c r="O1238" s="1456">
        <v>0</v>
      </c>
      <c r="AA1238"/>
      <c r="AB1238"/>
    </row>
    <row r="1239" spans="3:28">
      <c r="C1239" s="1461" t="s">
        <v>5021</v>
      </c>
      <c r="D1239" s="1458">
        <v>1</v>
      </c>
      <c r="E1239" s="1458">
        <v>1</v>
      </c>
      <c r="F1239" s="1459">
        <v>2</v>
      </c>
      <c r="G1239" s="1470" t="s">
        <v>5021</v>
      </c>
      <c r="H1239" s="1456">
        <v>1</v>
      </c>
      <c r="I1239" s="1456" t="s">
        <v>3906</v>
      </c>
      <c r="J1239" s="1471">
        <v>1</v>
      </c>
      <c r="K1239" s="1460"/>
      <c r="L1239" s="1454">
        <v>13121001001</v>
      </c>
      <c r="M1239" s="1455">
        <v>1</v>
      </c>
      <c r="N1239" s="1455">
        <v>1</v>
      </c>
      <c r="O1239" s="1456">
        <v>2</v>
      </c>
      <c r="AA1239"/>
      <c r="AB1239"/>
    </row>
    <row r="1240" spans="3:28">
      <c r="C1240" s="1461" t="s">
        <v>5022</v>
      </c>
      <c r="D1240" s="1458">
        <v>0</v>
      </c>
      <c r="E1240" s="1458">
        <v>1</v>
      </c>
      <c r="F1240" s="1459">
        <v>1</v>
      </c>
      <c r="G1240" s="1470" t="s">
        <v>5022</v>
      </c>
      <c r="H1240" s="1456">
        <v>0</v>
      </c>
      <c r="I1240" s="1456" t="s">
        <v>3906</v>
      </c>
      <c r="J1240" s="1471">
        <v>0</v>
      </c>
      <c r="K1240" s="1460"/>
      <c r="L1240" s="1454">
        <v>13121001002</v>
      </c>
      <c r="M1240" s="1455">
        <v>0</v>
      </c>
      <c r="N1240" s="1455">
        <v>1</v>
      </c>
      <c r="O1240" s="1456">
        <v>1</v>
      </c>
      <c r="AA1240"/>
      <c r="AB1240"/>
    </row>
    <row r="1241" spans="3:28">
      <c r="C1241" s="1461" t="s">
        <v>5023</v>
      </c>
      <c r="D1241" s="1458">
        <v>1</v>
      </c>
      <c r="E1241" s="1458">
        <v>1</v>
      </c>
      <c r="F1241" s="1459">
        <v>2</v>
      </c>
      <c r="G1241" s="1470" t="s">
        <v>5023</v>
      </c>
      <c r="H1241" s="1456">
        <v>1</v>
      </c>
      <c r="I1241" s="1456" t="s">
        <v>3906</v>
      </c>
      <c r="J1241" s="1471">
        <v>1</v>
      </c>
      <c r="K1241" s="1460"/>
      <c r="L1241" s="1454">
        <v>13121001100</v>
      </c>
      <c r="M1241" s="1455">
        <v>1</v>
      </c>
      <c r="N1241" s="1455">
        <v>1</v>
      </c>
      <c r="O1241" s="1456">
        <v>2</v>
      </c>
      <c r="AA1241"/>
      <c r="AB1241"/>
    </row>
    <row r="1242" spans="3:28">
      <c r="C1242" s="1461" t="s">
        <v>5024</v>
      </c>
      <c r="D1242" s="1458">
        <v>1</v>
      </c>
      <c r="E1242" s="1458">
        <v>1</v>
      </c>
      <c r="F1242" s="1459">
        <v>2</v>
      </c>
      <c r="G1242" s="1470" t="s">
        <v>5024</v>
      </c>
      <c r="H1242" s="1456">
        <v>1</v>
      </c>
      <c r="I1242" s="1456">
        <v>1</v>
      </c>
      <c r="J1242" s="1471">
        <v>2</v>
      </c>
      <c r="K1242" s="1460"/>
      <c r="L1242" s="1454">
        <v>13121001201</v>
      </c>
      <c r="M1242" s="1455">
        <v>1</v>
      </c>
      <c r="N1242" s="1455">
        <v>1</v>
      </c>
      <c r="O1242" s="1456">
        <v>2</v>
      </c>
      <c r="AA1242"/>
      <c r="AB1242"/>
    </row>
    <row r="1243" spans="3:28">
      <c r="C1243" s="1461" t="s">
        <v>5025</v>
      </c>
      <c r="D1243" s="1458">
        <v>1</v>
      </c>
      <c r="E1243" s="1458">
        <v>1</v>
      </c>
      <c r="F1243" s="1459">
        <v>2</v>
      </c>
      <c r="G1243" s="1470" t="s">
        <v>5025</v>
      </c>
      <c r="H1243" s="1456">
        <v>1</v>
      </c>
      <c r="I1243" s="1456" t="s">
        <v>3906</v>
      </c>
      <c r="J1243" s="1471">
        <v>1</v>
      </c>
      <c r="K1243" s="1460"/>
      <c r="L1243" s="1454">
        <v>13121001202</v>
      </c>
      <c r="M1243" s="1455">
        <v>1</v>
      </c>
      <c r="N1243" s="1455">
        <v>1</v>
      </c>
      <c r="O1243" s="1456">
        <v>2</v>
      </c>
      <c r="AA1243"/>
      <c r="AB1243"/>
    </row>
    <row r="1244" spans="3:28">
      <c r="C1244" s="1461" t="s">
        <v>5026</v>
      </c>
      <c r="D1244" s="1458">
        <v>1</v>
      </c>
      <c r="E1244" s="1458">
        <v>1</v>
      </c>
      <c r="F1244" s="1459">
        <v>2</v>
      </c>
      <c r="G1244" s="1470" t="s">
        <v>5026</v>
      </c>
      <c r="H1244" s="1456">
        <v>1</v>
      </c>
      <c r="I1244" s="1456">
        <v>1</v>
      </c>
      <c r="J1244" s="1471">
        <v>2</v>
      </c>
      <c r="K1244" s="1460"/>
      <c r="L1244" s="1454">
        <v>13121001300</v>
      </c>
      <c r="M1244" s="1455">
        <v>1</v>
      </c>
      <c r="N1244" s="1455">
        <v>1</v>
      </c>
      <c r="O1244" s="1456">
        <v>2</v>
      </c>
      <c r="AA1244"/>
      <c r="AB1244"/>
    </row>
    <row r="1245" spans="3:28">
      <c r="C1245" s="1461" t="s">
        <v>5027</v>
      </c>
      <c r="D1245" s="1458">
        <v>1</v>
      </c>
      <c r="E1245" s="1458">
        <v>1</v>
      </c>
      <c r="F1245" s="1459">
        <v>2</v>
      </c>
      <c r="G1245" s="1470" t="s">
        <v>5027</v>
      </c>
      <c r="H1245" s="1456">
        <v>1</v>
      </c>
      <c r="I1245" s="1456" t="s">
        <v>3906</v>
      </c>
      <c r="J1245" s="1471">
        <v>1</v>
      </c>
      <c r="K1245" s="1460"/>
      <c r="L1245" s="1454">
        <v>13121001400</v>
      </c>
      <c r="M1245" s="1455">
        <v>1</v>
      </c>
      <c r="N1245" s="1455">
        <v>1</v>
      </c>
      <c r="O1245" s="1456">
        <v>2</v>
      </c>
      <c r="AA1245"/>
      <c r="AB1245"/>
    </row>
    <row r="1246" spans="3:28">
      <c r="C1246" s="1461" t="s">
        <v>5028</v>
      </c>
      <c r="D1246" s="1458">
        <v>1</v>
      </c>
      <c r="E1246" s="1458">
        <v>1</v>
      </c>
      <c r="F1246" s="1459">
        <v>2</v>
      </c>
      <c r="G1246" s="1470" t="s">
        <v>5028</v>
      </c>
      <c r="H1246" s="1456">
        <v>1</v>
      </c>
      <c r="I1246" s="1456">
        <v>0</v>
      </c>
      <c r="J1246" s="1471">
        <v>1</v>
      </c>
      <c r="K1246" s="1460"/>
      <c r="L1246" s="1454">
        <v>13121001500</v>
      </c>
      <c r="M1246" s="1455">
        <v>1</v>
      </c>
      <c r="N1246" s="1455">
        <v>1</v>
      </c>
      <c r="O1246" s="1456">
        <v>2</v>
      </c>
      <c r="AA1246"/>
      <c r="AB1246"/>
    </row>
    <row r="1247" spans="3:28">
      <c r="C1247" s="1461" t="s">
        <v>5029</v>
      </c>
      <c r="D1247" s="1458">
        <v>1</v>
      </c>
      <c r="E1247" s="1458">
        <v>1</v>
      </c>
      <c r="F1247" s="1459">
        <v>2</v>
      </c>
      <c r="G1247" s="1470" t="s">
        <v>5029</v>
      </c>
      <c r="H1247" s="1456">
        <v>1</v>
      </c>
      <c r="I1247" s="1456" t="s">
        <v>3906</v>
      </c>
      <c r="J1247" s="1471">
        <v>1</v>
      </c>
      <c r="K1247" s="1460"/>
      <c r="L1247" s="1454">
        <v>13121001600</v>
      </c>
      <c r="M1247" s="1455">
        <v>1</v>
      </c>
      <c r="N1247" s="1455">
        <v>1</v>
      </c>
      <c r="O1247" s="1456">
        <v>2</v>
      </c>
      <c r="AA1247"/>
      <c r="AB1247"/>
    </row>
    <row r="1248" spans="3:28">
      <c r="C1248" s="1461" t="s">
        <v>5030</v>
      </c>
      <c r="D1248" s="1458">
        <v>1</v>
      </c>
      <c r="E1248" s="1458">
        <v>0</v>
      </c>
      <c r="F1248" s="1459">
        <v>1</v>
      </c>
      <c r="G1248" s="1470" t="s">
        <v>5030</v>
      </c>
      <c r="H1248" s="1456">
        <v>1</v>
      </c>
      <c r="I1248" s="1456">
        <v>1</v>
      </c>
      <c r="J1248" s="1471">
        <v>2</v>
      </c>
      <c r="K1248" s="1460"/>
      <c r="L1248" s="1454">
        <v>13121001700</v>
      </c>
      <c r="M1248" s="1455">
        <v>1</v>
      </c>
      <c r="N1248" s="1455">
        <v>1</v>
      </c>
      <c r="O1248" s="1456">
        <v>2</v>
      </c>
      <c r="AA1248"/>
      <c r="AB1248"/>
    </row>
    <row r="1249" spans="3:28">
      <c r="C1249" s="1461" t="s">
        <v>5031</v>
      </c>
      <c r="D1249" s="1458">
        <v>0</v>
      </c>
      <c r="E1249" s="1458">
        <v>0</v>
      </c>
      <c r="F1249" s="1459">
        <v>0</v>
      </c>
      <c r="G1249" s="1470" t="s">
        <v>5031</v>
      </c>
      <c r="H1249" s="1456">
        <v>0</v>
      </c>
      <c r="I1249" s="1456">
        <v>1</v>
      </c>
      <c r="J1249" s="1471">
        <v>1</v>
      </c>
      <c r="K1249" s="1460"/>
      <c r="L1249" s="1454">
        <v>13121001800</v>
      </c>
      <c r="M1249" s="1455">
        <v>0</v>
      </c>
      <c r="N1249" s="1455">
        <v>1</v>
      </c>
      <c r="O1249" s="1456">
        <v>1</v>
      </c>
      <c r="AA1249"/>
      <c r="AB1249"/>
    </row>
    <row r="1250" spans="3:28">
      <c r="C1250" s="1461" t="s">
        <v>5032</v>
      </c>
      <c r="D1250" s="1458">
        <v>0</v>
      </c>
      <c r="E1250" s="1458">
        <v>1</v>
      </c>
      <c r="F1250" s="1459">
        <v>1</v>
      </c>
      <c r="G1250" s="1470" t="s">
        <v>5032</v>
      </c>
      <c r="H1250" s="1456">
        <v>0</v>
      </c>
      <c r="I1250" s="1456" t="s">
        <v>3906</v>
      </c>
      <c r="J1250" s="1471">
        <v>0</v>
      </c>
      <c r="K1250" s="1460"/>
      <c r="L1250" s="1454">
        <v>13121001900</v>
      </c>
      <c r="M1250" s="1455">
        <v>0</v>
      </c>
      <c r="N1250" s="1455">
        <v>1</v>
      </c>
      <c r="O1250" s="1456">
        <v>1</v>
      </c>
      <c r="AA1250"/>
      <c r="AB1250"/>
    </row>
    <row r="1251" spans="3:28">
      <c r="C1251" s="1461" t="s">
        <v>5033</v>
      </c>
      <c r="D1251" s="1458">
        <v>0</v>
      </c>
      <c r="E1251" s="1458">
        <v>0</v>
      </c>
      <c r="F1251" s="1459">
        <v>0</v>
      </c>
      <c r="G1251" s="1470" t="s">
        <v>5033</v>
      </c>
      <c r="H1251" s="1456">
        <v>0</v>
      </c>
      <c r="I1251" s="1456" t="s">
        <v>3906</v>
      </c>
      <c r="J1251" s="1471">
        <v>0</v>
      </c>
      <c r="K1251" s="1460"/>
      <c r="L1251" s="1454">
        <v>13121002100</v>
      </c>
      <c r="M1251" s="1455">
        <v>0</v>
      </c>
      <c r="N1251" s="1455">
        <v>0</v>
      </c>
      <c r="O1251" s="1456">
        <v>0</v>
      </c>
      <c r="AA1251"/>
      <c r="AB1251"/>
    </row>
    <row r="1252" spans="3:28">
      <c r="C1252" s="1461" t="s">
        <v>5034</v>
      </c>
      <c r="D1252" s="1458">
        <v>0</v>
      </c>
      <c r="E1252" s="1458">
        <v>0</v>
      </c>
      <c r="F1252" s="1459">
        <v>0</v>
      </c>
      <c r="G1252" s="1470" t="s">
        <v>5034</v>
      </c>
      <c r="H1252" s="1456">
        <v>0</v>
      </c>
      <c r="I1252" s="1456">
        <v>0</v>
      </c>
      <c r="J1252" s="1471">
        <v>0</v>
      </c>
      <c r="K1252" s="1460"/>
      <c r="L1252" s="1454">
        <v>13121002300</v>
      </c>
      <c r="M1252" s="1455">
        <v>0</v>
      </c>
      <c r="N1252" s="1455">
        <v>0</v>
      </c>
      <c r="O1252" s="1456">
        <v>0</v>
      </c>
      <c r="AA1252"/>
      <c r="AB1252"/>
    </row>
    <row r="1253" spans="3:28">
      <c r="C1253" s="1461" t="s">
        <v>5035</v>
      </c>
      <c r="D1253" s="1458">
        <v>0</v>
      </c>
      <c r="E1253" s="1458">
        <v>0</v>
      </c>
      <c r="F1253" s="1459">
        <v>0</v>
      </c>
      <c r="G1253" s="1470" t="s">
        <v>5035</v>
      </c>
      <c r="H1253" s="1456">
        <v>0</v>
      </c>
      <c r="I1253" s="1456">
        <v>0</v>
      </c>
      <c r="J1253" s="1471">
        <v>0</v>
      </c>
      <c r="K1253" s="1460"/>
      <c r="L1253" s="1454">
        <v>13121002400</v>
      </c>
      <c r="M1253" s="1455">
        <v>0</v>
      </c>
      <c r="N1253" s="1455">
        <v>0</v>
      </c>
      <c r="O1253" s="1456">
        <v>0</v>
      </c>
      <c r="AA1253"/>
      <c r="AB1253"/>
    </row>
    <row r="1254" spans="3:28">
      <c r="C1254" s="1461" t="s">
        <v>5036</v>
      </c>
      <c r="D1254" s="1458">
        <v>0</v>
      </c>
      <c r="E1254" s="1458">
        <v>0</v>
      </c>
      <c r="F1254" s="1459">
        <v>0</v>
      </c>
      <c r="G1254" s="1470" t="s">
        <v>5036</v>
      </c>
      <c r="H1254" s="1456">
        <v>0</v>
      </c>
      <c r="I1254" s="1456">
        <v>0</v>
      </c>
      <c r="J1254" s="1471">
        <v>0</v>
      </c>
      <c r="K1254" s="1460"/>
      <c r="L1254" s="1454">
        <v>13121002500</v>
      </c>
      <c r="M1254" s="1455">
        <v>0</v>
      </c>
      <c r="N1254" s="1455">
        <v>0</v>
      </c>
      <c r="O1254" s="1456">
        <v>0</v>
      </c>
      <c r="AA1254"/>
      <c r="AB1254"/>
    </row>
    <row r="1255" spans="3:28">
      <c r="C1255" s="1461" t="s">
        <v>5037</v>
      </c>
      <c r="D1255" s="1458">
        <v>0</v>
      </c>
      <c r="E1255" s="1458">
        <v>0</v>
      </c>
      <c r="F1255" s="1459">
        <v>0</v>
      </c>
      <c r="G1255" s="1470" t="s">
        <v>5037</v>
      </c>
      <c r="H1255" s="1456">
        <v>0</v>
      </c>
      <c r="I1255" s="1456" t="s">
        <v>3906</v>
      </c>
      <c r="J1255" s="1471">
        <v>0</v>
      </c>
      <c r="K1255" s="1460"/>
      <c r="L1255" s="1454">
        <v>13121002600</v>
      </c>
      <c r="M1255" s="1455">
        <v>0</v>
      </c>
      <c r="N1255" s="1455">
        <v>0</v>
      </c>
      <c r="O1255" s="1456">
        <v>0</v>
      </c>
      <c r="AA1255"/>
      <c r="AB1255"/>
    </row>
    <row r="1256" spans="3:28">
      <c r="C1256" s="1461" t="s">
        <v>5038</v>
      </c>
      <c r="D1256" s="1458">
        <v>0</v>
      </c>
      <c r="E1256" s="1458">
        <v>0</v>
      </c>
      <c r="F1256" s="1459">
        <v>0</v>
      </c>
      <c r="G1256" s="1470" t="s">
        <v>5038</v>
      </c>
      <c r="H1256" s="1456">
        <v>0</v>
      </c>
      <c r="I1256" s="1456" t="s">
        <v>3906</v>
      </c>
      <c r="J1256" s="1471">
        <v>0</v>
      </c>
      <c r="K1256" s="1460"/>
      <c r="L1256" s="1454">
        <v>13121002800</v>
      </c>
      <c r="M1256" s="1455">
        <v>0</v>
      </c>
      <c r="N1256" s="1455">
        <v>0</v>
      </c>
      <c r="O1256" s="1456">
        <v>0</v>
      </c>
      <c r="AA1256"/>
      <c r="AB1256"/>
    </row>
    <row r="1257" spans="3:28">
      <c r="C1257" s="1461" t="s">
        <v>5039</v>
      </c>
      <c r="D1257" s="1458">
        <v>1</v>
      </c>
      <c r="E1257" s="1458">
        <v>1</v>
      </c>
      <c r="F1257" s="1459">
        <v>2</v>
      </c>
      <c r="G1257" s="1470" t="s">
        <v>5039</v>
      </c>
      <c r="H1257" s="1456">
        <v>1</v>
      </c>
      <c r="I1257" s="1456">
        <v>1</v>
      </c>
      <c r="J1257" s="1471">
        <v>2</v>
      </c>
      <c r="K1257" s="1460"/>
      <c r="L1257" s="1454">
        <v>13121002900</v>
      </c>
      <c r="M1257" s="1455">
        <v>1</v>
      </c>
      <c r="N1257" s="1455">
        <v>1</v>
      </c>
      <c r="O1257" s="1456">
        <v>2</v>
      </c>
      <c r="AA1257"/>
      <c r="AB1257"/>
    </row>
    <row r="1258" spans="3:28">
      <c r="C1258" s="1461" t="s">
        <v>5040</v>
      </c>
      <c r="D1258" s="1458">
        <v>1</v>
      </c>
      <c r="E1258" s="1458">
        <v>1</v>
      </c>
      <c r="F1258" s="1459">
        <v>2</v>
      </c>
      <c r="G1258" s="1470" t="s">
        <v>5040</v>
      </c>
      <c r="H1258" s="1456">
        <v>1</v>
      </c>
      <c r="I1258" s="1456" t="s">
        <v>3906</v>
      </c>
      <c r="J1258" s="1471">
        <v>1</v>
      </c>
      <c r="K1258" s="1460"/>
      <c r="L1258" s="1454">
        <v>13121003000</v>
      </c>
      <c r="M1258" s="1455">
        <v>1</v>
      </c>
      <c r="N1258" s="1455">
        <v>1</v>
      </c>
      <c r="O1258" s="1456">
        <v>2</v>
      </c>
      <c r="AA1258"/>
      <c r="AB1258"/>
    </row>
    <row r="1259" spans="3:28">
      <c r="C1259" s="1461" t="s">
        <v>5041</v>
      </c>
      <c r="D1259" s="1458">
        <v>1</v>
      </c>
      <c r="E1259" s="1458">
        <v>0</v>
      </c>
      <c r="F1259" s="1459">
        <v>1</v>
      </c>
      <c r="G1259" s="1470" t="s">
        <v>5041</v>
      </c>
      <c r="H1259" s="1456">
        <v>1</v>
      </c>
      <c r="I1259" s="1456">
        <v>0</v>
      </c>
      <c r="J1259" s="1471">
        <v>1</v>
      </c>
      <c r="K1259" s="1460"/>
      <c r="L1259" s="1454">
        <v>13121003100</v>
      </c>
      <c r="M1259" s="1455">
        <v>1</v>
      </c>
      <c r="N1259" s="1455">
        <v>0</v>
      </c>
      <c r="O1259" s="1456">
        <v>1</v>
      </c>
      <c r="AA1259"/>
      <c r="AB1259"/>
    </row>
    <row r="1260" spans="3:28">
      <c r="C1260" s="1461" t="s">
        <v>5042</v>
      </c>
      <c r="D1260" s="1458">
        <v>1</v>
      </c>
      <c r="E1260" s="1458">
        <v>1</v>
      </c>
      <c r="F1260" s="1459">
        <v>2</v>
      </c>
      <c r="G1260" s="1470" t="s">
        <v>5042</v>
      </c>
      <c r="H1260" s="1456">
        <v>1</v>
      </c>
      <c r="I1260" s="1456" t="s">
        <v>3906</v>
      </c>
      <c r="J1260" s="1471">
        <v>1</v>
      </c>
      <c r="K1260" s="1460"/>
      <c r="L1260" s="1454">
        <v>13121003200</v>
      </c>
      <c r="M1260" s="1455">
        <v>1</v>
      </c>
      <c r="N1260" s="1455">
        <v>1</v>
      </c>
      <c r="O1260" s="1456">
        <v>2</v>
      </c>
      <c r="AA1260"/>
      <c r="AB1260"/>
    </row>
    <row r="1261" spans="3:28">
      <c r="C1261" s="1461" t="s">
        <v>5043</v>
      </c>
      <c r="D1261" s="1458">
        <v>0</v>
      </c>
      <c r="E1261" s="1458">
        <v>0</v>
      </c>
      <c r="F1261" s="1459">
        <v>0</v>
      </c>
      <c r="G1261" s="1470" t="s">
        <v>5043</v>
      </c>
      <c r="H1261" s="1456">
        <v>0</v>
      </c>
      <c r="I1261" s="1456" t="s">
        <v>3906</v>
      </c>
      <c r="J1261" s="1471">
        <v>0</v>
      </c>
      <c r="K1261" s="1460"/>
      <c r="L1261" s="1454">
        <v>13121003500</v>
      </c>
      <c r="M1261" s="1455">
        <v>0</v>
      </c>
      <c r="N1261" s="1455">
        <v>0</v>
      </c>
      <c r="O1261" s="1456">
        <v>0</v>
      </c>
      <c r="AA1261"/>
      <c r="AB1261"/>
    </row>
    <row r="1262" spans="3:28">
      <c r="C1262" s="1461" t="s">
        <v>5044</v>
      </c>
      <c r="D1262" s="1458">
        <v>1</v>
      </c>
      <c r="E1262" s="1458">
        <v>0</v>
      </c>
      <c r="F1262" s="1459">
        <v>1</v>
      </c>
      <c r="G1262" s="1470" t="s">
        <v>5044</v>
      </c>
      <c r="H1262" s="1456">
        <v>0</v>
      </c>
      <c r="I1262" s="1456">
        <v>0</v>
      </c>
      <c r="J1262" s="1471">
        <v>0</v>
      </c>
      <c r="K1262" s="1460"/>
      <c r="L1262" s="1454">
        <v>13121003600</v>
      </c>
      <c r="M1262" s="1455">
        <v>1</v>
      </c>
      <c r="N1262" s="1455">
        <v>0</v>
      </c>
      <c r="O1262" s="1456">
        <v>1</v>
      </c>
      <c r="AA1262"/>
      <c r="AB1262"/>
    </row>
    <row r="1263" spans="3:28">
      <c r="C1263" s="1461" t="s">
        <v>5045</v>
      </c>
      <c r="D1263" s="1458" t="s">
        <v>3906</v>
      </c>
      <c r="E1263" s="1458" t="s">
        <v>3906</v>
      </c>
      <c r="F1263" s="1459">
        <v>0</v>
      </c>
      <c r="G1263" s="1470" t="s">
        <v>5045</v>
      </c>
      <c r="H1263" s="1456">
        <v>0</v>
      </c>
      <c r="I1263" s="1456" t="s">
        <v>3906</v>
      </c>
      <c r="J1263" s="1471">
        <v>0</v>
      </c>
      <c r="K1263" s="1460"/>
      <c r="L1263" s="1454">
        <v>13121003700</v>
      </c>
      <c r="M1263" s="1455">
        <v>0</v>
      </c>
      <c r="N1263" s="1455">
        <v>0</v>
      </c>
      <c r="O1263" s="1456">
        <v>0</v>
      </c>
      <c r="AA1263"/>
      <c r="AB1263"/>
    </row>
    <row r="1264" spans="3:28">
      <c r="C1264" s="1461" t="s">
        <v>5046</v>
      </c>
      <c r="D1264" s="1458">
        <v>0</v>
      </c>
      <c r="E1264" s="1458">
        <v>0</v>
      </c>
      <c r="F1264" s="1459">
        <v>0</v>
      </c>
      <c r="G1264" s="1470" t="s">
        <v>5046</v>
      </c>
      <c r="H1264" s="1456">
        <v>0</v>
      </c>
      <c r="I1264" s="1456" t="s">
        <v>3906</v>
      </c>
      <c r="J1264" s="1471">
        <v>0</v>
      </c>
      <c r="K1264" s="1460"/>
      <c r="L1264" s="1454">
        <v>13121003800</v>
      </c>
      <c r="M1264" s="1455">
        <v>0</v>
      </c>
      <c r="N1264" s="1455">
        <v>0</v>
      </c>
      <c r="O1264" s="1456">
        <v>0</v>
      </c>
      <c r="AA1264"/>
      <c r="AB1264"/>
    </row>
    <row r="1265" spans="3:28">
      <c r="C1265" s="1461" t="s">
        <v>5047</v>
      </c>
      <c r="D1265" s="1458">
        <v>0</v>
      </c>
      <c r="E1265" s="1458">
        <v>0</v>
      </c>
      <c r="F1265" s="1459">
        <v>0</v>
      </c>
      <c r="G1265" s="1470" t="s">
        <v>5047</v>
      </c>
      <c r="H1265" s="1456">
        <v>0</v>
      </c>
      <c r="I1265" s="1456">
        <v>0</v>
      </c>
      <c r="J1265" s="1471">
        <v>0</v>
      </c>
      <c r="K1265" s="1460"/>
      <c r="L1265" s="1454">
        <v>13121003900</v>
      </c>
      <c r="M1265" s="1455">
        <v>0</v>
      </c>
      <c r="N1265" s="1455">
        <v>0</v>
      </c>
      <c r="O1265" s="1456">
        <v>0</v>
      </c>
      <c r="AA1265"/>
      <c r="AB1265"/>
    </row>
    <row r="1266" spans="3:28">
      <c r="C1266" s="1461" t="s">
        <v>5048</v>
      </c>
      <c r="D1266" s="1458">
        <v>0</v>
      </c>
      <c r="E1266" s="1458">
        <v>0</v>
      </c>
      <c r="F1266" s="1459">
        <v>0</v>
      </c>
      <c r="G1266" s="1470" t="s">
        <v>5048</v>
      </c>
      <c r="H1266" s="1456">
        <v>0</v>
      </c>
      <c r="I1266" s="1456">
        <v>0</v>
      </c>
      <c r="J1266" s="1471">
        <v>0</v>
      </c>
      <c r="K1266" s="1460"/>
      <c r="L1266" s="1454">
        <v>13121004000</v>
      </c>
      <c r="M1266" s="1455">
        <v>0</v>
      </c>
      <c r="N1266" s="1455">
        <v>0</v>
      </c>
      <c r="O1266" s="1456">
        <v>0</v>
      </c>
      <c r="AA1266"/>
      <c r="AB1266"/>
    </row>
    <row r="1267" spans="3:28">
      <c r="C1267" s="1461" t="s">
        <v>5049</v>
      </c>
      <c r="D1267" s="1458">
        <v>0</v>
      </c>
      <c r="E1267" s="1458">
        <v>0</v>
      </c>
      <c r="F1267" s="1459">
        <v>0</v>
      </c>
      <c r="G1267" s="1470" t="s">
        <v>5049</v>
      </c>
      <c r="H1267" s="1456">
        <v>0</v>
      </c>
      <c r="I1267" s="1456">
        <v>0</v>
      </c>
      <c r="J1267" s="1471">
        <v>0</v>
      </c>
      <c r="K1267" s="1460"/>
      <c r="L1267" s="1454">
        <v>13121004100</v>
      </c>
      <c r="M1267" s="1455">
        <v>0</v>
      </c>
      <c r="N1267" s="1455">
        <v>0</v>
      </c>
      <c r="O1267" s="1456">
        <v>0</v>
      </c>
      <c r="AA1267"/>
      <c r="AB1267"/>
    </row>
    <row r="1268" spans="3:28">
      <c r="C1268" s="1461" t="s">
        <v>5050</v>
      </c>
      <c r="D1268" s="1458">
        <v>0</v>
      </c>
      <c r="E1268" s="1458">
        <v>0</v>
      </c>
      <c r="F1268" s="1459">
        <v>0</v>
      </c>
      <c r="G1268" s="1470" t="s">
        <v>5050</v>
      </c>
      <c r="H1268" s="1456">
        <v>0</v>
      </c>
      <c r="I1268" s="1456">
        <v>0</v>
      </c>
      <c r="J1268" s="1471">
        <v>0</v>
      </c>
      <c r="K1268" s="1460"/>
      <c r="L1268" s="1454">
        <v>13121004200</v>
      </c>
      <c r="M1268" s="1455">
        <v>0</v>
      </c>
      <c r="N1268" s="1455">
        <v>0</v>
      </c>
      <c r="O1268" s="1456">
        <v>0</v>
      </c>
      <c r="AA1268"/>
      <c r="AB1268"/>
    </row>
    <row r="1269" spans="3:28">
      <c r="C1269" s="1461" t="s">
        <v>5051</v>
      </c>
      <c r="D1269" s="1458">
        <v>0</v>
      </c>
      <c r="E1269" s="1458">
        <v>0</v>
      </c>
      <c r="F1269" s="1459">
        <v>0</v>
      </c>
      <c r="G1269" s="1470" t="s">
        <v>5051</v>
      </c>
      <c r="H1269" s="1456">
        <v>0</v>
      </c>
      <c r="I1269" s="1456" t="s">
        <v>3906</v>
      </c>
      <c r="J1269" s="1471">
        <v>0</v>
      </c>
      <c r="K1269" s="1460"/>
      <c r="L1269" s="1454">
        <v>13121004300</v>
      </c>
      <c r="M1269" s="1455">
        <v>0</v>
      </c>
      <c r="N1269" s="1455">
        <v>0</v>
      </c>
      <c r="O1269" s="1456">
        <v>0</v>
      </c>
      <c r="AA1269"/>
      <c r="AB1269"/>
    </row>
    <row r="1270" spans="3:28">
      <c r="C1270" s="1461" t="s">
        <v>5052</v>
      </c>
      <c r="D1270" s="1458">
        <v>0</v>
      </c>
      <c r="E1270" s="1458">
        <v>0</v>
      </c>
      <c r="F1270" s="1459">
        <v>0</v>
      </c>
      <c r="G1270" s="1470" t="s">
        <v>5052</v>
      </c>
      <c r="H1270" s="1456">
        <v>0</v>
      </c>
      <c r="I1270" s="1456">
        <v>0</v>
      </c>
      <c r="J1270" s="1471">
        <v>0</v>
      </c>
      <c r="K1270" s="1460"/>
      <c r="L1270" s="1454">
        <v>13121004400</v>
      </c>
      <c r="M1270" s="1455">
        <v>0</v>
      </c>
      <c r="N1270" s="1455">
        <v>0</v>
      </c>
      <c r="O1270" s="1456">
        <v>0</v>
      </c>
      <c r="AA1270"/>
      <c r="AB1270"/>
    </row>
    <row r="1271" spans="3:28">
      <c r="C1271" s="1461" t="s">
        <v>5053</v>
      </c>
      <c r="D1271" s="1458">
        <v>0</v>
      </c>
      <c r="E1271" s="1458">
        <v>0</v>
      </c>
      <c r="F1271" s="1459">
        <v>0</v>
      </c>
      <c r="G1271" s="1470" t="s">
        <v>5053</v>
      </c>
      <c r="H1271" s="1456">
        <v>0</v>
      </c>
      <c r="I1271" s="1456" t="s">
        <v>3906</v>
      </c>
      <c r="J1271" s="1471">
        <v>0</v>
      </c>
      <c r="K1271" s="1460"/>
      <c r="L1271" s="1454">
        <v>13121004800</v>
      </c>
      <c r="M1271" s="1455">
        <v>0</v>
      </c>
      <c r="N1271" s="1455">
        <v>0</v>
      </c>
      <c r="O1271" s="1456">
        <v>0</v>
      </c>
      <c r="AA1271"/>
      <c r="AB1271"/>
    </row>
    <row r="1272" spans="3:28">
      <c r="C1272" s="1461" t="s">
        <v>5054</v>
      </c>
      <c r="D1272" s="1458">
        <v>1</v>
      </c>
      <c r="E1272" s="1458">
        <v>0</v>
      </c>
      <c r="F1272" s="1459">
        <v>1</v>
      </c>
      <c r="G1272" s="1470" t="s">
        <v>5054</v>
      </c>
      <c r="H1272" s="1456">
        <v>1</v>
      </c>
      <c r="I1272" s="1456" t="s">
        <v>3906</v>
      </c>
      <c r="J1272" s="1471">
        <v>1</v>
      </c>
      <c r="K1272" s="1460"/>
      <c r="L1272" s="1454">
        <v>13121004900</v>
      </c>
      <c r="M1272" s="1455">
        <v>1</v>
      </c>
      <c r="N1272" s="1455">
        <v>0</v>
      </c>
      <c r="O1272" s="1456">
        <v>1</v>
      </c>
      <c r="AA1272"/>
      <c r="AB1272"/>
    </row>
    <row r="1273" spans="3:28">
      <c r="C1273" s="1461" t="s">
        <v>5055</v>
      </c>
      <c r="D1273" s="1458">
        <v>1</v>
      </c>
      <c r="E1273" s="1458">
        <v>1</v>
      </c>
      <c r="F1273" s="1459">
        <v>2</v>
      </c>
      <c r="G1273" s="1470" t="s">
        <v>5055</v>
      </c>
      <c r="H1273" s="1456">
        <v>1</v>
      </c>
      <c r="I1273" s="1456">
        <v>1</v>
      </c>
      <c r="J1273" s="1471">
        <v>2</v>
      </c>
      <c r="K1273" s="1460"/>
      <c r="L1273" s="1454">
        <v>13121005000</v>
      </c>
      <c r="M1273" s="1455">
        <v>1</v>
      </c>
      <c r="N1273" s="1455">
        <v>1</v>
      </c>
      <c r="O1273" s="1456">
        <v>2</v>
      </c>
      <c r="AA1273"/>
      <c r="AB1273"/>
    </row>
    <row r="1274" spans="3:28">
      <c r="C1274" s="1461" t="s">
        <v>5056</v>
      </c>
      <c r="D1274" s="1458">
        <v>1</v>
      </c>
      <c r="E1274" s="1458">
        <v>1</v>
      </c>
      <c r="F1274" s="1459">
        <v>2</v>
      </c>
      <c r="G1274" s="1470" t="s">
        <v>5056</v>
      </c>
      <c r="H1274" s="1456">
        <v>1</v>
      </c>
      <c r="I1274" s="1456">
        <v>1</v>
      </c>
      <c r="J1274" s="1471">
        <v>2</v>
      </c>
      <c r="K1274" s="1460"/>
      <c r="L1274" s="1454">
        <v>13121005200</v>
      </c>
      <c r="M1274" s="1455">
        <v>1</v>
      </c>
      <c r="N1274" s="1455">
        <v>1</v>
      </c>
      <c r="O1274" s="1456">
        <v>2</v>
      </c>
      <c r="AA1274"/>
      <c r="AB1274"/>
    </row>
    <row r="1275" spans="3:28">
      <c r="C1275" s="1461" t="s">
        <v>5057</v>
      </c>
      <c r="D1275" s="1458">
        <v>1</v>
      </c>
      <c r="E1275" s="1458">
        <v>1</v>
      </c>
      <c r="F1275" s="1459">
        <v>2</v>
      </c>
      <c r="G1275" s="1470" t="s">
        <v>5057</v>
      </c>
      <c r="H1275" s="1456">
        <v>1</v>
      </c>
      <c r="I1275" s="1456">
        <v>1</v>
      </c>
      <c r="J1275" s="1471">
        <v>2</v>
      </c>
      <c r="K1275" s="1460"/>
      <c r="L1275" s="1454">
        <v>13121005300</v>
      </c>
      <c r="M1275" s="1455">
        <v>1</v>
      </c>
      <c r="N1275" s="1455">
        <v>1</v>
      </c>
      <c r="O1275" s="1456">
        <v>2</v>
      </c>
      <c r="AA1275"/>
      <c r="AB1275"/>
    </row>
    <row r="1276" spans="3:28">
      <c r="C1276" s="1461" t="s">
        <v>5058</v>
      </c>
      <c r="D1276" s="1458">
        <v>0</v>
      </c>
      <c r="E1276" s="1458">
        <v>0</v>
      </c>
      <c r="F1276" s="1459">
        <v>0</v>
      </c>
      <c r="G1276" s="1470" t="s">
        <v>5058</v>
      </c>
      <c r="H1276" s="1456">
        <v>0</v>
      </c>
      <c r="I1276" s="1456">
        <v>0</v>
      </c>
      <c r="J1276" s="1471">
        <v>0</v>
      </c>
      <c r="K1276" s="1460"/>
      <c r="L1276" s="1454">
        <v>13121005501</v>
      </c>
      <c r="M1276" s="1455">
        <v>0</v>
      </c>
      <c r="N1276" s="1455">
        <v>0</v>
      </c>
      <c r="O1276" s="1456">
        <v>0</v>
      </c>
      <c r="AA1276"/>
      <c r="AB1276"/>
    </row>
    <row r="1277" spans="3:28">
      <c r="C1277" s="1461" t="s">
        <v>5059</v>
      </c>
      <c r="D1277" s="1458">
        <v>0</v>
      </c>
      <c r="E1277" s="1458">
        <v>0</v>
      </c>
      <c r="F1277" s="1459">
        <v>0</v>
      </c>
      <c r="G1277" s="1470" t="s">
        <v>5059</v>
      </c>
      <c r="H1277" s="1456">
        <v>0</v>
      </c>
      <c r="I1277" s="1456">
        <v>0</v>
      </c>
      <c r="J1277" s="1471">
        <v>0</v>
      </c>
      <c r="K1277" s="1460"/>
      <c r="L1277" s="1454">
        <v>13121005502</v>
      </c>
      <c r="M1277" s="1455">
        <v>0</v>
      </c>
      <c r="N1277" s="1455">
        <v>0</v>
      </c>
      <c r="O1277" s="1456">
        <v>0</v>
      </c>
      <c r="AA1277"/>
      <c r="AB1277"/>
    </row>
    <row r="1278" spans="3:28">
      <c r="C1278" s="1461" t="s">
        <v>5060</v>
      </c>
      <c r="D1278" s="1458">
        <v>0</v>
      </c>
      <c r="E1278" s="1458">
        <v>0</v>
      </c>
      <c r="F1278" s="1459">
        <v>0</v>
      </c>
      <c r="G1278" s="1470" t="s">
        <v>5060</v>
      </c>
      <c r="H1278" s="1456">
        <v>0</v>
      </c>
      <c r="I1278" s="1456">
        <v>0</v>
      </c>
      <c r="J1278" s="1471">
        <v>0</v>
      </c>
      <c r="K1278" s="1460"/>
      <c r="L1278" s="1454">
        <v>13121005700</v>
      </c>
      <c r="M1278" s="1455">
        <v>0</v>
      </c>
      <c r="N1278" s="1455">
        <v>0</v>
      </c>
      <c r="O1278" s="1456">
        <v>0</v>
      </c>
      <c r="AA1278"/>
      <c r="AB1278"/>
    </row>
    <row r="1279" spans="3:28">
      <c r="C1279" s="1461" t="s">
        <v>5061</v>
      </c>
      <c r="D1279" s="1458">
        <v>0</v>
      </c>
      <c r="E1279" s="1458">
        <v>0</v>
      </c>
      <c r="F1279" s="1459">
        <v>0</v>
      </c>
      <c r="G1279" s="1470" t="s">
        <v>5061</v>
      </c>
      <c r="H1279" s="1456">
        <v>0</v>
      </c>
      <c r="I1279" s="1456">
        <v>0</v>
      </c>
      <c r="J1279" s="1471">
        <v>0</v>
      </c>
      <c r="K1279" s="1460"/>
      <c r="L1279" s="1454">
        <v>13121005800</v>
      </c>
      <c r="M1279" s="1455">
        <v>0</v>
      </c>
      <c r="N1279" s="1455">
        <v>0</v>
      </c>
      <c r="O1279" s="1456">
        <v>0</v>
      </c>
      <c r="AA1279"/>
      <c r="AB1279"/>
    </row>
    <row r="1280" spans="3:28">
      <c r="C1280" s="1461" t="s">
        <v>5062</v>
      </c>
      <c r="D1280" s="1458">
        <v>0</v>
      </c>
      <c r="E1280" s="1458">
        <v>0</v>
      </c>
      <c r="F1280" s="1459">
        <v>0</v>
      </c>
      <c r="G1280" s="1470" t="s">
        <v>5062</v>
      </c>
      <c r="H1280" s="1456">
        <v>0</v>
      </c>
      <c r="I1280" s="1456">
        <v>0</v>
      </c>
      <c r="J1280" s="1471">
        <v>0</v>
      </c>
      <c r="K1280" s="1460"/>
      <c r="L1280" s="1454">
        <v>13121006000</v>
      </c>
      <c r="M1280" s="1455">
        <v>0</v>
      </c>
      <c r="N1280" s="1455">
        <v>0</v>
      </c>
      <c r="O1280" s="1456">
        <v>0</v>
      </c>
      <c r="AA1280"/>
      <c r="AB1280"/>
    </row>
    <row r="1281" spans="3:28">
      <c r="C1281" s="1461" t="s">
        <v>5063</v>
      </c>
      <c r="D1281" s="1458">
        <v>0</v>
      </c>
      <c r="E1281" s="1458">
        <v>0</v>
      </c>
      <c r="F1281" s="1459">
        <v>0</v>
      </c>
      <c r="G1281" s="1470" t="s">
        <v>5063</v>
      </c>
      <c r="H1281" s="1456">
        <v>0</v>
      </c>
      <c r="I1281" s="1456">
        <v>0</v>
      </c>
      <c r="J1281" s="1471">
        <v>0</v>
      </c>
      <c r="K1281" s="1460"/>
      <c r="L1281" s="1454">
        <v>13121006100</v>
      </c>
      <c r="M1281" s="1455">
        <v>0</v>
      </c>
      <c r="N1281" s="1455">
        <v>0</v>
      </c>
      <c r="O1281" s="1456">
        <v>0</v>
      </c>
      <c r="AA1281"/>
      <c r="AB1281"/>
    </row>
    <row r="1282" spans="3:28">
      <c r="C1282" s="1461" t="s">
        <v>5064</v>
      </c>
      <c r="D1282" s="1458">
        <v>0</v>
      </c>
      <c r="E1282" s="1458">
        <v>0</v>
      </c>
      <c r="F1282" s="1459">
        <v>0</v>
      </c>
      <c r="G1282" s="1470" t="s">
        <v>5064</v>
      </c>
      <c r="H1282" s="1456">
        <v>0</v>
      </c>
      <c r="I1282" s="1456">
        <v>0</v>
      </c>
      <c r="J1282" s="1471">
        <v>0</v>
      </c>
      <c r="K1282" s="1460"/>
      <c r="L1282" s="1454">
        <v>13121006200</v>
      </c>
      <c r="M1282" s="1455">
        <v>0</v>
      </c>
      <c r="N1282" s="1455">
        <v>0</v>
      </c>
      <c r="O1282" s="1456">
        <v>0</v>
      </c>
      <c r="AA1282"/>
      <c r="AB1282"/>
    </row>
    <row r="1283" spans="3:28">
      <c r="C1283" s="1461" t="s">
        <v>5065</v>
      </c>
      <c r="D1283" s="1458">
        <v>0</v>
      </c>
      <c r="E1283" s="1458">
        <v>0</v>
      </c>
      <c r="F1283" s="1459">
        <v>0</v>
      </c>
      <c r="G1283" s="1470" t="s">
        <v>5065</v>
      </c>
      <c r="H1283" s="1456">
        <v>0</v>
      </c>
      <c r="I1283" s="1456">
        <v>0</v>
      </c>
      <c r="J1283" s="1471">
        <v>0</v>
      </c>
      <c r="K1283" s="1460"/>
      <c r="L1283" s="1454">
        <v>13121006300</v>
      </c>
      <c r="M1283" s="1455">
        <v>0</v>
      </c>
      <c r="N1283" s="1455">
        <v>0</v>
      </c>
      <c r="O1283" s="1456">
        <v>0</v>
      </c>
      <c r="AA1283"/>
      <c r="AB1283"/>
    </row>
    <row r="1284" spans="3:28">
      <c r="C1284" s="1461" t="s">
        <v>5066</v>
      </c>
      <c r="D1284" s="1458">
        <v>0</v>
      </c>
      <c r="E1284" s="1458">
        <v>0</v>
      </c>
      <c r="F1284" s="1459">
        <v>0</v>
      </c>
      <c r="G1284" s="1470" t="s">
        <v>5066</v>
      </c>
      <c r="H1284" s="1456">
        <v>0</v>
      </c>
      <c r="I1284" s="1456" t="s">
        <v>3906</v>
      </c>
      <c r="J1284" s="1471">
        <v>0</v>
      </c>
      <c r="K1284" s="1460"/>
      <c r="L1284" s="1454">
        <v>13121006400</v>
      </c>
      <c r="M1284" s="1455">
        <v>0</v>
      </c>
      <c r="N1284" s="1455">
        <v>0</v>
      </c>
      <c r="O1284" s="1456">
        <v>0</v>
      </c>
      <c r="AA1284"/>
      <c r="AB1284"/>
    </row>
    <row r="1285" spans="3:28">
      <c r="C1285" s="1461" t="s">
        <v>5067</v>
      </c>
      <c r="D1285" s="1458">
        <v>0</v>
      </c>
      <c r="E1285" s="1458">
        <v>0</v>
      </c>
      <c r="F1285" s="1459">
        <v>0</v>
      </c>
      <c r="G1285" s="1470" t="s">
        <v>5067</v>
      </c>
      <c r="H1285" s="1456">
        <v>0</v>
      </c>
      <c r="I1285" s="1456">
        <v>0</v>
      </c>
      <c r="J1285" s="1471">
        <v>0</v>
      </c>
      <c r="K1285" s="1460"/>
      <c r="L1285" s="1454">
        <v>13121006500</v>
      </c>
      <c r="M1285" s="1455">
        <v>0</v>
      </c>
      <c r="N1285" s="1455">
        <v>0</v>
      </c>
      <c r="O1285" s="1456">
        <v>0</v>
      </c>
      <c r="AA1285"/>
      <c r="AB1285"/>
    </row>
    <row r="1286" spans="3:28">
      <c r="C1286" s="1461" t="s">
        <v>5068</v>
      </c>
      <c r="D1286" s="1458">
        <v>0</v>
      </c>
      <c r="E1286" s="1458">
        <v>0</v>
      </c>
      <c r="F1286" s="1459">
        <v>0</v>
      </c>
      <c r="G1286" s="1470" t="s">
        <v>5068</v>
      </c>
      <c r="H1286" s="1456">
        <v>0</v>
      </c>
      <c r="I1286" s="1456">
        <v>0</v>
      </c>
      <c r="J1286" s="1471">
        <v>0</v>
      </c>
      <c r="K1286" s="1460"/>
      <c r="L1286" s="1454">
        <v>13121006601</v>
      </c>
      <c r="M1286" s="1455">
        <v>0</v>
      </c>
      <c r="N1286" s="1455">
        <v>0</v>
      </c>
      <c r="O1286" s="1456">
        <v>0</v>
      </c>
      <c r="AA1286"/>
      <c r="AB1286"/>
    </row>
    <row r="1287" spans="3:28">
      <c r="C1287" s="1461" t="s">
        <v>5069</v>
      </c>
      <c r="D1287" s="1458">
        <v>0</v>
      </c>
      <c r="E1287" s="1458">
        <v>0</v>
      </c>
      <c r="F1287" s="1459">
        <v>0</v>
      </c>
      <c r="G1287" s="1470" t="s">
        <v>5069</v>
      </c>
      <c r="H1287" s="1456">
        <v>0</v>
      </c>
      <c r="I1287" s="1456">
        <v>0</v>
      </c>
      <c r="J1287" s="1471">
        <v>0</v>
      </c>
      <c r="K1287" s="1460"/>
      <c r="L1287" s="1454">
        <v>13121006602</v>
      </c>
      <c r="M1287" s="1455">
        <v>0</v>
      </c>
      <c r="N1287" s="1455">
        <v>0</v>
      </c>
      <c r="O1287" s="1456">
        <v>0</v>
      </c>
      <c r="AA1287"/>
      <c r="AB1287"/>
    </row>
    <row r="1288" spans="3:28">
      <c r="C1288" s="1461" t="s">
        <v>5070</v>
      </c>
      <c r="D1288" s="1458">
        <v>0</v>
      </c>
      <c r="E1288" s="1458">
        <v>0</v>
      </c>
      <c r="F1288" s="1459">
        <v>0</v>
      </c>
      <c r="G1288" s="1470" t="s">
        <v>5070</v>
      </c>
      <c r="H1288" s="1456">
        <v>0</v>
      </c>
      <c r="I1288" s="1456">
        <v>0</v>
      </c>
      <c r="J1288" s="1471">
        <v>0</v>
      </c>
      <c r="K1288" s="1460"/>
      <c r="L1288" s="1454">
        <v>13121006700</v>
      </c>
      <c r="M1288" s="1455">
        <v>0</v>
      </c>
      <c r="N1288" s="1455">
        <v>0</v>
      </c>
      <c r="O1288" s="1456">
        <v>0</v>
      </c>
      <c r="AA1288"/>
      <c r="AB1288"/>
    </row>
    <row r="1289" spans="3:28">
      <c r="C1289" s="1461" t="s">
        <v>5071</v>
      </c>
      <c r="D1289" s="1458" t="s">
        <v>3906</v>
      </c>
      <c r="E1289" s="1458" t="s">
        <v>3906</v>
      </c>
      <c r="F1289" s="1459">
        <v>0</v>
      </c>
      <c r="G1289" s="1470" t="s">
        <v>5071</v>
      </c>
      <c r="H1289" s="1456" t="s">
        <v>3906</v>
      </c>
      <c r="I1289" s="1456" t="s">
        <v>3906</v>
      </c>
      <c r="J1289" s="1471">
        <v>0</v>
      </c>
      <c r="K1289" s="1460"/>
      <c r="L1289" s="1454">
        <v>13121006801</v>
      </c>
      <c r="M1289" s="1455">
        <v>0</v>
      </c>
      <c r="N1289" s="1455">
        <v>0</v>
      </c>
      <c r="O1289" s="1456">
        <v>0</v>
      </c>
      <c r="AA1289"/>
      <c r="AB1289"/>
    </row>
    <row r="1290" spans="3:28">
      <c r="C1290" s="1461" t="s">
        <v>5072</v>
      </c>
      <c r="D1290" s="1458">
        <v>0</v>
      </c>
      <c r="E1290" s="1458">
        <v>0</v>
      </c>
      <c r="F1290" s="1459">
        <v>0</v>
      </c>
      <c r="G1290" s="1470" t="s">
        <v>5072</v>
      </c>
      <c r="H1290" s="1456">
        <v>0</v>
      </c>
      <c r="I1290" s="1456">
        <v>0</v>
      </c>
      <c r="J1290" s="1471">
        <v>0</v>
      </c>
      <c r="K1290" s="1460"/>
      <c r="L1290" s="1454">
        <v>13121006802</v>
      </c>
      <c r="M1290" s="1455">
        <v>0</v>
      </c>
      <c r="N1290" s="1455">
        <v>0</v>
      </c>
      <c r="O1290" s="1456">
        <v>0</v>
      </c>
      <c r="AA1290"/>
      <c r="AB1290"/>
    </row>
    <row r="1291" spans="3:28">
      <c r="C1291" s="1461" t="s">
        <v>5073</v>
      </c>
      <c r="D1291" s="1458">
        <v>0</v>
      </c>
      <c r="E1291" s="1458">
        <v>0</v>
      </c>
      <c r="F1291" s="1459">
        <v>0</v>
      </c>
      <c r="G1291" s="1470" t="s">
        <v>5073</v>
      </c>
      <c r="H1291" s="1456">
        <v>1</v>
      </c>
      <c r="I1291" s="1456">
        <v>0</v>
      </c>
      <c r="J1291" s="1471">
        <v>1</v>
      </c>
      <c r="K1291" s="1460"/>
      <c r="L1291" s="1454">
        <v>13121006900</v>
      </c>
      <c r="M1291" s="1455">
        <v>1</v>
      </c>
      <c r="N1291" s="1455">
        <v>0</v>
      </c>
      <c r="O1291" s="1456">
        <v>1</v>
      </c>
      <c r="AA1291"/>
      <c r="AB1291"/>
    </row>
    <row r="1292" spans="3:28">
      <c r="C1292" s="1461" t="s">
        <v>5074</v>
      </c>
      <c r="D1292" s="1458">
        <v>0</v>
      </c>
      <c r="E1292" s="1458">
        <v>0</v>
      </c>
      <c r="F1292" s="1459">
        <v>0</v>
      </c>
      <c r="G1292" s="1470" t="s">
        <v>5074</v>
      </c>
      <c r="H1292" s="1456">
        <v>0</v>
      </c>
      <c r="I1292" s="1456">
        <v>0</v>
      </c>
      <c r="J1292" s="1471">
        <v>0</v>
      </c>
      <c r="K1292" s="1460"/>
      <c r="L1292" s="1454">
        <v>13121007001</v>
      </c>
      <c r="M1292" s="1455">
        <v>0</v>
      </c>
      <c r="N1292" s="1455">
        <v>0</v>
      </c>
      <c r="O1292" s="1456">
        <v>0</v>
      </c>
      <c r="AA1292"/>
      <c r="AB1292"/>
    </row>
    <row r="1293" spans="3:28">
      <c r="C1293" s="1461" t="s">
        <v>5075</v>
      </c>
      <c r="D1293" s="1458">
        <v>0</v>
      </c>
      <c r="E1293" s="1458">
        <v>0</v>
      </c>
      <c r="F1293" s="1459">
        <v>0</v>
      </c>
      <c r="G1293" s="1470" t="s">
        <v>5075</v>
      </c>
      <c r="H1293" s="1456">
        <v>0</v>
      </c>
      <c r="I1293" s="1456">
        <v>0</v>
      </c>
      <c r="J1293" s="1471">
        <v>0</v>
      </c>
      <c r="K1293" s="1460"/>
      <c r="L1293" s="1454">
        <v>13121007002</v>
      </c>
      <c r="M1293" s="1455">
        <v>0</v>
      </c>
      <c r="N1293" s="1455">
        <v>0</v>
      </c>
      <c r="O1293" s="1456">
        <v>0</v>
      </c>
      <c r="AA1293"/>
      <c r="AB1293"/>
    </row>
    <row r="1294" spans="3:28">
      <c r="C1294" s="1461" t="s">
        <v>5076</v>
      </c>
      <c r="D1294" s="1458">
        <v>0</v>
      </c>
      <c r="E1294" s="1458">
        <v>0</v>
      </c>
      <c r="F1294" s="1459">
        <v>0</v>
      </c>
      <c r="G1294" s="1470" t="s">
        <v>5076</v>
      </c>
      <c r="H1294" s="1456">
        <v>0</v>
      </c>
      <c r="I1294" s="1456">
        <v>0</v>
      </c>
      <c r="J1294" s="1471">
        <v>0</v>
      </c>
      <c r="K1294" s="1460"/>
      <c r="L1294" s="1454">
        <v>13121007100</v>
      </c>
      <c r="M1294" s="1455">
        <v>0</v>
      </c>
      <c r="N1294" s="1455">
        <v>0</v>
      </c>
      <c r="O1294" s="1456">
        <v>0</v>
      </c>
      <c r="AA1294"/>
      <c r="AB1294"/>
    </row>
    <row r="1295" spans="3:28">
      <c r="C1295" s="1461" t="s">
        <v>5077</v>
      </c>
      <c r="D1295" s="1458">
        <v>0</v>
      </c>
      <c r="E1295" s="1458">
        <v>0</v>
      </c>
      <c r="F1295" s="1459">
        <v>0</v>
      </c>
      <c r="G1295" s="1470" t="s">
        <v>5077</v>
      </c>
      <c r="H1295" s="1456">
        <v>0</v>
      </c>
      <c r="I1295" s="1456">
        <v>0</v>
      </c>
      <c r="J1295" s="1471">
        <v>0</v>
      </c>
      <c r="K1295" s="1460"/>
      <c r="L1295" s="1454">
        <v>13121007200</v>
      </c>
      <c r="M1295" s="1455">
        <v>0</v>
      </c>
      <c r="N1295" s="1455">
        <v>0</v>
      </c>
      <c r="O1295" s="1456">
        <v>0</v>
      </c>
      <c r="AA1295"/>
      <c r="AB1295"/>
    </row>
    <row r="1296" spans="3:28">
      <c r="C1296" s="1461" t="s">
        <v>5078</v>
      </c>
      <c r="D1296" s="1458">
        <v>0</v>
      </c>
      <c r="E1296" s="1458">
        <v>0</v>
      </c>
      <c r="F1296" s="1459">
        <v>0</v>
      </c>
      <c r="G1296" s="1470" t="s">
        <v>5078</v>
      </c>
      <c r="H1296" s="1456">
        <v>0</v>
      </c>
      <c r="I1296" s="1456">
        <v>0</v>
      </c>
      <c r="J1296" s="1471">
        <v>0</v>
      </c>
      <c r="K1296" s="1460"/>
      <c r="L1296" s="1454">
        <v>13121007300</v>
      </c>
      <c r="M1296" s="1455">
        <v>0</v>
      </c>
      <c r="N1296" s="1455">
        <v>0</v>
      </c>
      <c r="O1296" s="1456">
        <v>0</v>
      </c>
      <c r="AA1296"/>
      <c r="AB1296"/>
    </row>
    <row r="1297" spans="3:28">
      <c r="C1297" s="1461" t="s">
        <v>5079</v>
      </c>
      <c r="D1297" s="1458">
        <v>0</v>
      </c>
      <c r="E1297" s="1458">
        <v>0</v>
      </c>
      <c r="F1297" s="1459">
        <v>0</v>
      </c>
      <c r="G1297" s="1470" t="s">
        <v>5079</v>
      </c>
      <c r="H1297" s="1456">
        <v>0</v>
      </c>
      <c r="I1297" s="1456">
        <v>0</v>
      </c>
      <c r="J1297" s="1471">
        <v>0</v>
      </c>
      <c r="K1297" s="1460"/>
      <c r="L1297" s="1454">
        <v>13121007400</v>
      </c>
      <c r="M1297" s="1455">
        <v>0</v>
      </c>
      <c r="N1297" s="1455">
        <v>0</v>
      </c>
      <c r="O1297" s="1456">
        <v>0</v>
      </c>
      <c r="AA1297"/>
      <c r="AB1297"/>
    </row>
    <row r="1298" spans="3:28">
      <c r="C1298" s="1461" t="s">
        <v>5080</v>
      </c>
      <c r="D1298" s="1458">
        <v>0</v>
      </c>
      <c r="E1298" s="1458">
        <v>0</v>
      </c>
      <c r="F1298" s="1459">
        <v>0</v>
      </c>
      <c r="G1298" s="1470" t="s">
        <v>5080</v>
      </c>
      <c r="H1298" s="1456">
        <v>0</v>
      </c>
      <c r="I1298" s="1456">
        <v>0</v>
      </c>
      <c r="J1298" s="1471">
        <v>0</v>
      </c>
      <c r="K1298" s="1460"/>
      <c r="L1298" s="1454">
        <v>13121007500</v>
      </c>
      <c r="M1298" s="1455">
        <v>0</v>
      </c>
      <c r="N1298" s="1455">
        <v>0</v>
      </c>
      <c r="O1298" s="1456">
        <v>0</v>
      </c>
      <c r="AA1298"/>
      <c r="AB1298"/>
    </row>
    <row r="1299" spans="3:28">
      <c r="C1299" s="1461" t="s">
        <v>5081</v>
      </c>
      <c r="D1299" s="1458">
        <v>0</v>
      </c>
      <c r="E1299" s="1458">
        <v>0</v>
      </c>
      <c r="F1299" s="1459">
        <v>0</v>
      </c>
      <c r="G1299" s="1470" t="s">
        <v>5081</v>
      </c>
      <c r="H1299" s="1456">
        <v>0</v>
      </c>
      <c r="I1299" s="1456">
        <v>0</v>
      </c>
      <c r="J1299" s="1471">
        <v>0</v>
      </c>
      <c r="K1299" s="1460"/>
      <c r="L1299" s="1454">
        <v>13121007602</v>
      </c>
      <c r="M1299" s="1455">
        <v>0</v>
      </c>
      <c r="N1299" s="1455">
        <v>0</v>
      </c>
      <c r="O1299" s="1456">
        <v>0</v>
      </c>
      <c r="AA1299"/>
      <c r="AB1299"/>
    </row>
    <row r="1300" spans="3:28">
      <c r="C1300" s="1461" t="s">
        <v>5082</v>
      </c>
      <c r="D1300" s="1458">
        <v>0</v>
      </c>
      <c r="E1300" s="1458">
        <v>0</v>
      </c>
      <c r="F1300" s="1459">
        <v>0</v>
      </c>
      <c r="G1300" s="1470" t="s">
        <v>5082</v>
      </c>
      <c r="H1300" s="1456">
        <v>0</v>
      </c>
      <c r="I1300" s="1456">
        <v>0</v>
      </c>
      <c r="J1300" s="1471">
        <v>0</v>
      </c>
      <c r="K1300" s="1460"/>
      <c r="L1300" s="1454">
        <v>13121007603</v>
      </c>
      <c r="M1300" s="1455">
        <v>0</v>
      </c>
      <c r="N1300" s="1455">
        <v>0</v>
      </c>
      <c r="O1300" s="1456">
        <v>0</v>
      </c>
      <c r="AA1300"/>
      <c r="AB1300"/>
    </row>
    <row r="1301" spans="3:28">
      <c r="C1301" s="1461" t="s">
        <v>5083</v>
      </c>
      <c r="D1301" s="1458">
        <v>0</v>
      </c>
      <c r="E1301" s="1458">
        <v>0</v>
      </c>
      <c r="F1301" s="1459">
        <v>0</v>
      </c>
      <c r="G1301" s="1470" t="s">
        <v>5083</v>
      </c>
      <c r="H1301" s="1456">
        <v>0</v>
      </c>
      <c r="I1301" s="1456" t="s">
        <v>3906</v>
      </c>
      <c r="J1301" s="1471">
        <v>0</v>
      </c>
      <c r="K1301" s="1460"/>
      <c r="L1301" s="1454">
        <v>13121007604</v>
      </c>
      <c r="M1301" s="1455">
        <v>0</v>
      </c>
      <c r="N1301" s="1455">
        <v>0</v>
      </c>
      <c r="O1301" s="1456">
        <v>0</v>
      </c>
      <c r="AA1301"/>
      <c r="AB1301"/>
    </row>
    <row r="1302" spans="3:28">
      <c r="C1302" s="1461" t="s">
        <v>5084</v>
      </c>
      <c r="D1302" s="1458">
        <v>0</v>
      </c>
      <c r="E1302" s="1458">
        <v>0</v>
      </c>
      <c r="F1302" s="1459">
        <v>0</v>
      </c>
      <c r="G1302" s="1470" t="s">
        <v>5084</v>
      </c>
      <c r="H1302" s="1456">
        <v>0</v>
      </c>
      <c r="I1302" s="1456">
        <v>0</v>
      </c>
      <c r="J1302" s="1471">
        <v>0</v>
      </c>
      <c r="K1302" s="1460"/>
      <c r="L1302" s="1454">
        <v>13121007703</v>
      </c>
      <c r="M1302" s="1455">
        <v>0</v>
      </c>
      <c r="N1302" s="1455">
        <v>0</v>
      </c>
      <c r="O1302" s="1456">
        <v>0</v>
      </c>
      <c r="AA1302"/>
      <c r="AB1302"/>
    </row>
    <row r="1303" spans="3:28">
      <c r="C1303" s="1461" t="s">
        <v>5085</v>
      </c>
      <c r="D1303" s="1458">
        <v>0</v>
      </c>
      <c r="E1303" s="1458">
        <v>0</v>
      </c>
      <c r="F1303" s="1459">
        <v>0</v>
      </c>
      <c r="G1303" s="1470" t="s">
        <v>5085</v>
      </c>
      <c r="H1303" s="1456">
        <v>0</v>
      </c>
      <c r="I1303" s="1456">
        <v>0</v>
      </c>
      <c r="J1303" s="1471">
        <v>0</v>
      </c>
      <c r="K1303" s="1460"/>
      <c r="L1303" s="1454">
        <v>13121007704</v>
      </c>
      <c r="M1303" s="1455">
        <v>0</v>
      </c>
      <c r="N1303" s="1455">
        <v>0</v>
      </c>
      <c r="O1303" s="1456">
        <v>0</v>
      </c>
      <c r="AA1303"/>
      <c r="AB1303"/>
    </row>
    <row r="1304" spans="3:28">
      <c r="C1304" s="1461" t="s">
        <v>5086</v>
      </c>
      <c r="D1304" s="1458">
        <v>0</v>
      </c>
      <c r="E1304" s="1458">
        <v>0</v>
      </c>
      <c r="F1304" s="1459">
        <v>0</v>
      </c>
      <c r="G1304" s="1470" t="s">
        <v>5086</v>
      </c>
      <c r="H1304" s="1456">
        <v>0</v>
      </c>
      <c r="I1304" s="1456">
        <v>0</v>
      </c>
      <c r="J1304" s="1471">
        <v>0</v>
      </c>
      <c r="K1304" s="1460"/>
      <c r="L1304" s="1454">
        <v>13121007705</v>
      </c>
      <c r="M1304" s="1455">
        <v>0</v>
      </c>
      <c r="N1304" s="1455">
        <v>0</v>
      </c>
      <c r="O1304" s="1456">
        <v>0</v>
      </c>
      <c r="AA1304"/>
      <c r="AB1304"/>
    </row>
    <row r="1305" spans="3:28">
      <c r="C1305" s="1461" t="s">
        <v>5087</v>
      </c>
      <c r="D1305" s="1458">
        <v>0</v>
      </c>
      <c r="E1305" s="1458">
        <v>0</v>
      </c>
      <c r="F1305" s="1459">
        <v>0</v>
      </c>
      <c r="G1305" s="1470" t="s">
        <v>5087</v>
      </c>
      <c r="H1305" s="1456">
        <v>0</v>
      </c>
      <c r="I1305" s="1456">
        <v>1</v>
      </c>
      <c r="J1305" s="1471">
        <v>1</v>
      </c>
      <c r="K1305" s="1460"/>
      <c r="L1305" s="1454">
        <v>13121007706</v>
      </c>
      <c r="M1305" s="1455">
        <v>0</v>
      </c>
      <c r="N1305" s="1455">
        <v>1</v>
      </c>
      <c r="O1305" s="1456">
        <v>1</v>
      </c>
      <c r="AA1305"/>
      <c r="AB1305"/>
    </row>
    <row r="1306" spans="3:28">
      <c r="C1306" s="1461" t="s">
        <v>5088</v>
      </c>
      <c r="D1306" s="1458">
        <v>0</v>
      </c>
      <c r="E1306" s="1458">
        <v>0</v>
      </c>
      <c r="F1306" s="1459">
        <v>0</v>
      </c>
      <c r="G1306" s="1470" t="s">
        <v>5088</v>
      </c>
      <c r="H1306" s="1456">
        <v>0</v>
      </c>
      <c r="I1306" s="1456">
        <v>0</v>
      </c>
      <c r="J1306" s="1471">
        <v>0</v>
      </c>
      <c r="K1306" s="1460"/>
      <c r="L1306" s="1454">
        <v>13121007802</v>
      </c>
      <c r="M1306" s="1455">
        <v>0</v>
      </c>
      <c r="N1306" s="1455">
        <v>0</v>
      </c>
      <c r="O1306" s="1456">
        <v>0</v>
      </c>
      <c r="AA1306"/>
      <c r="AB1306"/>
    </row>
    <row r="1307" spans="3:28">
      <c r="C1307" s="1461" t="s">
        <v>5089</v>
      </c>
      <c r="D1307" s="1458">
        <v>0</v>
      </c>
      <c r="E1307" s="1458">
        <v>0</v>
      </c>
      <c r="F1307" s="1459">
        <v>0</v>
      </c>
      <c r="G1307" s="1470" t="s">
        <v>5089</v>
      </c>
      <c r="H1307" s="1456">
        <v>0</v>
      </c>
      <c r="I1307" s="1456">
        <v>0</v>
      </c>
      <c r="J1307" s="1471">
        <v>0</v>
      </c>
      <c r="K1307" s="1460"/>
      <c r="L1307" s="1454">
        <v>13121007805</v>
      </c>
      <c r="M1307" s="1455">
        <v>0</v>
      </c>
      <c r="N1307" s="1455">
        <v>0</v>
      </c>
      <c r="O1307" s="1456">
        <v>0</v>
      </c>
      <c r="AA1307"/>
      <c r="AB1307"/>
    </row>
    <row r="1308" spans="3:28">
      <c r="C1308" s="1461" t="s">
        <v>5090</v>
      </c>
      <c r="D1308" s="1458">
        <v>0</v>
      </c>
      <c r="E1308" s="1458">
        <v>0</v>
      </c>
      <c r="F1308" s="1459">
        <v>0</v>
      </c>
      <c r="G1308" s="1470" t="s">
        <v>5090</v>
      </c>
      <c r="H1308" s="1456">
        <v>0</v>
      </c>
      <c r="I1308" s="1456">
        <v>1</v>
      </c>
      <c r="J1308" s="1471">
        <v>1</v>
      </c>
      <c r="K1308" s="1460"/>
      <c r="L1308" s="1454">
        <v>13121007806</v>
      </c>
      <c r="M1308" s="1455">
        <v>0</v>
      </c>
      <c r="N1308" s="1455">
        <v>1</v>
      </c>
      <c r="O1308" s="1456">
        <v>1</v>
      </c>
      <c r="AA1308"/>
      <c r="AB1308"/>
    </row>
    <row r="1309" spans="3:28">
      <c r="C1309" s="1461" t="s">
        <v>5091</v>
      </c>
      <c r="D1309" s="1458">
        <v>0</v>
      </c>
      <c r="E1309" s="1458">
        <v>0</v>
      </c>
      <c r="F1309" s="1459">
        <v>0</v>
      </c>
      <c r="G1309" s="1470" t="s">
        <v>5091</v>
      </c>
      <c r="H1309" s="1456">
        <v>0</v>
      </c>
      <c r="I1309" s="1456">
        <v>0</v>
      </c>
      <c r="J1309" s="1471">
        <v>0</v>
      </c>
      <c r="K1309" s="1460"/>
      <c r="L1309" s="1454">
        <v>13121007807</v>
      </c>
      <c r="M1309" s="1455">
        <v>0</v>
      </c>
      <c r="N1309" s="1455">
        <v>0</v>
      </c>
      <c r="O1309" s="1456">
        <v>0</v>
      </c>
      <c r="AA1309"/>
      <c r="AB1309"/>
    </row>
    <row r="1310" spans="3:28">
      <c r="C1310" s="1461" t="s">
        <v>5092</v>
      </c>
      <c r="D1310" s="1458">
        <v>0</v>
      </c>
      <c r="E1310" s="1458">
        <v>0</v>
      </c>
      <c r="F1310" s="1459">
        <v>0</v>
      </c>
      <c r="G1310" s="1470" t="s">
        <v>5092</v>
      </c>
      <c r="H1310" s="1456">
        <v>0</v>
      </c>
      <c r="I1310" s="1456">
        <v>0</v>
      </c>
      <c r="J1310" s="1471">
        <v>0</v>
      </c>
      <c r="K1310" s="1460"/>
      <c r="L1310" s="1454">
        <v>13121007808</v>
      </c>
      <c r="M1310" s="1455">
        <v>0</v>
      </c>
      <c r="N1310" s="1455">
        <v>0</v>
      </c>
      <c r="O1310" s="1456">
        <v>0</v>
      </c>
      <c r="AA1310"/>
      <c r="AB1310"/>
    </row>
    <row r="1311" spans="3:28">
      <c r="C1311" s="1461" t="s">
        <v>5093</v>
      </c>
      <c r="D1311" s="1458">
        <v>0</v>
      </c>
      <c r="E1311" s="1458">
        <v>0</v>
      </c>
      <c r="F1311" s="1459">
        <v>0</v>
      </c>
      <c r="G1311" s="1470" t="s">
        <v>5093</v>
      </c>
      <c r="H1311" s="1456">
        <v>1</v>
      </c>
      <c r="I1311" s="1456">
        <v>1</v>
      </c>
      <c r="J1311" s="1471">
        <v>2</v>
      </c>
      <c r="K1311" s="1460"/>
      <c r="L1311" s="1454">
        <v>13121007900</v>
      </c>
      <c r="M1311" s="1455">
        <v>1</v>
      </c>
      <c r="N1311" s="1455">
        <v>1</v>
      </c>
      <c r="O1311" s="1456">
        <v>2</v>
      </c>
      <c r="AA1311"/>
      <c r="AB1311"/>
    </row>
    <row r="1312" spans="3:28">
      <c r="C1312" s="1461" t="s">
        <v>5094</v>
      </c>
      <c r="D1312" s="1458">
        <v>0</v>
      </c>
      <c r="E1312" s="1458">
        <v>0</v>
      </c>
      <c r="F1312" s="1459">
        <v>0</v>
      </c>
      <c r="G1312" s="1470" t="s">
        <v>5094</v>
      </c>
      <c r="H1312" s="1456">
        <v>0</v>
      </c>
      <c r="I1312" s="1456">
        <v>0</v>
      </c>
      <c r="J1312" s="1471">
        <v>0</v>
      </c>
      <c r="K1312" s="1460"/>
      <c r="L1312" s="1454">
        <v>13121008000</v>
      </c>
      <c r="M1312" s="1455">
        <v>0</v>
      </c>
      <c r="N1312" s="1455">
        <v>0</v>
      </c>
      <c r="O1312" s="1456">
        <v>0</v>
      </c>
      <c r="AA1312"/>
      <c r="AB1312"/>
    </row>
    <row r="1313" spans="3:28">
      <c r="C1313" s="1461" t="s">
        <v>5095</v>
      </c>
      <c r="D1313" s="1458">
        <v>0</v>
      </c>
      <c r="E1313" s="1458">
        <v>0</v>
      </c>
      <c r="F1313" s="1459">
        <v>0</v>
      </c>
      <c r="G1313" s="1470" t="s">
        <v>5095</v>
      </c>
      <c r="H1313" s="1456">
        <v>0</v>
      </c>
      <c r="I1313" s="1456">
        <v>0</v>
      </c>
      <c r="J1313" s="1471">
        <v>0</v>
      </c>
      <c r="K1313" s="1460"/>
      <c r="L1313" s="1454">
        <v>13121008101</v>
      </c>
      <c r="M1313" s="1455">
        <v>0</v>
      </c>
      <c r="N1313" s="1455">
        <v>0</v>
      </c>
      <c r="O1313" s="1456">
        <v>0</v>
      </c>
      <c r="AA1313"/>
      <c r="AB1313"/>
    </row>
    <row r="1314" spans="3:28">
      <c r="C1314" s="1461" t="s">
        <v>5096</v>
      </c>
      <c r="D1314" s="1458">
        <v>0</v>
      </c>
      <c r="E1314" s="1458">
        <v>0</v>
      </c>
      <c r="F1314" s="1459">
        <v>0</v>
      </c>
      <c r="G1314" s="1470" t="s">
        <v>5096</v>
      </c>
      <c r="H1314" s="1456">
        <v>0</v>
      </c>
      <c r="I1314" s="1456">
        <v>0</v>
      </c>
      <c r="J1314" s="1471">
        <v>0</v>
      </c>
      <c r="K1314" s="1460"/>
      <c r="L1314" s="1454">
        <v>13121008102</v>
      </c>
      <c r="M1314" s="1455">
        <v>0</v>
      </c>
      <c r="N1314" s="1455">
        <v>0</v>
      </c>
      <c r="O1314" s="1456">
        <v>0</v>
      </c>
      <c r="AA1314"/>
      <c r="AB1314"/>
    </row>
    <row r="1315" spans="3:28">
      <c r="C1315" s="1461" t="s">
        <v>5097</v>
      </c>
      <c r="D1315" s="1458">
        <v>0</v>
      </c>
      <c r="E1315" s="1458">
        <v>0</v>
      </c>
      <c r="F1315" s="1459">
        <v>0</v>
      </c>
      <c r="G1315" s="1470" t="s">
        <v>5097</v>
      </c>
      <c r="H1315" s="1456">
        <v>0</v>
      </c>
      <c r="I1315" s="1456">
        <v>0</v>
      </c>
      <c r="J1315" s="1471">
        <v>0</v>
      </c>
      <c r="K1315" s="1460"/>
      <c r="L1315" s="1454">
        <v>13121008201</v>
      </c>
      <c r="M1315" s="1455">
        <v>0</v>
      </c>
      <c r="N1315" s="1455">
        <v>0</v>
      </c>
      <c r="O1315" s="1456">
        <v>0</v>
      </c>
      <c r="AA1315"/>
      <c r="AB1315"/>
    </row>
    <row r="1316" spans="3:28">
      <c r="C1316" s="1461" t="s">
        <v>5098</v>
      </c>
      <c r="D1316" s="1458">
        <v>0</v>
      </c>
      <c r="E1316" s="1458">
        <v>0</v>
      </c>
      <c r="F1316" s="1459">
        <v>0</v>
      </c>
      <c r="G1316" s="1470" t="s">
        <v>5098</v>
      </c>
      <c r="H1316" s="1456">
        <v>0</v>
      </c>
      <c r="I1316" s="1456">
        <v>0</v>
      </c>
      <c r="J1316" s="1471">
        <v>0</v>
      </c>
      <c r="K1316" s="1460"/>
      <c r="L1316" s="1454">
        <v>13121008202</v>
      </c>
      <c r="M1316" s="1455">
        <v>0</v>
      </c>
      <c r="N1316" s="1455">
        <v>0</v>
      </c>
      <c r="O1316" s="1456">
        <v>0</v>
      </c>
      <c r="AA1316"/>
      <c r="AB1316"/>
    </row>
    <row r="1317" spans="3:28">
      <c r="C1317" s="1461" t="s">
        <v>5099</v>
      </c>
      <c r="D1317" s="1458">
        <v>0</v>
      </c>
      <c r="E1317" s="1458">
        <v>0</v>
      </c>
      <c r="F1317" s="1459">
        <v>0</v>
      </c>
      <c r="G1317" s="1470" t="s">
        <v>5099</v>
      </c>
      <c r="H1317" s="1456">
        <v>0</v>
      </c>
      <c r="I1317" s="1456" t="s">
        <v>3906</v>
      </c>
      <c r="J1317" s="1471">
        <v>0</v>
      </c>
      <c r="K1317" s="1460"/>
      <c r="L1317" s="1454">
        <v>13121008301</v>
      </c>
      <c r="M1317" s="1455">
        <v>0</v>
      </c>
      <c r="N1317" s="1455">
        <v>0</v>
      </c>
      <c r="O1317" s="1456">
        <v>0</v>
      </c>
      <c r="AA1317"/>
      <c r="AB1317"/>
    </row>
    <row r="1318" spans="3:28">
      <c r="C1318" s="1461" t="s">
        <v>5100</v>
      </c>
      <c r="D1318" s="1458">
        <v>0</v>
      </c>
      <c r="E1318" s="1458">
        <v>0</v>
      </c>
      <c r="F1318" s="1459">
        <v>0</v>
      </c>
      <c r="G1318" s="1470" t="s">
        <v>5100</v>
      </c>
      <c r="H1318" s="1456">
        <v>0</v>
      </c>
      <c r="I1318" s="1456" t="s">
        <v>3906</v>
      </c>
      <c r="J1318" s="1471">
        <v>0</v>
      </c>
      <c r="K1318" s="1460"/>
      <c r="L1318" s="1454">
        <v>13121008302</v>
      </c>
      <c r="M1318" s="1455">
        <v>0</v>
      </c>
      <c r="N1318" s="1455">
        <v>0</v>
      </c>
      <c r="O1318" s="1456">
        <v>0</v>
      </c>
      <c r="AA1318"/>
      <c r="AB1318"/>
    </row>
    <row r="1319" spans="3:28">
      <c r="C1319" s="1461" t="s">
        <v>5101</v>
      </c>
      <c r="D1319" s="1458">
        <v>0</v>
      </c>
      <c r="E1319" s="1458">
        <v>0</v>
      </c>
      <c r="F1319" s="1459">
        <v>0</v>
      </c>
      <c r="G1319" s="1470" t="s">
        <v>5101</v>
      </c>
      <c r="H1319" s="1456">
        <v>0</v>
      </c>
      <c r="I1319" s="1456">
        <v>0</v>
      </c>
      <c r="J1319" s="1471">
        <v>0</v>
      </c>
      <c r="K1319" s="1460"/>
      <c r="L1319" s="1454">
        <v>13121008400</v>
      </c>
      <c r="M1319" s="1455">
        <v>0</v>
      </c>
      <c r="N1319" s="1455">
        <v>0</v>
      </c>
      <c r="O1319" s="1456">
        <v>0</v>
      </c>
      <c r="AA1319"/>
      <c r="AB1319"/>
    </row>
    <row r="1320" spans="3:28">
      <c r="C1320" s="1461" t="s">
        <v>5102</v>
      </c>
      <c r="D1320" s="1458">
        <v>0</v>
      </c>
      <c r="E1320" s="1458">
        <v>0</v>
      </c>
      <c r="F1320" s="1459">
        <v>0</v>
      </c>
      <c r="G1320" s="1470" t="s">
        <v>5102</v>
      </c>
      <c r="H1320" s="1456">
        <v>0</v>
      </c>
      <c r="I1320" s="1456">
        <v>0</v>
      </c>
      <c r="J1320" s="1471">
        <v>0</v>
      </c>
      <c r="K1320" s="1460"/>
      <c r="L1320" s="1454">
        <v>13121008500</v>
      </c>
      <c r="M1320" s="1455">
        <v>0</v>
      </c>
      <c r="N1320" s="1455">
        <v>0</v>
      </c>
      <c r="O1320" s="1456">
        <v>0</v>
      </c>
      <c r="AA1320"/>
      <c r="AB1320"/>
    </row>
    <row r="1321" spans="3:28">
      <c r="C1321" s="1461" t="s">
        <v>5103</v>
      </c>
      <c r="D1321" s="1458">
        <v>0</v>
      </c>
      <c r="E1321" s="1458">
        <v>0</v>
      </c>
      <c r="F1321" s="1459">
        <v>0</v>
      </c>
      <c r="G1321" s="1470" t="s">
        <v>5103</v>
      </c>
      <c r="H1321" s="1456">
        <v>0</v>
      </c>
      <c r="I1321" s="1456">
        <v>0</v>
      </c>
      <c r="J1321" s="1471">
        <v>0</v>
      </c>
      <c r="K1321" s="1460"/>
      <c r="L1321" s="1454">
        <v>13121008601</v>
      </c>
      <c r="M1321" s="1455">
        <v>0</v>
      </c>
      <c r="N1321" s="1455">
        <v>0</v>
      </c>
      <c r="O1321" s="1456">
        <v>0</v>
      </c>
      <c r="AA1321"/>
      <c r="AB1321"/>
    </row>
    <row r="1322" spans="3:28">
      <c r="C1322" s="1461" t="s">
        <v>5104</v>
      </c>
      <c r="D1322" s="1458">
        <v>0</v>
      </c>
      <c r="E1322" s="1458">
        <v>0</v>
      </c>
      <c r="F1322" s="1459">
        <v>0</v>
      </c>
      <c r="G1322" s="1470" t="s">
        <v>5104</v>
      </c>
      <c r="H1322" s="1456">
        <v>0</v>
      </c>
      <c r="I1322" s="1456" t="s">
        <v>3906</v>
      </c>
      <c r="J1322" s="1471">
        <v>0</v>
      </c>
      <c r="K1322" s="1460"/>
      <c r="L1322" s="1454">
        <v>13121008602</v>
      </c>
      <c r="M1322" s="1455">
        <v>0</v>
      </c>
      <c r="N1322" s="1455">
        <v>0</v>
      </c>
      <c r="O1322" s="1456">
        <v>0</v>
      </c>
      <c r="AA1322"/>
      <c r="AB1322"/>
    </row>
    <row r="1323" spans="3:28">
      <c r="C1323" s="1461" t="s">
        <v>5105</v>
      </c>
      <c r="D1323" s="1458">
        <v>0</v>
      </c>
      <c r="E1323" s="1458">
        <v>0</v>
      </c>
      <c r="F1323" s="1459">
        <v>0</v>
      </c>
      <c r="G1323" s="1470" t="s">
        <v>5105</v>
      </c>
      <c r="H1323" s="1456">
        <v>0</v>
      </c>
      <c r="I1323" s="1456">
        <v>0</v>
      </c>
      <c r="J1323" s="1471">
        <v>0</v>
      </c>
      <c r="K1323" s="1460"/>
      <c r="L1323" s="1454">
        <v>13121008700</v>
      </c>
      <c r="M1323" s="1455">
        <v>0</v>
      </c>
      <c r="N1323" s="1455">
        <v>0</v>
      </c>
      <c r="O1323" s="1456">
        <v>0</v>
      </c>
      <c r="AA1323"/>
      <c r="AB1323"/>
    </row>
    <row r="1324" spans="3:28">
      <c r="C1324" s="1461" t="s">
        <v>5106</v>
      </c>
      <c r="D1324" s="1458">
        <v>1</v>
      </c>
      <c r="E1324" s="1458">
        <v>1</v>
      </c>
      <c r="F1324" s="1459">
        <v>2</v>
      </c>
      <c r="G1324" s="1470" t="s">
        <v>5106</v>
      </c>
      <c r="H1324" s="1456">
        <v>1</v>
      </c>
      <c r="I1324" s="1456" t="s">
        <v>3906</v>
      </c>
      <c r="J1324" s="1471">
        <v>1</v>
      </c>
      <c r="K1324" s="1460"/>
      <c r="L1324" s="1454">
        <v>13121008800</v>
      </c>
      <c r="M1324" s="1455">
        <v>1</v>
      </c>
      <c r="N1324" s="1455">
        <v>1</v>
      </c>
      <c r="O1324" s="1456">
        <v>2</v>
      </c>
      <c r="AA1324"/>
      <c r="AB1324"/>
    </row>
    <row r="1325" spans="3:28">
      <c r="C1325" s="1461" t="s">
        <v>5107</v>
      </c>
      <c r="D1325" s="1458">
        <v>1</v>
      </c>
      <c r="E1325" s="1458">
        <v>1</v>
      </c>
      <c r="F1325" s="1459">
        <v>2</v>
      </c>
      <c r="G1325" s="1470" t="s">
        <v>5107</v>
      </c>
      <c r="H1325" s="1456">
        <v>1</v>
      </c>
      <c r="I1325" s="1456">
        <v>1</v>
      </c>
      <c r="J1325" s="1471">
        <v>2</v>
      </c>
      <c r="K1325" s="1460"/>
      <c r="L1325" s="1454">
        <v>13121008902</v>
      </c>
      <c r="M1325" s="1455">
        <v>1</v>
      </c>
      <c r="N1325" s="1455">
        <v>1</v>
      </c>
      <c r="O1325" s="1456">
        <v>2</v>
      </c>
      <c r="AA1325"/>
      <c r="AB1325"/>
    </row>
    <row r="1326" spans="3:28">
      <c r="C1326" s="1461" t="s">
        <v>5108</v>
      </c>
      <c r="D1326" s="1458">
        <v>1</v>
      </c>
      <c r="E1326" s="1458">
        <v>0</v>
      </c>
      <c r="F1326" s="1459">
        <v>1</v>
      </c>
      <c r="G1326" s="1470" t="s">
        <v>5108</v>
      </c>
      <c r="H1326" s="1456">
        <v>1</v>
      </c>
      <c r="I1326" s="1456" t="s">
        <v>3906</v>
      </c>
      <c r="J1326" s="1471">
        <v>1</v>
      </c>
      <c r="K1326" s="1460"/>
      <c r="L1326" s="1454">
        <v>13121008903</v>
      </c>
      <c r="M1326" s="1455">
        <v>1</v>
      </c>
      <c r="N1326" s="1455">
        <v>0</v>
      </c>
      <c r="O1326" s="1456">
        <v>1</v>
      </c>
      <c r="AA1326"/>
      <c r="AB1326"/>
    </row>
    <row r="1327" spans="3:28">
      <c r="C1327" s="1461" t="s">
        <v>5109</v>
      </c>
      <c r="D1327" s="1458">
        <v>1</v>
      </c>
      <c r="E1327" s="1458">
        <v>1</v>
      </c>
      <c r="F1327" s="1459">
        <v>2</v>
      </c>
      <c r="G1327" s="1470" t="s">
        <v>5109</v>
      </c>
      <c r="H1327" s="1456">
        <v>1</v>
      </c>
      <c r="I1327" s="1456">
        <v>1</v>
      </c>
      <c r="J1327" s="1471">
        <v>2</v>
      </c>
      <c r="K1327" s="1460"/>
      <c r="L1327" s="1454">
        <v>13121008904</v>
      </c>
      <c r="M1327" s="1455">
        <v>1</v>
      </c>
      <c r="N1327" s="1455">
        <v>1</v>
      </c>
      <c r="O1327" s="1456">
        <v>2</v>
      </c>
      <c r="AA1327"/>
      <c r="AB1327"/>
    </row>
    <row r="1328" spans="3:28">
      <c r="C1328" s="1461" t="s">
        <v>5110</v>
      </c>
      <c r="D1328" s="1458">
        <v>1</v>
      </c>
      <c r="E1328" s="1458">
        <v>1</v>
      </c>
      <c r="F1328" s="1459">
        <v>2</v>
      </c>
      <c r="G1328" s="1470" t="s">
        <v>5110</v>
      </c>
      <c r="H1328" s="1456">
        <v>1</v>
      </c>
      <c r="I1328" s="1456">
        <v>1</v>
      </c>
      <c r="J1328" s="1471">
        <v>2</v>
      </c>
      <c r="K1328" s="1460"/>
      <c r="L1328" s="1454">
        <v>13121009000</v>
      </c>
      <c r="M1328" s="1455">
        <v>1</v>
      </c>
      <c r="N1328" s="1455">
        <v>1</v>
      </c>
      <c r="O1328" s="1456">
        <v>2</v>
      </c>
      <c r="AA1328"/>
      <c r="AB1328"/>
    </row>
    <row r="1329" spans="3:28">
      <c r="C1329" s="1461" t="s">
        <v>5111</v>
      </c>
      <c r="D1329" s="1458">
        <v>1</v>
      </c>
      <c r="E1329" s="1458">
        <v>1</v>
      </c>
      <c r="F1329" s="1459">
        <v>2</v>
      </c>
      <c r="G1329" s="1470" t="s">
        <v>5111</v>
      </c>
      <c r="H1329" s="1456">
        <v>1</v>
      </c>
      <c r="I1329" s="1456">
        <v>1</v>
      </c>
      <c r="J1329" s="1471">
        <v>2</v>
      </c>
      <c r="K1329" s="1460"/>
      <c r="L1329" s="1454">
        <v>13121009101</v>
      </c>
      <c r="M1329" s="1455">
        <v>1</v>
      </c>
      <c r="N1329" s="1455">
        <v>1</v>
      </c>
      <c r="O1329" s="1456">
        <v>2</v>
      </c>
      <c r="AA1329"/>
      <c r="AB1329"/>
    </row>
    <row r="1330" spans="3:28">
      <c r="C1330" s="1461" t="s">
        <v>5112</v>
      </c>
      <c r="D1330" s="1458">
        <v>1</v>
      </c>
      <c r="E1330" s="1458">
        <v>1</v>
      </c>
      <c r="F1330" s="1459">
        <v>2</v>
      </c>
      <c r="G1330" s="1470" t="s">
        <v>5112</v>
      </c>
      <c r="H1330" s="1456">
        <v>1</v>
      </c>
      <c r="I1330" s="1456">
        <v>1</v>
      </c>
      <c r="J1330" s="1471">
        <v>2</v>
      </c>
      <c r="K1330" s="1460"/>
      <c r="L1330" s="1454">
        <v>13121009102</v>
      </c>
      <c r="M1330" s="1455">
        <v>1</v>
      </c>
      <c r="N1330" s="1455">
        <v>1</v>
      </c>
      <c r="O1330" s="1456">
        <v>2</v>
      </c>
      <c r="AA1330"/>
      <c r="AB1330"/>
    </row>
    <row r="1331" spans="3:28">
      <c r="C1331" s="1461" t="s">
        <v>5113</v>
      </c>
      <c r="D1331" s="1458">
        <v>1</v>
      </c>
      <c r="E1331" s="1458">
        <v>0</v>
      </c>
      <c r="F1331" s="1459">
        <v>1</v>
      </c>
      <c r="G1331" s="1470" t="s">
        <v>5113</v>
      </c>
      <c r="H1331" s="1456">
        <v>1</v>
      </c>
      <c r="I1331" s="1456">
        <v>1</v>
      </c>
      <c r="J1331" s="1471">
        <v>2</v>
      </c>
      <c r="K1331" s="1460"/>
      <c r="L1331" s="1454">
        <v>13121009200</v>
      </c>
      <c r="M1331" s="1455">
        <v>1</v>
      </c>
      <c r="N1331" s="1455">
        <v>1</v>
      </c>
      <c r="O1331" s="1456">
        <v>2</v>
      </c>
      <c r="AA1331"/>
      <c r="AB1331"/>
    </row>
    <row r="1332" spans="3:28">
      <c r="C1332" s="1461" t="s">
        <v>5114</v>
      </c>
      <c r="D1332" s="1458">
        <v>1</v>
      </c>
      <c r="E1332" s="1458">
        <v>1</v>
      </c>
      <c r="F1332" s="1459">
        <v>2</v>
      </c>
      <c r="G1332" s="1470" t="s">
        <v>5114</v>
      </c>
      <c r="H1332" s="1456">
        <v>1</v>
      </c>
      <c r="I1332" s="1456">
        <v>1</v>
      </c>
      <c r="J1332" s="1471">
        <v>2</v>
      </c>
      <c r="K1332" s="1460"/>
      <c r="L1332" s="1454">
        <v>13121009300</v>
      </c>
      <c r="M1332" s="1455">
        <v>1</v>
      </c>
      <c r="N1332" s="1455">
        <v>1</v>
      </c>
      <c r="O1332" s="1456">
        <v>2</v>
      </c>
      <c r="AA1332"/>
      <c r="AB1332"/>
    </row>
    <row r="1333" spans="3:28">
      <c r="C1333" s="1461" t="s">
        <v>5115</v>
      </c>
      <c r="D1333" s="1458">
        <v>1</v>
      </c>
      <c r="E1333" s="1458">
        <v>1</v>
      </c>
      <c r="F1333" s="1459">
        <v>2</v>
      </c>
      <c r="G1333" s="1470" t="s">
        <v>5115</v>
      </c>
      <c r="H1333" s="1456">
        <v>1</v>
      </c>
      <c r="I1333" s="1456" t="s">
        <v>3906</v>
      </c>
      <c r="J1333" s="1471">
        <v>1</v>
      </c>
      <c r="K1333" s="1460"/>
      <c r="L1333" s="1454">
        <v>13121009402</v>
      </c>
      <c r="M1333" s="1455">
        <v>1</v>
      </c>
      <c r="N1333" s="1455">
        <v>1</v>
      </c>
      <c r="O1333" s="1456">
        <v>2</v>
      </c>
      <c r="AA1333"/>
      <c r="AB1333"/>
    </row>
    <row r="1334" spans="3:28">
      <c r="C1334" s="1461" t="s">
        <v>5116</v>
      </c>
      <c r="D1334" s="1458">
        <v>1</v>
      </c>
      <c r="E1334" s="1458">
        <v>1</v>
      </c>
      <c r="F1334" s="1459">
        <v>2</v>
      </c>
      <c r="G1334" s="1470" t="s">
        <v>5116</v>
      </c>
      <c r="H1334" s="1456">
        <v>1</v>
      </c>
      <c r="I1334" s="1456">
        <v>1</v>
      </c>
      <c r="J1334" s="1471">
        <v>2</v>
      </c>
      <c r="K1334" s="1460"/>
      <c r="L1334" s="1454">
        <v>13121009403</v>
      </c>
      <c r="M1334" s="1455">
        <v>1</v>
      </c>
      <c r="N1334" s="1455">
        <v>1</v>
      </c>
      <c r="O1334" s="1456">
        <v>2</v>
      </c>
      <c r="AA1334"/>
      <c r="AB1334"/>
    </row>
    <row r="1335" spans="3:28">
      <c r="C1335" s="1461" t="s">
        <v>5117</v>
      </c>
      <c r="D1335" s="1458">
        <v>1</v>
      </c>
      <c r="E1335" s="1458">
        <v>1</v>
      </c>
      <c r="F1335" s="1459">
        <v>2</v>
      </c>
      <c r="G1335" s="1470" t="s">
        <v>5117</v>
      </c>
      <c r="H1335" s="1456">
        <v>1</v>
      </c>
      <c r="I1335" s="1456">
        <v>1</v>
      </c>
      <c r="J1335" s="1471">
        <v>2</v>
      </c>
      <c r="K1335" s="1460"/>
      <c r="L1335" s="1454">
        <v>13121009404</v>
      </c>
      <c r="M1335" s="1455">
        <v>1</v>
      </c>
      <c r="N1335" s="1455">
        <v>1</v>
      </c>
      <c r="O1335" s="1456">
        <v>2</v>
      </c>
      <c r="AA1335"/>
      <c r="AB1335"/>
    </row>
    <row r="1336" spans="3:28">
      <c r="C1336" s="1461" t="s">
        <v>5118</v>
      </c>
      <c r="D1336" s="1458">
        <v>1</v>
      </c>
      <c r="E1336" s="1458">
        <v>1</v>
      </c>
      <c r="F1336" s="1459">
        <v>2</v>
      </c>
      <c r="G1336" s="1470" t="s">
        <v>5118</v>
      </c>
      <c r="H1336" s="1456">
        <v>1</v>
      </c>
      <c r="I1336" s="1456">
        <v>1</v>
      </c>
      <c r="J1336" s="1471">
        <v>2</v>
      </c>
      <c r="K1336" s="1460"/>
      <c r="L1336" s="1454">
        <v>13121009501</v>
      </c>
      <c r="M1336" s="1455">
        <v>1</v>
      </c>
      <c r="N1336" s="1455">
        <v>1</v>
      </c>
      <c r="O1336" s="1456">
        <v>2</v>
      </c>
      <c r="AA1336"/>
      <c r="AB1336"/>
    </row>
    <row r="1337" spans="3:28">
      <c r="C1337" s="1461" t="s">
        <v>5119</v>
      </c>
      <c r="D1337" s="1458">
        <v>1</v>
      </c>
      <c r="E1337" s="1458">
        <v>0</v>
      </c>
      <c r="F1337" s="1459">
        <v>1</v>
      </c>
      <c r="G1337" s="1470" t="s">
        <v>5119</v>
      </c>
      <c r="H1337" s="1456">
        <v>1</v>
      </c>
      <c r="I1337" s="1456" t="s">
        <v>3906</v>
      </c>
      <c r="J1337" s="1471">
        <v>1</v>
      </c>
      <c r="K1337" s="1460"/>
      <c r="L1337" s="1454">
        <v>13121009502</v>
      </c>
      <c r="M1337" s="1455">
        <v>1</v>
      </c>
      <c r="N1337" s="1455">
        <v>0</v>
      </c>
      <c r="O1337" s="1456">
        <v>1</v>
      </c>
      <c r="AA1337"/>
      <c r="AB1337"/>
    </row>
    <row r="1338" spans="3:28">
      <c r="C1338" s="1461" t="s">
        <v>5120</v>
      </c>
      <c r="D1338" s="1458">
        <v>1</v>
      </c>
      <c r="E1338" s="1458">
        <v>1</v>
      </c>
      <c r="F1338" s="1459">
        <v>2</v>
      </c>
      <c r="G1338" s="1470" t="s">
        <v>5120</v>
      </c>
      <c r="H1338" s="1456">
        <v>1</v>
      </c>
      <c r="I1338" s="1456">
        <v>1</v>
      </c>
      <c r="J1338" s="1471">
        <v>2</v>
      </c>
      <c r="K1338" s="1460"/>
      <c r="L1338" s="1454">
        <v>13121009601</v>
      </c>
      <c r="M1338" s="1455">
        <v>1</v>
      </c>
      <c r="N1338" s="1455">
        <v>1</v>
      </c>
      <c r="O1338" s="1456">
        <v>2</v>
      </c>
      <c r="AA1338"/>
      <c r="AB1338"/>
    </row>
    <row r="1339" spans="3:28">
      <c r="C1339" s="1461" t="s">
        <v>5121</v>
      </c>
      <c r="D1339" s="1458">
        <v>1</v>
      </c>
      <c r="E1339" s="1458">
        <v>1</v>
      </c>
      <c r="F1339" s="1459">
        <v>2</v>
      </c>
      <c r="G1339" s="1470" t="s">
        <v>5121</v>
      </c>
      <c r="H1339" s="1456">
        <v>1</v>
      </c>
      <c r="I1339" s="1456">
        <v>1</v>
      </c>
      <c r="J1339" s="1471">
        <v>2</v>
      </c>
      <c r="K1339" s="1460"/>
      <c r="L1339" s="1454">
        <v>13121009602</v>
      </c>
      <c r="M1339" s="1455">
        <v>1</v>
      </c>
      <c r="N1339" s="1455">
        <v>1</v>
      </c>
      <c r="O1339" s="1456">
        <v>2</v>
      </c>
      <c r="AA1339"/>
      <c r="AB1339"/>
    </row>
    <row r="1340" spans="3:28">
      <c r="C1340" s="1461" t="s">
        <v>5122</v>
      </c>
      <c r="D1340" s="1458">
        <v>1</v>
      </c>
      <c r="E1340" s="1458">
        <v>1</v>
      </c>
      <c r="F1340" s="1459">
        <v>2</v>
      </c>
      <c r="G1340" s="1470" t="s">
        <v>5122</v>
      </c>
      <c r="H1340" s="1456">
        <v>1</v>
      </c>
      <c r="I1340" s="1456">
        <v>1</v>
      </c>
      <c r="J1340" s="1471">
        <v>2</v>
      </c>
      <c r="K1340" s="1460"/>
      <c r="L1340" s="1454">
        <v>13121009603</v>
      </c>
      <c r="M1340" s="1455">
        <v>1</v>
      </c>
      <c r="N1340" s="1455">
        <v>1</v>
      </c>
      <c r="O1340" s="1456">
        <v>2</v>
      </c>
      <c r="AA1340"/>
      <c r="AB1340"/>
    </row>
    <row r="1341" spans="3:28">
      <c r="C1341" s="1461" t="s">
        <v>5123</v>
      </c>
      <c r="D1341" s="1458">
        <v>1</v>
      </c>
      <c r="E1341" s="1458">
        <v>1</v>
      </c>
      <c r="F1341" s="1459">
        <v>2</v>
      </c>
      <c r="G1341" s="1470" t="s">
        <v>5123</v>
      </c>
      <c r="H1341" s="1456">
        <v>1</v>
      </c>
      <c r="I1341" s="1456">
        <v>1</v>
      </c>
      <c r="J1341" s="1471">
        <v>2</v>
      </c>
      <c r="K1341" s="1460"/>
      <c r="L1341" s="1454">
        <v>13121009700</v>
      </c>
      <c r="M1341" s="1455">
        <v>1</v>
      </c>
      <c r="N1341" s="1455">
        <v>1</v>
      </c>
      <c r="O1341" s="1456">
        <v>2</v>
      </c>
      <c r="AA1341"/>
      <c r="AB1341"/>
    </row>
    <row r="1342" spans="3:28">
      <c r="C1342" s="1461" t="s">
        <v>5124</v>
      </c>
      <c r="D1342" s="1458">
        <v>1</v>
      </c>
      <c r="E1342" s="1458">
        <v>1</v>
      </c>
      <c r="F1342" s="1459">
        <v>2</v>
      </c>
      <c r="G1342" s="1470" t="s">
        <v>5124</v>
      </c>
      <c r="H1342" s="1456">
        <v>1</v>
      </c>
      <c r="I1342" s="1456">
        <v>1</v>
      </c>
      <c r="J1342" s="1471">
        <v>2</v>
      </c>
      <c r="K1342" s="1460"/>
      <c r="L1342" s="1454">
        <v>13121009801</v>
      </c>
      <c r="M1342" s="1455">
        <v>1</v>
      </c>
      <c r="N1342" s="1455">
        <v>1</v>
      </c>
      <c r="O1342" s="1456">
        <v>2</v>
      </c>
      <c r="AA1342"/>
      <c r="AB1342"/>
    </row>
    <row r="1343" spans="3:28">
      <c r="C1343" s="1461" t="s">
        <v>5125</v>
      </c>
      <c r="D1343" s="1458">
        <v>1</v>
      </c>
      <c r="E1343" s="1458">
        <v>1</v>
      </c>
      <c r="F1343" s="1459">
        <v>2</v>
      </c>
      <c r="G1343" s="1470" t="s">
        <v>5125</v>
      </c>
      <c r="H1343" s="1456">
        <v>1</v>
      </c>
      <c r="I1343" s="1456">
        <v>1</v>
      </c>
      <c r="J1343" s="1471">
        <v>2</v>
      </c>
      <c r="K1343" s="1460"/>
      <c r="L1343" s="1454">
        <v>13121009802</v>
      </c>
      <c r="M1343" s="1455">
        <v>1</v>
      </c>
      <c r="N1343" s="1455">
        <v>1</v>
      </c>
      <c r="O1343" s="1456">
        <v>2</v>
      </c>
      <c r="AA1343"/>
      <c r="AB1343"/>
    </row>
    <row r="1344" spans="3:28">
      <c r="C1344" s="1461" t="s">
        <v>5126</v>
      </c>
      <c r="D1344" s="1458">
        <v>1</v>
      </c>
      <c r="E1344" s="1458">
        <v>1</v>
      </c>
      <c r="F1344" s="1459">
        <v>2</v>
      </c>
      <c r="G1344" s="1470" t="s">
        <v>5126</v>
      </c>
      <c r="H1344" s="1456">
        <v>1</v>
      </c>
      <c r="I1344" s="1456" t="s">
        <v>3906</v>
      </c>
      <c r="J1344" s="1471">
        <v>1</v>
      </c>
      <c r="K1344" s="1460"/>
      <c r="L1344" s="1454">
        <v>13121009900</v>
      </c>
      <c r="M1344" s="1455">
        <v>1</v>
      </c>
      <c r="N1344" s="1455">
        <v>1</v>
      </c>
      <c r="O1344" s="1456">
        <v>2</v>
      </c>
      <c r="AA1344"/>
      <c r="AB1344"/>
    </row>
    <row r="1345" spans="3:28">
      <c r="C1345" s="1461" t="s">
        <v>5127</v>
      </c>
      <c r="D1345" s="1458">
        <v>1</v>
      </c>
      <c r="E1345" s="1458">
        <v>1</v>
      </c>
      <c r="F1345" s="1459">
        <v>2</v>
      </c>
      <c r="G1345" s="1470" t="s">
        <v>5127</v>
      </c>
      <c r="H1345" s="1456">
        <v>1</v>
      </c>
      <c r="I1345" s="1456">
        <v>1</v>
      </c>
      <c r="J1345" s="1471">
        <v>2</v>
      </c>
      <c r="K1345" s="1460"/>
      <c r="L1345" s="1454">
        <v>13121010001</v>
      </c>
      <c r="M1345" s="1455">
        <v>1</v>
      </c>
      <c r="N1345" s="1455">
        <v>1</v>
      </c>
      <c r="O1345" s="1456">
        <v>2</v>
      </c>
      <c r="AA1345"/>
      <c r="AB1345"/>
    </row>
    <row r="1346" spans="3:28">
      <c r="C1346" s="1461" t="s">
        <v>5128</v>
      </c>
      <c r="D1346" s="1458">
        <v>1</v>
      </c>
      <c r="E1346" s="1458">
        <v>1</v>
      </c>
      <c r="F1346" s="1459">
        <v>2</v>
      </c>
      <c r="G1346" s="1470" t="s">
        <v>5128</v>
      </c>
      <c r="H1346" s="1456">
        <v>1</v>
      </c>
      <c r="I1346" s="1456">
        <v>1</v>
      </c>
      <c r="J1346" s="1471">
        <v>2</v>
      </c>
      <c r="K1346" s="1460"/>
      <c r="L1346" s="1454">
        <v>13121010002</v>
      </c>
      <c r="M1346" s="1455">
        <v>1</v>
      </c>
      <c r="N1346" s="1455">
        <v>1</v>
      </c>
      <c r="O1346" s="1456">
        <v>2</v>
      </c>
      <c r="AA1346"/>
      <c r="AB1346"/>
    </row>
    <row r="1347" spans="3:28">
      <c r="C1347" s="1461" t="s">
        <v>5129</v>
      </c>
      <c r="D1347" s="1458">
        <v>1</v>
      </c>
      <c r="E1347" s="1458">
        <v>1</v>
      </c>
      <c r="F1347" s="1459">
        <v>2</v>
      </c>
      <c r="G1347" s="1470" t="s">
        <v>5129</v>
      </c>
      <c r="H1347" s="1456">
        <v>1</v>
      </c>
      <c r="I1347" s="1456">
        <v>1</v>
      </c>
      <c r="J1347" s="1471">
        <v>2</v>
      </c>
      <c r="K1347" s="1460"/>
      <c r="L1347" s="1454">
        <v>13121010106</v>
      </c>
      <c r="M1347" s="1455">
        <v>1</v>
      </c>
      <c r="N1347" s="1455">
        <v>1</v>
      </c>
      <c r="O1347" s="1456">
        <v>2</v>
      </c>
      <c r="AA1347"/>
      <c r="AB1347"/>
    </row>
    <row r="1348" spans="3:28">
      <c r="C1348" s="1461" t="s">
        <v>5130</v>
      </c>
      <c r="D1348" s="1458">
        <v>1</v>
      </c>
      <c r="E1348" s="1458">
        <v>1</v>
      </c>
      <c r="F1348" s="1459">
        <v>2</v>
      </c>
      <c r="G1348" s="1470" t="s">
        <v>5130</v>
      </c>
      <c r="H1348" s="1456">
        <v>1</v>
      </c>
      <c r="I1348" s="1456">
        <v>1</v>
      </c>
      <c r="J1348" s="1471">
        <v>2</v>
      </c>
      <c r="K1348" s="1460"/>
      <c r="L1348" s="1454">
        <v>13121010107</v>
      </c>
      <c r="M1348" s="1455">
        <v>1</v>
      </c>
      <c r="N1348" s="1455">
        <v>1</v>
      </c>
      <c r="O1348" s="1456">
        <v>2</v>
      </c>
      <c r="AA1348"/>
      <c r="AB1348"/>
    </row>
    <row r="1349" spans="3:28">
      <c r="C1349" s="1461" t="s">
        <v>5131</v>
      </c>
      <c r="D1349" s="1458">
        <v>1</v>
      </c>
      <c r="E1349" s="1458">
        <v>1</v>
      </c>
      <c r="F1349" s="1459">
        <v>2</v>
      </c>
      <c r="G1349" s="1470" t="s">
        <v>5131</v>
      </c>
      <c r="H1349" s="1456">
        <v>1</v>
      </c>
      <c r="I1349" s="1456">
        <v>1</v>
      </c>
      <c r="J1349" s="1471">
        <v>2</v>
      </c>
      <c r="K1349" s="1460"/>
      <c r="L1349" s="1454">
        <v>13121010108</v>
      </c>
      <c r="M1349" s="1455">
        <v>1</v>
      </c>
      <c r="N1349" s="1455">
        <v>1</v>
      </c>
      <c r="O1349" s="1456">
        <v>2</v>
      </c>
      <c r="AA1349"/>
      <c r="AB1349"/>
    </row>
    <row r="1350" spans="3:28">
      <c r="C1350" s="1461" t="s">
        <v>5132</v>
      </c>
      <c r="D1350" s="1458">
        <v>1</v>
      </c>
      <c r="E1350" s="1458">
        <v>1</v>
      </c>
      <c r="F1350" s="1459">
        <v>2</v>
      </c>
      <c r="G1350" s="1470" t="s">
        <v>5132</v>
      </c>
      <c r="H1350" s="1456">
        <v>1</v>
      </c>
      <c r="I1350" s="1456">
        <v>1</v>
      </c>
      <c r="J1350" s="1471">
        <v>2</v>
      </c>
      <c r="K1350" s="1460"/>
      <c r="L1350" s="1454">
        <v>13121010110</v>
      </c>
      <c r="M1350" s="1455">
        <v>1</v>
      </c>
      <c r="N1350" s="1455">
        <v>1</v>
      </c>
      <c r="O1350" s="1456">
        <v>2</v>
      </c>
      <c r="AA1350"/>
      <c r="AB1350"/>
    </row>
    <row r="1351" spans="3:28">
      <c r="C1351" s="1461" t="s">
        <v>5133</v>
      </c>
      <c r="D1351" s="1458">
        <v>1</v>
      </c>
      <c r="E1351" s="1458">
        <v>0</v>
      </c>
      <c r="F1351" s="1459">
        <v>1</v>
      </c>
      <c r="G1351" s="1470" t="s">
        <v>5133</v>
      </c>
      <c r="H1351" s="1456">
        <v>1</v>
      </c>
      <c r="I1351" s="1456">
        <v>0</v>
      </c>
      <c r="J1351" s="1471">
        <v>1</v>
      </c>
      <c r="K1351" s="1460"/>
      <c r="L1351" s="1454">
        <v>13121010113</v>
      </c>
      <c r="M1351" s="1455">
        <v>1</v>
      </c>
      <c r="N1351" s="1455">
        <v>0</v>
      </c>
      <c r="O1351" s="1456">
        <v>1</v>
      </c>
      <c r="AA1351"/>
      <c r="AB1351"/>
    </row>
    <row r="1352" spans="3:28">
      <c r="C1352" s="1461" t="s">
        <v>5134</v>
      </c>
      <c r="D1352" s="1458">
        <v>1</v>
      </c>
      <c r="E1352" s="1458">
        <v>1</v>
      </c>
      <c r="F1352" s="1459">
        <v>2</v>
      </c>
      <c r="G1352" s="1470" t="s">
        <v>5134</v>
      </c>
      <c r="H1352" s="1456">
        <v>1</v>
      </c>
      <c r="I1352" s="1456">
        <v>1</v>
      </c>
      <c r="J1352" s="1471">
        <v>2</v>
      </c>
      <c r="K1352" s="1460"/>
      <c r="L1352" s="1454">
        <v>13121010114</v>
      </c>
      <c r="M1352" s="1455">
        <v>1</v>
      </c>
      <c r="N1352" s="1455">
        <v>1</v>
      </c>
      <c r="O1352" s="1456">
        <v>2</v>
      </c>
      <c r="AA1352"/>
      <c r="AB1352"/>
    </row>
    <row r="1353" spans="3:28">
      <c r="C1353" s="1461" t="s">
        <v>5135</v>
      </c>
      <c r="D1353" s="1458">
        <v>1</v>
      </c>
      <c r="E1353" s="1458">
        <v>1</v>
      </c>
      <c r="F1353" s="1459">
        <v>2</v>
      </c>
      <c r="G1353" s="1470" t="s">
        <v>5135</v>
      </c>
      <c r="H1353" s="1456">
        <v>1</v>
      </c>
      <c r="I1353" s="1456">
        <v>1</v>
      </c>
      <c r="J1353" s="1471">
        <v>2</v>
      </c>
      <c r="K1353" s="1460"/>
      <c r="L1353" s="1454">
        <v>13121010115</v>
      </c>
      <c r="M1353" s="1455">
        <v>1</v>
      </c>
      <c r="N1353" s="1455">
        <v>1</v>
      </c>
      <c r="O1353" s="1456">
        <v>2</v>
      </c>
      <c r="AA1353"/>
      <c r="AB1353"/>
    </row>
    <row r="1354" spans="3:28">
      <c r="C1354" s="1461" t="s">
        <v>5136</v>
      </c>
      <c r="D1354" s="1458">
        <v>1</v>
      </c>
      <c r="E1354" s="1458">
        <v>0</v>
      </c>
      <c r="F1354" s="1459">
        <v>1</v>
      </c>
      <c r="G1354" s="1470" t="s">
        <v>5136</v>
      </c>
      <c r="H1354" s="1456">
        <v>1</v>
      </c>
      <c r="I1354" s="1456" t="s">
        <v>3906</v>
      </c>
      <c r="J1354" s="1471">
        <v>1</v>
      </c>
      <c r="K1354" s="1460"/>
      <c r="L1354" s="1454">
        <v>13121010117</v>
      </c>
      <c r="M1354" s="1455">
        <v>1</v>
      </c>
      <c r="N1354" s="1455">
        <v>0</v>
      </c>
      <c r="O1354" s="1456">
        <v>1</v>
      </c>
      <c r="AA1354"/>
      <c r="AB1354"/>
    </row>
    <row r="1355" spans="3:28">
      <c r="C1355" s="1461" t="s">
        <v>5137</v>
      </c>
      <c r="D1355" s="1458">
        <v>0</v>
      </c>
      <c r="E1355" s="1458">
        <v>0</v>
      </c>
      <c r="F1355" s="1459">
        <v>0</v>
      </c>
      <c r="G1355" s="1470" t="s">
        <v>5137</v>
      </c>
      <c r="H1355" s="1456">
        <v>1</v>
      </c>
      <c r="I1355" s="1456" t="s">
        <v>3906</v>
      </c>
      <c r="J1355" s="1471">
        <v>1</v>
      </c>
      <c r="K1355" s="1460"/>
      <c r="L1355" s="1454">
        <v>13121010118</v>
      </c>
      <c r="M1355" s="1455">
        <v>1</v>
      </c>
      <c r="N1355" s="1455">
        <v>0</v>
      </c>
      <c r="O1355" s="1456">
        <v>1</v>
      </c>
      <c r="AA1355"/>
      <c r="AB1355"/>
    </row>
    <row r="1356" spans="3:28">
      <c r="C1356" s="1461" t="s">
        <v>5138</v>
      </c>
      <c r="D1356" s="1458">
        <v>0</v>
      </c>
      <c r="E1356" s="1458">
        <v>0</v>
      </c>
      <c r="F1356" s="1459">
        <v>0</v>
      </c>
      <c r="G1356" s="1470" t="s">
        <v>5138</v>
      </c>
      <c r="H1356" s="1456">
        <v>0</v>
      </c>
      <c r="I1356" s="1456">
        <v>0</v>
      </c>
      <c r="J1356" s="1471">
        <v>0</v>
      </c>
      <c r="K1356" s="1460"/>
      <c r="L1356" s="1454">
        <v>13121010119</v>
      </c>
      <c r="M1356" s="1455">
        <v>0</v>
      </c>
      <c r="N1356" s="1455">
        <v>0</v>
      </c>
      <c r="O1356" s="1456">
        <v>0</v>
      </c>
      <c r="AA1356"/>
      <c r="AB1356"/>
    </row>
    <row r="1357" spans="3:28">
      <c r="C1357" s="1461" t="s">
        <v>5139</v>
      </c>
      <c r="D1357" s="1458">
        <v>1</v>
      </c>
      <c r="E1357" s="1458">
        <v>1</v>
      </c>
      <c r="F1357" s="1459">
        <v>2</v>
      </c>
      <c r="G1357" s="1470" t="s">
        <v>5139</v>
      </c>
      <c r="H1357" s="1456">
        <v>1</v>
      </c>
      <c r="I1357" s="1456" t="s">
        <v>3906</v>
      </c>
      <c r="J1357" s="1471">
        <v>1</v>
      </c>
      <c r="K1357" s="1460"/>
      <c r="L1357" s="1454">
        <v>13121010120</v>
      </c>
      <c r="M1357" s="1455">
        <v>1</v>
      </c>
      <c r="N1357" s="1455">
        <v>1</v>
      </c>
      <c r="O1357" s="1456">
        <v>2</v>
      </c>
      <c r="AA1357"/>
      <c r="AB1357"/>
    </row>
    <row r="1358" spans="3:28">
      <c r="C1358" s="1461" t="s">
        <v>5140</v>
      </c>
      <c r="D1358" s="1458">
        <v>1</v>
      </c>
      <c r="E1358" s="1458">
        <v>1</v>
      </c>
      <c r="F1358" s="1459">
        <v>2</v>
      </c>
      <c r="G1358" s="1470" t="s">
        <v>5140</v>
      </c>
      <c r="H1358" s="1456">
        <v>1</v>
      </c>
      <c r="I1358" s="1456">
        <v>1</v>
      </c>
      <c r="J1358" s="1471">
        <v>2</v>
      </c>
      <c r="K1358" s="1460"/>
      <c r="L1358" s="1454">
        <v>13121010121</v>
      </c>
      <c r="M1358" s="1455">
        <v>1</v>
      </c>
      <c r="N1358" s="1455">
        <v>1</v>
      </c>
      <c r="O1358" s="1456">
        <v>2</v>
      </c>
      <c r="AA1358"/>
      <c r="AB1358"/>
    </row>
    <row r="1359" spans="3:28">
      <c r="C1359" s="1461" t="s">
        <v>5141</v>
      </c>
      <c r="D1359" s="1458">
        <v>1</v>
      </c>
      <c r="E1359" s="1458">
        <v>1</v>
      </c>
      <c r="F1359" s="1459">
        <v>2</v>
      </c>
      <c r="G1359" s="1470" t="s">
        <v>5141</v>
      </c>
      <c r="H1359" s="1456">
        <v>1</v>
      </c>
      <c r="I1359" s="1456">
        <v>1</v>
      </c>
      <c r="J1359" s="1471">
        <v>2</v>
      </c>
      <c r="K1359" s="1460"/>
      <c r="L1359" s="1454">
        <v>13121010122</v>
      </c>
      <c r="M1359" s="1455">
        <v>1</v>
      </c>
      <c r="N1359" s="1455">
        <v>1</v>
      </c>
      <c r="O1359" s="1456">
        <v>2</v>
      </c>
      <c r="AA1359"/>
      <c r="AB1359"/>
    </row>
    <row r="1360" spans="3:28">
      <c r="C1360" s="1461" t="s">
        <v>5142</v>
      </c>
      <c r="D1360" s="1458">
        <v>1</v>
      </c>
      <c r="E1360" s="1458">
        <v>0</v>
      </c>
      <c r="F1360" s="1459">
        <v>1</v>
      </c>
      <c r="G1360" s="1470" t="s">
        <v>5142</v>
      </c>
      <c r="H1360" s="1456">
        <v>1</v>
      </c>
      <c r="I1360" s="1456">
        <v>1</v>
      </c>
      <c r="J1360" s="1471">
        <v>2</v>
      </c>
      <c r="K1360" s="1460"/>
      <c r="L1360" s="1454">
        <v>13121010123</v>
      </c>
      <c r="M1360" s="1455">
        <v>1</v>
      </c>
      <c r="N1360" s="1455">
        <v>1</v>
      </c>
      <c r="O1360" s="1456">
        <v>2</v>
      </c>
      <c r="AA1360"/>
      <c r="AB1360"/>
    </row>
    <row r="1361" spans="3:28">
      <c r="C1361" s="1461" t="s">
        <v>5143</v>
      </c>
      <c r="D1361" s="1458">
        <v>1</v>
      </c>
      <c r="E1361" s="1458">
        <v>1</v>
      </c>
      <c r="F1361" s="1459">
        <v>2</v>
      </c>
      <c r="G1361" s="1470" t="s">
        <v>5143</v>
      </c>
      <c r="H1361" s="1456">
        <v>1</v>
      </c>
      <c r="I1361" s="1456">
        <v>1</v>
      </c>
      <c r="J1361" s="1471">
        <v>2</v>
      </c>
      <c r="K1361" s="1460"/>
      <c r="L1361" s="1454">
        <v>13121010204</v>
      </c>
      <c r="M1361" s="1455">
        <v>1</v>
      </c>
      <c r="N1361" s="1455">
        <v>1</v>
      </c>
      <c r="O1361" s="1456">
        <v>2</v>
      </c>
      <c r="AA1361"/>
      <c r="AB1361"/>
    </row>
    <row r="1362" spans="3:28">
      <c r="C1362" s="1461" t="s">
        <v>5144</v>
      </c>
      <c r="D1362" s="1458">
        <v>1</v>
      </c>
      <c r="E1362" s="1458">
        <v>1</v>
      </c>
      <c r="F1362" s="1459">
        <v>2</v>
      </c>
      <c r="G1362" s="1470" t="s">
        <v>5144</v>
      </c>
      <c r="H1362" s="1456">
        <v>1</v>
      </c>
      <c r="I1362" s="1456">
        <v>1</v>
      </c>
      <c r="J1362" s="1471">
        <v>2</v>
      </c>
      <c r="K1362" s="1460"/>
      <c r="L1362" s="1454">
        <v>13121010205</v>
      </c>
      <c r="M1362" s="1455">
        <v>1</v>
      </c>
      <c r="N1362" s="1455">
        <v>1</v>
      </c>
      <c r="O1362" s="1456">
        <v>2</v>
      </c>
      <c r="AA1362"/>
      <c r="AB1362"/>
    </row>
    <row r="1363" spans="3:28">
      <c r="C1363" s="1461" t="s">
        <v>5145</v>
      </c>
      <c r="D1363" s="1458">
        <v>1</v>
      </c>
      <c r="E1363" s="1458">
        <v>1</v>
      </c>
      <c r="F1363" s="1459">
        <v>2</v>
      </c>
      <c r="G1363" s="1470" t="s">
        <v>5145</v>
      </c>
      <c r="H1363" s="1456">
        <v>1</v>
      </c>
      <c r="I1363" s="1456">
        <v>1</v>
      </c>
      <c r="J1363" s="1471">
        <v>2</v>
      </c>
      <c r="K1363" s="1460"/>
      <c r="L1363" s="1454">
        <v>13121010206</v>
      </c>
      <c r="M1363" s="1455">
        <v>1</v>
      </c>
      <c r="N1363" s="1455">
        <v>1</v>
      </c>
      <c r="O1363" s="1456">
        <v>2</v>
      </c>
      <c r="AA1363"/>
      <c r="AB1363"/>
    </row>
    <row r="1364" spans="3:28">
      <c r="C1364" s="1461" t="s">
        <v>5146</v>
      </c>
      <c r="D1364" s="1458">
        <v>1</v>
      </c>
      <c r="E1364" s="1458">
        <v>0</v>
      </c>
      <c r="F1364" s="1459">
        <v>1</v>
      </c>
      <c r="G1364" s="1470" t="s">
        <v>5146</v>
      </c>
      <c r="H1364" s="1456">
        <v>1</v>
      </c>
      <c r="I1364" s="1456">
        <v>1</v>
      </c>
      <c r="J1364" s="1471">
        <v>2</v>
      </c>
      <c r="K1364" s="1460"/>
      <c r="L1364" s="1454">
        <v>13121010208</v>
      </c>
      <c r="M1364" s="1455">
        <v>1</v>
      </c>
      <c r="N1364" s="1455">
        <v>1</v>
      </c>
      <c r="O1364" s="1456">
        <v>2</v>
      </c>
      <c r="AA1364"/>
      <c r="AB1364"/>
    </row>
    <row r="1365" spans="3:28">
      <c r="C1365" s="1461" t="s">
        <v>5147</v>
      </c>
      <c r="D1365" s="1458">
        <v>1</v>
      </c>
      <c r="E1365" s="1458">
        <v>1</v>
      </c>
      <c r="F1365" s="1459">
        <v>2</v>
      </c>
      <c r="G1365" s="1470" t="s">
        <v>5147</v>
      </c>
      <c r="H1365" s="1456">
        <v>1</v>
      </c>
      <c r="I1365" s="1456" t="s">
        <v>3906</v>
      </c>
      <c r="J1365" s="1471">
        <v>1</v>
      </c>
      <c r="K1365" s="1460"/>
      <c r="L1365" s="1454">
        <v>13121010209</v>
      </c>
      <c r="M1365" s="1455">
        <v>1</v>
      </c>
      <c r="N1365" s="1455">
        <v>1</v>
      </c>
      <c r="O1365" s="1456">
        <v>2</v>
      </c>
      <c r="AA1365"/>
      <c r="AB1365"/>
    </row>
    <row r="1366" spans="3:28">
      <c r="C1366" s="1461" t="s">
        <v>5148</v>
      </c>
      <c r="D1366" s="1458">
        <v>1</v>
      </c>
      <c r="E1366" s="1458">
        <v>1</v>
      </c>
      <c r="F1366" s="1459">
        <v>2</v>
      </c>
      <c r="G1366" s="1470" t="s">
        <v>5148</v>
      </c>
      <c r="H1366" s="1456">
        <v>1</v>
      </c>
      <c r="I1366" s="1456">
        <v>1</v>
      </c>
      <c r="J1366" s="1471">
        <v>2</v>
      </c>
      <c r="K1366" s="1460"/>
      <c r="L1366" s="1454">
        <v>13121010210</v>
      </c>
      <c r="M1366" s="1455">
        <v>1</v>
      </c>
      <c r="N1366" s="1455">
        <v>1</v>
      </c>
      <c r="O1366" s="1456">
        <v>2</v>
      </c>
      <c r="AA1366"/>
      <c r="AB1366"/>
    </row>
    <row r="1367" spans="3:28">
      <c r="C1367" s="1461" t="s">
        <v>5149</v>
      </c>
      <c r="D1367" s="1458">
        <v>1</v>
      </c>
      <c r="E1367" s="1458">
        <v>1</v>
      </c>
      <c r="F1367" s="1459">
        <v>2</v>
      </c>
      <c r="G1367" s="1470" t="s">
        <v>5149</v>
      </c>
      <c r="H1367" s="1456">
        <v>1</v>
      </c>
      <c r="I1367" s="1456">
        <v>1</v>
      </c>
      <c r="J1367" s="1471">
        <v>2</v>
      </c>
      <c r="K1367" s="1460"/>
      <c r="L1367" s="1454">
        <v>13121010211</v>
      </c>
      <c r="M1367" s="1455">
        <v>1</v>
      </c>
      <c r="N1367" s="1455">
        <v>1</v>
      </c>
      <c r="O1367" s="1456">
        <v>2</v>
      </c>
      <c r="AA1367"/>
      <c r="AB1367"/>
    </row>
    <row r="1368" spans="3:28">
      <c r="C1368" s="1461" t="s">
        <v>5150</v>
      </c>
      <c r="D1368" s="1458">
        <v>1</v>
      </c>
      <c r="E1368" s="1458">
        <v>0</v>
      </c>
      <c r="F1368" s="1459">
        <v>1</v>
      </c>
      <c r="G1368" s="1470" t="s">
        <v>5150</v>
      </c>
      <c r="H1368" s="1456">
        <v>1</v>
      </c>
      <c r="I1368" s="1456">
        <v>0</v>
      </c>
      <c r="J1368" s="1471">
        <v>1</v>
      </c>
      <c r="K1368" s="1460"/>
      <c r="L1368" s="1454">
        <v>13121010212</v>
      </c>
      <c r="M1368" s="1455">
        <v>1</v>
      </c>
      <c r="N1368" s="1455">
        <v>0</v>
      </c>
      <c r="O1368" s="1456">
        <v>1</v>
      </c>
      <c r="AA1368"/>
      <c r="AB1368"/>
    </row>
    <row r="1369" spans="3:28">
      <c r="C1369" s="1461" t="s">
        <v>5151</v>
      </c>
      <c r="D1369" s="1458">
        <v>1</v>
      </c>
      <c r="E1369" s="1458">
        <v>0</v>
      </c>
      <c r="F1369" s="1459">
        <v>1</v>
      </c>
      <c r="G1369" s="1470" t="s">
        <v>5151</v>
      </c>
      <c r="H1369" s="1456">
        <v>1</v>
      </c>
      <c r="I1369" s="1456">
        <v>1</v>
      </c>
      <c r="J1369" s="1471">
        <v>2</v>
      </c>
      <c r="K1369" s="1460"/>
      <c r="L1369" s="1454">
        <v>13121010301</v>
      </c>
      <c r="M1369" s="1455">
        <v>1</v>
      </c>
      <c r="N1369" s="1455">
        <v>1</v>
      </c>
      <c r="O1369" s="1456">
        <v>2</v>
      </c>
      <c r="AA1369"/>
      <c r="AB1369"/>
    </row>
    <row r="1370" spans="3:28">
      <c r="C1370" s="1461" t="s">
        <v>5152</v>
      </c>
      <c r="D1370" s="1458">
        <v>1</v>
      </c>
      <c r="E1370" s="1458">
        <v>0</v>
      </c>
      <c r="F1370" s="1459">
        <v>1</v>
      </c>
      <c r="G1370" s="1470" t="s">
        <v>5152</v>
      </c>
      <c r="H1370" s="1456">
        <v>1</v>
      </c>
      <c r="I1370" s="1456">
        <v>1</v>
      </c>
      <c r="J1370" s="1471">
        <v>2</v>
      </c>
      <c r="K1370" s="1460"/>
      <c r="L1370" s="1454">
        <v>13121010303</v>
      </c>
      <c r="M1370" s="1455">
        <v>1</v>
      </c>
      <c r="N1370" s="1455">
        <v>1</v>
      </c>
      <c r="O1370" s="1456">
        <v>2</v>
      </c>
      <c r="AA1370"/>
      <c r="AB1370"/>
    </row>
    <row r="1371" spans="3:28">
      <c r="C1371" s="1461" t="s">
        <v>5153</v>
      </c>
      <c r="D1371" s="1458">
        <v>1</v>
      </c>
      <c r="E1371" s="1458">
        <v>1</v>
      </c>
      <c r="F1371" s="1459">
        <v>2</v>
      </c>
      <c r="G1371" s="1470" t="s">
        <v>5153</v>
      </c>
      <c r="H1371" s="1456">
        <v>1</v>
      </c>
      <c r="I1371" s="1456">
        <v>1</v>
      </c>
      <c r="J1371" s="1471">
        <v>2</v>
      </c>
      <c r="K1371" s="1460"/>
      <c r="L1371" s="1454">
        <v>13121010304</v>
      </c>
      <c r="M1371" s="1455">
        <v>1</v>
      </c>
      <c r="N1371" s="1455">
        <v>1</v>
      </c>
      <c r="O1371" s="1456">
        <v>2</v>
      </c>
      <c r="AA1371"/>
      <c r="AB1371"/>
    </row>
    <row r="1372" spans="3:28">
      <c r="C1372" s="1461" t="s">
        <v>5154</v>
      </c>
      <c r="D1372" s="1458">
        <v>0</v>
      </c>
      <c r="E1372" s="1458">
        <v>0</v>
      </c>
      <c r="F1372" s="1459">
        <v>0</v>
      </c>
      <c r="G1372" s="1470" t="s">
        <v>5154</v>
      </c>
      <c r="H1372" s="1456">
        <v>0</v>
      </c>
      <c r="I1372" s="1456">
        <v>0</v>
      </c>
      <c r="J1372" s="1471">
        <v>0</v>
      </c>
      <c r="K1372" s="1460"/>
      <c r="L1372" s="1454">
        <v>13121010400</v>
      </c>
      <c r="M1372" s="1455">
        <v>0</v>
      </c>
      <c r="N1372" s="1455">
        <v>0</v>
      </c>
      <c r="O1372" s="1456">
        <v>0</v>
      </c>
      <c r="AA1372"/>
      <c r="AB1372"/>
    </row>
    <row r="1373" spans="3:28">
      <c r="C1373" s="1461" t="s">
        <v>5155</v>
      </c>
      <c r="D1373" s="1458">
        <v>0</v>
      </c>
      <c r="E1373" s="1458">
        <v>0</v>
      </c>
      <c r="F1373" s="1459">
        <v>0</v>
      </c>
      <c r="G1373" s="1470" t="s">
        <v>5155</v>
      </c>
      <c r="H1373" s="1456">
        <v>0</v>
      </c>
      <c r="I1373" s="1456">
        <v>1</v>
      </c>
      <c r="J1373" s="1471">
        <v>1</v>
      </c>
      <c r="K1373" s="1460"/>
      <c r="L1373" s="1454">
        <v>13121010507</v>
      </c>
      <c r="M1373" s="1455">
        <v>0</v>
      </c>
      <c r="N1373" s="1455">
        <v>1</v>
      </c>
      <c r="O1373" s="1456">
        <v>1</v>
      </c>
      <c r="AA1373"/>
      <c r="AB1373"/>
    </row>
    <row r="1374" spans="3:28">
      <c r="C1374" s="1461" t="s">
        <v>5156</v>
      </c>
      <c r="D1374" s="1458">
        <v>0</v>
      </c>
      <c r="E1374" s="1458">
        <v>0</v>
      </c>
      <c r="F1374" s="1459">
        <v>0</v>
      </c>
      <c r="G1374" s="1470" t="s">
        <v>5156</v>
      </c>
      <c r="H1374" s="1456">
        <v>0</v>
      </c>
      <c r="I1374" s="1456">
        <v>0</v>
      </c>
      <c r="J1374" s="1471">
        <v>0</v>
      </c>
      <c r="K1374" s="1460"/>
      <c r="L1374" s="1454">
        <v>13121010508</v>
      </c>
      <c r="M1374" s="1455">
        <v>0</v>
      </c>
      <c r="N1374" s="1455">
        <v>0</v>
      </c>
      <c r="O1374" s="1456">
        <v>0</v>
      </c>
      <c r="AA1374"/>
      <c r="AB1374"/>
    </row>
    <row r="1375" spans="3:28">
      <c r="C1375" s="1461" t="s">
        <v>5157</v>
      </c>
      <c r="D1375" s="1458">
        <v>0</v>
      </c>
      <c r="E1375" s="1458">
        <v>0</v>
      </c>
      <c r="F1375" s="1459">
        <v>0</v>
      </c>
      <c r="G1375" s="1470" t="s">
        <v>5157</v>
      </c>
      <c r="H1375" s="1456">
        <v>0</v>
      </c>
      <c r="I1375" s="1456">
        <v>1</v>
      </c>
      <c r="J1375" s="1471">
        <v>1</v>
      </c>
      <c r="K1375" s="1460"/>
      <c r="L1375" s="1454">
        <v>13121010510</v>
      </c>
      <c r="M1375" s="1455">
        <v>0</v>
      </c>
      <c r="N1375" s="1455">
        <v>1</v>
      </c>
      <c r="O1375" s="1456">
        <v>1</v>
      </c>
      <c r="AA1375"/>
      <c r="AB1375"/>
    </row>
    <row r="1376" spans="3:28">
      <c r="C1376" s="1461" t="s">
        <v>5158</v>
      </c>
      <c r="D1376" s="1458">
        <v>0</v>
      </c>
      <c r="E1376" s="1458">
        <v>0</v>
      </c>
      <c r="F1376" s="1459">
        <v>0</v>
      </c>
      <c r="G1376" s="1470" t="s">
        <v>5158</v>
      </c>
      <c r="H1376" s="1456">
        <v>0</v>
      </c>
      <c r="I1376" s="1456">
        <v>1</v>
      </c>
      <c r="J1376" s="1471">
        <v>1</v>
      </c>
      <c r="K1376" s="1460"/>
      <c r="L1376" s="1454">
        <v>13121010511</v>
      </c>
      <c r="M1376" s="1455">
        <v>0</v>
      </c>
      <c r="N1376" s="1455">
        <v>1</v>
      </c>
      <c r="O1376" s="1456">
        <v>1</v>
      </c>
      <c r="AA1376"/>
      <c r="AB1376"/>
    </row>
    <row r="1377" spans="3:28">
      <c r="C1377" s="1461" t="s">
        <v>5159</v>
      </c>
      <c r="D1377" s="1458">
        <v>0</v>
      </c>
      <c r="E1377" s="1458">
        <v>0</v>
      </c>
      <c r="F1377" s="1459">
        <v>0</v>
      </c>
      <c r="G1377" s="1470" t="s">
        <v>5159</v>
      </c>
      <c r="H1377" s="1456">
        <v>0</v>
      </c>
      <c r="I1377" s="1456" t="s">
        <v>3906</v>
      </c>
      <c r="J1377" s="1471">
        <v>0</v>
      </c>
      <c r="K1377" s="1460"/>
      <c r="L1377" s="1454">
        <v>13121010512</v>
      </c>
      <c r="M1377" s="1455">
        <v>0</v>
      </c>
      <c r="N1377" s="1455">
        <v>0</v>
      </c>
      <c r="O1377" s="1456">
        <v>0</v>
      </c>
      <c r="AA1377"/>
      <c r="AB1377"/>
    </row>
    <row r="1378" spans="3:28">
      <c r="C1378" s="1461" t="s">
        <v>5160</v>
      </c>
      <c r="D1378" s="1458">
        <v>0</v>
      </c>
      <c r="E1378" s="1458">
        <v>0</v>
      </c>
      <c r="F1378" s="1459">
        <v>0</v>
      </c>
      <c r="G1378" s="1470" t="s">
        <v>5160</v>
      </c>
      <c r="H1378" s="1456">
        <v>0</v>
      </c>
      <c r="I1378" s="1456">
        <v>0</v>
      </c>
      <c r="J1378" s="1471">
        <v>0</v>
      </c>
      <c r="K1378" s="1460"/>
      <c r="L1378" s="1454">
        <v>13121010513</v>
      </c>
      <c r="M1378" s="1455">
        <v>0</v>
      </c>
      <c r="N1378" s="1455">
        <v>0</v>
      </c>
      <c r="O1378" s="1456">
        <v>0</v>
      </c>
      <c r="AA1378"/>
      <c r="AB1378"/>
    </row>
    <row r="1379" spans="3:28">
      <c r="C1379" s="1461" t="s">
        <v>5161</v>
      </c>
      <c r="D1379" s="1458">
        <v>1</v>
      </c>
      <c r="E1379" s="1458">
        <v>1</v>
      </c>
      <c r="F1379" s="1459">
        <v>2</v>
      </c>
      <c r="G1379" s="1470" t="s">
        <v>5161</v>
      </c>
      <c r="H1379" s="1456">
        <v>1</v>
      </c>
      <c r="I1379" s="1456">
        <v>1</v>
      </c>
      <c r="J1379" s="1471">
        <v>2</v>
      </c>
      <c r="K1379" s="1460"/>
      <c r="L1379" s="1454">
        <v>13121010514</v>
      </c>
      <c r="M1379" s="1455">
        <v>1</v>
      </c>
      <c r="N1379" s="1455">
        <v>1</v>
      </c>
      <c r="O1379" s="1456">
        <v>2</v>
      </c>
      <c r="AA1379"/>
      <c r="AB1379"/>
    </row>
    <row r="1380" spans="3:28">
      <c r="C1380" s="1461" t="s">
        <v>5162</v>
      </c>
      <c r="D1380" s="1458">
        <v>0</v>
      </c>
      <c r="E1380" s="1458">
        <v>0</v>
      </c>
      <c r="F1380" s="1459">
        <v>0</v>
      </c>
      <c r="G1380" s="1470" t="s">
        <v>5162</v>
      </c>
      <c r="H1380" s="1456">
        <v>1</v>
      </c>
      <c r="I1380" s="1456">
        <v>0</v>
      </c>
      <c r="J1380" s="1471">
        <v>1</v>
      </c>
      <c r="K1380" s="1460"/>
      <c r="L1380" s="1454">
        <v>13121010515</v>
      </c>
      <c r="M1380" s="1455">
        <v>1</v>
      </c>
      <c r="N1380" s="1455">
        <v>0</v>
      </c>
      <c r="O1380" s="1456">
        <v>1</v>
      </c>
      <c r="AA1380"/>
      <c r="AB1380"/>
    </row>
    <row r="1381" spans="3:28">
      <c r="C1381" s="1461" t="s">
        <v>5163</v>
      </c>
      <c r="D1381" s="1458">
        <v>0</v>
      </c>
      <c r="E1381" s="1458">
        <v>0</v>
      </c>
      <c r="F1381" s="1459">
        <v>0</v>
      </c>
      <c r="G1381" s="1470" t="s">
        <v>5163</v>
      </c>
      <c r="H1381" s="1456">
        <v>0</v>
      </c>
      <c r="I1381" s="1456">
        <v>0</v>
      </c>
      <c r="J1381" s="1471">
        <v>0</v>
      </c>
      <c r="K1381" s="1460"/>
      <c r="L1381" s="1454">
        <v>13121010516</v>
      </c>
      <c r="M1381" s="1455">
        <v>0</v>
      </c>
      <c r="N1381" s="1455">
        <v>0</v>
      </c>
      <c r="O1381" s="1456">
        <v>0</v>
      </c>
      <c r="AA1381"/>
      <c r="AB1381"/>
    </row>
    <row r="1382" spans="3:28">
      <c r="C1382" s="1461" t="s">
        <v>5164</v>
      </c>
      <c r="D1382" s="1458">
        <v>0</v>
      </c>
      <c r="E1382" s="1458">
        <v>0</v>
      </c>
      <c r="F1382" s="1459">
        <v>0</v>
      </c>
      <c r="G1382" s="1470" t="s">
        <v>5164</v>
      </c>
      <c r="H1382" s="1456">
        <v>0</v>
      </c>
      <c r="I1382" s="1456">
        <v>0</v>
      </c>
      <c r="J1382" s="1471">
        <v>0</v>
      </c>
      <c r="K1382" s="1460"/>
      <c r="L1382" s="1454">
        <v>13121010601</v>
      </c>
      <c r="M1382" s="1455">
        <v>0</v>
      </c>
      <c r="N1382" s="1455">
        <v>0</v>
      </c>
      <c r="O1382" s="1456">
        <v>0</v>
      </c>
      <c r="AA1382"/>
      <c r="AB1382"/>
    </row>
    <row r="1383" spans="3:28">
      <c r="C1383" s="1461" t="s">
        <v>5165</v>
      </c>
      <c r="D1383" s="1458">
        <v>0</v>
      </c>
      <c r="E1383" s="1458">
        <v>0</v>
      </c>
      <c r="F1383" s="1459">
        <v>0</v>
      </c>
      <c r="G1383" s="1470" t="s">
        <v>5165</v>
      </c>
      <c r="H1383" s="1456">
        <v>0</v>
      </c>
      <c r="I1383" s="1456">
        <v>0</v>
      </c>
      <c r="J1383" s="1471">
        <v>0</v>
      </c>
      <c r="K1383" s="1460"/>
      <c r="L1383" s="1454">
        <v>13121010603</v>
      </c>
      <c r="M1383" s="1455">
        <v>0</v>
      </c>
      <c r="N1383" s="1455">
        <v>0</v>
      </c>
      <c r="O1383" s="1456">
        <v>0</v>
      </c>
      <c r="AA1383"/>
      <c r="AB1383"/>
    </row>
    <row r="1384" spans="3:28">
      <c r="C1384" s="1461" t="s">
        <v>5166</v>
      </c>
      <c r="D1384" s="1458">
        <v>0</v>
      </c>
      <c r="E1384" s="1458">
        <v>0</v>
      </c>
      <c r="F1384" s="1459">
        <v>0</v>
      </c>
      <c r="G1384" s="1470" t="s">
        <v>5166</v>
      </c>
      <c r="H1384" s="1456">
        <v>0</v>
      </c>
      <c r="I1384" s="1456">
        <v>0</v>
      </c>
      <c r="J1384" s="1471">
        <v>0</v>
      </c>
      <c r="K1384" s="1460"/>
      <c r="L1384" s="1454">
        <v>13121010604</v>
      </c>
      <c r="M1384" s="1455">
        <v>0</v>
      </c>
      <c r="N1384" s="1455">
        <v>0</v>
      </c>
      <c r="O1384" s="1456">
        <v>0</v>
      </c>
      <c r="AA1384"/>
      <c r="AB1384"/>
    </row>
    <row r="1385" spans="3:28">
      <c r="C1385" s="1461" t="s">
        <v>5167</v>
      </c>
      <c r="D1385" s="1458">
        <v>0</v>
      </c>
      <c r="E1385" s="1458">
        <v>0</v>
      </c>
      <c r="F1385" s="1459">
        <v>0</v>
      </c>
      <c r="G1385" s="1470" t="s">
        <v>5167</v>
      </c>
      <c r="H1385" s="1456">
        <v>1</v>
      </c>
      <c r="I1385" s="1456">
        <v>0</v>
      </c>
      <c r="J1385" s="1471">
        <v>1</v>
      </c>
      <c r="K1385" s="1460"/>
      <c r="L1385" s="1454">
        <v>13121010800</v>
      </c>
      <c r="M1385" s="1455">
        <v>1</v>
      </c>
      <c r="N1385" s="1455">
        <v>0</v>
      </c>
      <c r="O1385" s="1456">
        <v>1</v>
      </c>
      <c r="AA1385"/>
      <c r="AB1385"/>
    </row>
    <row r="1386" spans="3:28">
      <c r="C1386" s="1461" t="s">
        <v>5168</v>
      </c>
      <c r="D1386" s="1458">
        <v>0</v>
      </c>
      <c r="E1386" s="1458">
        <v>0</v>
      </c>
      <c r="F1386" s="1459">
        <v>0</v>
      </c>
      <c r="G1386" s="1470" t="s">
        <v>5168</v>
      </c>
      <c r="H1386" s="1456">
        <v>0</v>
      </c>
      <c r="I1386" s="1456">
        <v>0</v>
      </c>
      <c r="J1386" s="1471">
        <v>0</v>
      </c>
      <c r="K1386" s="1460"/>
      <c r="L1386" s="1454">
        <v>13121011000</v>
      </c>
      <c r="M1386" s="1455">
        <v>0</v>
      </c>
      <c r="N1386" s="1455">
        <v>0</v>
      </c>
      <c r="O1386" s="1456">
        <v>0</v>
      </c>
      <c r="AA1386"/>
      <c r="AB1386"/>
    </row>
    <row r="1387" spans="3:28">
      <c r="C1387" s="1461" t="s">
        <v>5169</v>
      </c>
      <c r="D1387" s="1458">
        <v>1</v>
      </c>
      <c r="E1387" s="1458">
        <v>0</v>
      </c>
      <c r="F1387" s="1459">
        <v>1</v>
      </c>
      <c r="G1387" s="1470" t="s">
        <v>5169</v>
      </c>
      <c r="H1387" s="1456">
        <v>1</v>
      </c>
      <c r="I1387" s="1456">
        <v>0</v>
      </c>
      <c r="J1387" s="1471">
        <v>1</v>
      </c>
      <c r="K1387" s="1460"/>
      <c r="L1387" s="1454">
        <v>13121011100</v>
      </c>
      <c r="M1387" s="1455">
        <v>1</v>
      </c>
      <c r="N1387" s="1455">
        <v>0</v>
      </c>
      <c r="O1387" s="1456">
        <v>1</v>
      </c>
      <c r="AA1387"/>
      <c r="AB1387"/>
    </row>
    <row r="1388" spans="3:28">
      <c r="C1388" s="1461" t="s">
        <v>5170</v>
      </c>
      <c r="D1388" s="1458">
        <v>0</v>
      </c>
      <c r="E1388" s="1458">
        <v>0</v>
      </c>
      <c r="F1388" s="1459">
        <v>0</v>
      </c>
      <c r="G1388" s="1470" t="s">
        <v>5170</v>
      </c>
      <c r="H1388" s="1456">
        <v>0</v>
      </c>
      <c r="I1388" s="1456">
        <v>0</v>
      </c>
      <c r="J1388" s="1471">
        <v>0</v>
      </c>
      <c r="K1388" s="1460"/>
      <c r="L1388" s="1454">
        <v>13121011201</v>
      </c>
      <c r="M1388" s="1455">
        <v>0</v>
      </c>
      <c r="N1388" s="1455">
        <v>0</v>
      </c>
      <c r="O1388" s="1456">
        <v>0</v>
      </c>
      <c r="AA1388"/>
      <c r="AB1388"/>
    </row>
    <row r="1389" spans="3:28">
      <c r="C1389" s="1461" t="s">
        <v>5171</v>
      </c>
      <c r="D1389" s="1458">
        <v>0</v>
      </c>
      <c r="E1389" s="1458">
        <v>0</v>
      </c>
      <c r="F1389" s="1459">
        <v>0</v>
      </c>
      <c r="G1389" s="1470" t="s">
        <v>5171</v>
      </c>
      <c r="H1389" s="1456">
        <v>0</v>
      </c>
      <c r="I1389" s="1456">
        <v>0</v>
      </c>
      <c r="J1389" s="1471">
        <v>0</v>
      </c>
      <c r="K1389" s="1460"/>
      <c r="L1389" s="1454">
        <v>13121011202</v>
      </c>
      <c r="M1389" s="1455">
        <v>0</v>
      </c>
      <c r="N1389" s="1455">
        <v>0</v>
      </c>
      <c r="O1389" s="1456">
        <v>0</v>
      </c>
      <c r="AA1389"/>
      <c r="AB1389"/>
    </row>
    <row r="1390" spans="3:28">
      <c r="C1390" s="1461" t="s">
        <v>5172</v>
      </c>
      <c r="D1390" s="1458">
        <v>0</v>
      </c>
      <c r="E1390" s="1458">
        <v>0</v>
      </c>
      <c r="F1390" s="1459">
        <v>0</v>
      </c>
      <c r="G1390" s="1470" t="s">
        <v>5172</v>
      </c>
      <c r="H1390" s="1456">
        <v>0</v>
      </c>
      <c r="I1390" s="1456">
        <v>0</v>
      </c>
      <c r="J1390" s="1471">
        <v>0</v>
      </c>
      <c r="K1390" s="1460"/>
      <c r="L1390" s="1454">
        <v>13121011301</v>
      </c>
      <c r="M1390" s="1455">
        <v>0</v>
      </c>
      <c r="N1390" s="1455">
        <v>0</v>
      </c>
      <c r="O1390" s="1456">
        <v>0</v>
      </c>
      <c r="AA1390"/>
      <c r="AB1390"/>
    </row>
    <row r="1391" spans="3:28">
      <c r="C1391" s="1461" t="s">
        <v>5173</v>
      </c>
      <c r="D1391" s="1458">
        <v>0</v>
      </c>
      <c r="E1391" s="1458">
        <v>0</v>
      </c>
      <c r="F1391" s="1459">
        <v>0</v>
      </c>
      <c r="G1391" s="1470" t="s">
        <v>5173</v>
      </c>
      <c r="H1391" s="1456">
        <v>1</v>
      </c>
      <c r="I1391" s="1456">
        <v>0</v>
      </c>
      <c r="J1391" s="1471">
        <v>1</v>
      </c>
      <c r="K1391" s="1460"/>
      <c r="L1391" s="1454">
        <v>13121011303</v>
      </c>
      <c r="M1391" s="1455">
        <v>1</v>
      </c>
      <c r="N1391" s="1455">
        <v>0</v>
      </c>
      <c r="O1391" s="1456">
        <v>1</v>
      </c>
      <c r="AA1391"/>
      <c r="AB1391"/>
    </row>
    <row r="1392" spans="3:28">
      <c r="C1392" s="1461" t="s">
        <v>5174</v>
      </c>
      <c r="D1392" s="1458">
        <v>0</v>
      </c>
      <c r="E1392" s="1458">
        <v>0</v>
      </c>
      <c r="F1392" s="1459">
        <v>0</v>
      </c>
      <c r="G1392" s="1470" t="s">
        <v>5174</v>
      </c>
      <c r="H1392" s="1456">
        <v>0</v>
      </c>
      <c r="I1392" s="1456">
        <v>0</v>
      </c>
      <c r="J1392" s="1471">
        <v>0</v>
      </c>
      <c r="K1392" s="1460"/>
      <c r="L1392" s="1454">
        <v>13121011305</v>
      </c>
      <c r="M1392" s="1455">
        <v>0</v>
      </c>
      <c r="N1392" s="1455">
        <v>0</v>
      </c>
      <c r="O1392" s="1456">
        <v>0</v>
      </c>
      <c r="AA1392"/>
      <c r="AB1392"/>
    </row>
    <row r="1393" spans="3:28">
      <c r="C1393" s="1461" t="s">
        <v>5175</v>
      </c>
      <c r="D1393" s="1458">
        <v>0</v>
      </c>
      <c r="E1393" s="1458">
        <v>0</v>
      </c>
      <c r="F1393" s="1459">
        <v>0</v>
      </c>
      <c r="G1393" s="1470" t="s">
        <v>5175</v>
      </c>
      <c r="H1393" s="1456">
        <v>0</v>
      </c>
      <c r="I1393" s="1456">
        <v>0</v>
      </c>
      <c r="J1393" s="1471">
        <v>0</v>
      </c>
      <c r="K1393" s="1460"/>
      <c r="L1393" s="1454">
        <v>13121011306</v>
      </c>
      <c r="M1393" s="1455">
        <v>0</v>
      </c>
      <c r="N1393" s="1455">
        <v>0</v>
      </c>
      <c r="O1393" s="1456">
        <v>0</v>
      </c>
      <c r="AA1393"/>
      <c r="AB1393"/>
    </row>
    <row r="1394" spans="3:28">
      <c r="C1394" s="1461" t="s">
        <v>5176</v>
      </c>
      <c r="D1394" s="1458">
        <v>1</v>
      </c>
      <c r="E1394" s="1458">
        <v>0</v>
      </c>
      <c r="F1394" s="1459">
        <v>1</v>
      </c>
      <c r="G1394" s="1470" t="s">
        <v>5176</v>
      </c>
      <c r="H1394" s="1456">
        <v>1</v>
      </c>
      <c r="I1394" s="1456">
        <v>1</v>
      </c>
      <c r="J1394" s="1471">
        <v>2</v>
      </c>
      <c r="K1394" s="1460"/>
      <c r="L1394" s="1454">
        <v>13121011405</v>
      </c>
      <c r="M1394" s="1455">
        <v>1</v>
      </c>
      <c r="N1394" s="1455">
        <v>1</v>
      </c>
      <c r="O1394" s="1456">
        <v>2</v>
      </c>
      <c r="AA1394"/>
      <c r="AB1394"/>
    </row>
    <row r="1395" spans="3:28">
      <c r="C1395" s="1461" t="s">
        <v>5177</v>
      </c>
      <c r="D1395" s="1458">
        <v>1</v>
      </c>
      <c r="E1395" s="1458">
        <v>1</v>
      </c>
      <c r="F1395" s="1459">
        <v>2</v>
      </c>
      <c r="G1395" s="1470" t="s">
        <v>5177</v>
      </c>
      <c r="H1395" s="1456">
        <v>1</v>
      </c>
      <c r="I1395" s="1456">
        <v>1</v>
      </c>
      <c r="J1395" s="1471">
        <v>2</v>
      </c>
      <c r="K1395" s="1460"/>
      <c r="L1395" s="1454">
        <v>13121011410</v>
      </c>
      <c r="M1395" s="1455">
        <v>1</v>
      </c>
      <c r="N1395" s="1455">
        <v>1</v>
      </c>
      <c r="O1395" s="1456">
        <v>2</v>
      </c>
      <c r="AA1395"/>
      <c r="AB1395"/>
    </row>
    <row r="1396" spans="3:28">
      <c r="C1396" s="1461" t="s">
        <v>5178</v>
      </c>
      <c r="D1396" s="1458">
        <v>1</v>
      </c>
      <c r="E1396" s="1458">
        <v>1</v>
      </c>
      <c r="F1396" s="1459">
        <v>2</v>
      </c>
      <c r="G1396" s="1470" t="s">
        <v>5178</v>
      </c>
      <c r="H1396" s="1456">
        <v>1</v>
      </c>
      <c r="I1396" s="1456">
        <v>1</v>
      </c>
      <c r="J1396" s="1471">
        <v>2</v>
      </c>
      <c r="K1396" s="1460"/>
      <c r="L1396" s="1454">
        <v>13121011411</v>
      </c>
      <c r="M1396" s="1455">
        <v>1</v>
      </c>
      <c r="N1396" s="1455">
        <v>1</v>
      </c>
      <c r="O1396" s="1456">
        <v>2</v>
      </c>
      <c r="AA1396"/>
      <c r="AB1396"/>
    </row>
    <row r="1397" spans="3:28">
      <c r="C1397" s="1461" t="s">
        <v>5179</v>
      </c>
      <c r="D1397" s="1458">
        <v>1</v>
      </c>
      <c r="E1397" s="1458">
        <v>1</v>
      </c>
      <c r="F1397" s="1459">
        <v>2</v>
      </c>
      <c r="G1397" s="1470" t="s">
        <v>5179</v>
      </c>
      <c r="H1397" s="1456">
        <v>1</v>
      </c>
      <c r="I1397" s="1456">
        <v>1</v>
      </c>
      <c r="J1397" s="1471">
        <v>2</v>
      </c>
      <c r="K1397" s="1460"/>
      <c r="L1397" s="1454">
        <v>13121011412</v>
      </c>
      <c r="M1397" s="1455">
        <v>1</v>
      </c>
      <c r="N1397" s="1455">
        <v>1</v>
      </c>
      <c r="O1397" s="1456">
        <v>2</v>
      </c>
      <c r="AA1397"/>
      <c r="AB1397"/>
    </row>
    <row r="1398" spans="3:28">
      <c r="C1398" s="1461" t="s">
        <v>5180</v>
      </c>
      <c r="D1398" s="1458">
        <v>1</v>
      </c>
      <c r="E1398" s="1458">
        <v>1</v>
      </c>
      <c r="F1398" s="1459">
        <v>2</v>
      </c>
      <c r="G1398" s="1470" t="s">
        <v>5180</v>
      </c>
      <c r="H1398" s="1456">
        <v>1</v>
      </c>
      <c r="I1398" s="1456">
        <v>0</v>
      </c>
      <c r="J1398" s="1471">
        <v>1</v>
      </c>
      <c r="K1398" s="1460"/>
      <c r="L1398" s="1454">
        <v>13121011414</v>
      </c>
      <c r="M1398" s="1455">
        <v>1</v>
      </c>
      <c r="N1398" s="1455">
        <v>1</v>
      </c>
      <c r="O1398" s="1456">
        <v>2</v>
      </c>
      <c r="AA1398"/>
      <c r="AB1398"/>
    </row>
    <row r="1399" spans="3:28">
      <c r="C1399" s="1461" t="s">
        <v>5181</v>
      </c>
      <c r="D1399" s="1458">
        <v>1</v>
      </c>
      <c r="E1399" s="1458">
        <v>1</v>
      </c>
      <c r="F1399" s="1459">
        <v>2</v>
      </c>
      <c r="G1399" s="1470" t="s">
        <v>5181</v>
      </c>
      <c r="H1399" s="1456">
        <v>1</v>
      </c>
      <c r="I1399" s="1456">
        <v>1</v>
      </c>
      <c r="J1399" s="1471">
        <v>2</v>
      </c>
      <c r="K1399" s="1460"/>
      <c r="L1399" s="1454">
        <v>13121011416</v>
      </c>
      <c r="M1399" s="1455">
        <v>1</v>
      </c>
      <c r="N1399" s="1455">
        <v>1</v>
      </c>
      <c r="O1399" s="1456">
        <v>2</v>
      </c>
      <c r="AA1399"/>
      <c r="AB1399"/>
    </row>
    <row r="1400" spans="3:28">
      <c r="C1400" s="1461" t="s">
        <v>5182</v>
      </c>
      <c r="D1400" s="1458">
        <v>1</v>
      </c>
      <c r="E1400" s="1458">
        <v>1</v>
      </c>
      <c r="F1400" s="1459">
        <v>2</v>
      </c>
      <c r="G1400" s="1470" t="s">
        <v>5182</v>
      </c>
      <c r="H1400" s="1456">
        <v>1</v>
      </c>
      <c r="I1400" s="1456">
        <v>1</v>
      </c>
      <c r="J1400" s="1471">
        <v>2</v>
      </c>
      <c r="K1400" s="1460"/>
      <c r="L1400" s="1454">
        <v>13121011417</v>
      </c>
      <c r="M1400" s="1455">
        <v>1</v>
      </c>
      <c r="N1400" s="1455">
        <v>1</v>
      </c>
      <c r="O1400" s="1456">
        <v>2</v>
      </c>
      <c r="AA1400"/>
      <c r="AB1400"/>
    </row>
    <row r="1401" spans="3:28">
      <c r="C1401" s="1461" t="s">
        <v>5183</v>
      </c>
      <c r="D1401" s="1458">
        <v>1</v>
      </c>
      <c r="E1401" s="1458">
        <v>1</v>
      </c>
      <c r="F1401" s="1459">
        <v>2</v>
      </c>
      <c r="G1401" s="1470" t="s">
        <v>5183</v>
      </c>
      <c r="H1401" s="1456">
        <v>1</v>
      </c>
      <c r="I1401" s="1456">
        <v>1</v>
      </c>
      <c r="J1401" s="1471">
        <v>2</v>
      </c>
      <c r="K1401" s="1460"/>
      <c r="L1401" s="1454">
        <v>13121011418</v>
      </c>
      <c r="M1401" s="1455">
        <v>1</v>
      </c>
      <c r="N1401" s="1455">
        <v>1</v>
      </c>
      <c r="O1401" s="1456">
        <v>2</v>
      </c>
      <c r="AA1401"/>
      <c r="AB1401"/>
    </row>
    <row r="1402" spans="3:28">
      <c r="C1402" s="1461" t="s">
        <v>5184</v>
      </c>
      <c r="D1402" s="1458">
        <v>1</v>
      </c>
      <c r="E1402" s="1458">
        <v>1</v>
      </c>
      <c r="F1402" s="1459">
        <v>2</v>
      </c>
      <c r="G1402" s="1470" t="s">
        <v>5184</v>
      </c>
      <c r="H1402" s="1456">
        <v>1</v>
      </c>
      <c r="I1402" s="1456">
        <v>1</v>
      </c>
      <c r="J1402" s="1471">
        <v>2</v>
      </c>
      <c r="K1402" s="1460"/>
      <c r="L1402" s="1454">
        <v>13121011419</v>
      </c>
      <c r="M1402" s="1455">
        <v>1</v>
      </c>
      <c r="N1402" s="1455">
        <v>1</v>
      </c>
      <c r="O1402" s="1456">
        <v>2</v>
      </c>
      <c r="AA1402"/>
      <c r="AB1402"/>
    </row>
    <row r="1403" spans="3:28">
      <c r="C1403" s="1461" t="s">
        <v>5185</v>
      </c>
      <c r="D1403" s="1458">
        <v>0</v>
      </c>
      <c r="E1403" s="1458">
        <v>0</v>
      </c>
      <c r="F1403" s="1459">
        <v>0</v>
      </c>
      <c r="G1403" s="1470" t="s">
        <v>5185</v>
      </c>
      <c r="H1403" s="1456">
        <v>0</v>
      </c>
      <c r="I1403" s="1456">
        <v>0</v>
      </c>
      <c r="J1403" s="1471">
        <v>0</v>
      </c>
      <c r="K1403" s="1460"/>
      <c r="L1403" s="1454">
        <v>13121011420</v>
      </c>
      <c r="M1403" s="1455">
        <v>0</v>
      </c>
      <c r="N1403" s="1455">
        <v>0</v>
      </c>
      <c r="O1403" s="1456">
        <v>0</v>
      </c>
      <c r="AA1403"/>
      <c r="AB1403"/>
    </row>
    <row r="1404" spans="3:28">
      <c r="C1404" s="1461" t="s">
        <v>5186</v>
      </c>
      <c r="D1404" s="1458">
        <v>1</v>
      </c>
      <c r="E1404" s="1458">
        <v>0</v>
      </c>
      <c r="F1404" s="1459">
        <v>1</v>
      </c>
      <c r="G1404" s="1470" t="s">
        <v>5186</v>
      </c>
      <c r="H1404" s="1456">
        <v>1</v>
      </c>
      <c r="I1404" s="1456">
        <v>0</v>
      </c>
      <c r="J1404" s="1471">
        <v>1</v>
      </c>
      <c r="K1404" s="1460"/>
      <c r="L1404" s="1454">
        <v>13121011421</v>
      </c>
      <c r="M1404" s="1455">
        <v>1</v>
      </c>
      <c r="N1404" s="1455">
        <v>0</v>
      </c>
      <c r="O1404" s="1456">
        <v>1</v>
      </c>
      <c r="AA1404"/>
      <c r="AB1404"/>
    </row>
    <row r="1405" spans="3:28">
      <c r="C1405" s="1461" t="s">
        <v>5187</v>
      </c>
      <c r="D1405" s="1458">
        <v>1</v>
      </c>
      <c r="E1405" s="1458">
        <v>1</v>
      </c>
      <c r="F1405" s="1459">
        <v>2</v>
      </c>
      <c r="G1405" s="1470" t="s">
        <v>5187</v>
      </c>
      <c r="H1405" s="1456">
        <v>1</v>
      </c>
      <c r="I1405" s="1456">
        <v>1</v>
      </c>
      <c r="J1405" s="1471">
        <v>2</v>
      </c>
      <c r="K1405" s="1460"/>
      <c r="L1405" s="1454">
        <v>13121011422</v>
      </c>
      <c r="M1405" s="1455">
        <v>1</v>
      </c>
      <c r="N1405" s="1455">
        <v>1</v>
      </c>
      <c r="O1405" s="1456">
        <v>2</v>
      </c>
      <c r="AA1405"/>
      <c r="AB1405"/>
    </row>
    <row r="1406" spans="3:28">
      <c r="C1406" s="1461" t="s">
        <v>5188</v>
      </c>
      <c r="D1406" s="1458">
        <v>1</v>
      </c>
      <c r="E1406" s="1458">
        <v>1</v>
      </c>
      <c r="F1406" s="1459">
        <v>2</v>
      </c>
      <c r="G1406" s="1470" t="s">
        <v>5188</v>
      </c>
      <c r="H1406" s="1456">
        <v>1</v>
      </c>
      <c r="I1406" s="1456">
        <v>1</v>
      </c>
      <c r="J1406" s="1471">
        <v>2</v>
      </c>
      <c r="K1406" s="1460"/>
      <c r="L1406" s="1454">
        <v>13121011423</v>
      </c>
      <c r="M1406" s="1455">
        <v>1</v>
      </c>
      <c r="N1406" s="1455">
        <v>1</v>
      </c>
      <c r="O1406" s="1456">
        <v>2</v>
      </c>
      <c r="AA1406"/>
      <c r="AB1406"/>
    </row>
    <row r="1407" spans="3:28">
      <c r="C1407" s="1461" t="s">
        <v>5189</v>
      </c>
      <c r="D1407" s="1458">
        <v>1</v>
      </c>
      <c r="E1407" s="1458">
        <v>1</v>
      </c>
      <c r="F1407" s="1459">
        <v>2</v>
      </c>
      <c r="G1407" s="1470" t="s">
        <v>5189</v>
      </c>
      <c r="H1407" s="1456">
        <v>1</v>
      </c>
      <c r="I1407" s="1456">
        <v>1</v>
      </c>
      <c r="J1407" s="1471">
        <v>2</v>
      </c>
      <c r="K1407" s="1460"/>
      <c r="L1407" s="1454">
        <v>13121011424</v>
      </c>
      <c r="M1407" s="1455">
        <v>1</v>
      </c>
      <c r="N1407" s="1455">
        <v>1</v>
      </c>
      <c r="O1407" s="1456">
        <v>2</v>
      </c>
      <c r="AA1407"/>
      <c r="AB1407"/>
    </row>
    <row r="1408" spans="3:28">
      <c r="C1408" s="1461" t="s">
        <v>5190</v>
      </c>
      <c r="D1408" s="1458">
        <v>1</v>
      </c>
      <c r="E1408" s="1458">
        <v>1</v>
      </c>
      <c r="F1408" s="1459">
        <v>2</v>
      </c>
      <c r="G1408" s="1470" t="s">
        <v>5190</v>
      </c>
      <c r="H1408" s="1456">
        <v>1</v>
      </c>
      <c r="I1408" s="1456">
        <v>1</v>
      </c>
      <c r="J1408" s="1471">
        <v>2</v>
      </c>
      <c r="K1408" s="1460"/>
      <c r="L1408" s="1454">
        <v>13121011425</v>
      </c>
      <c r="M1408" s="1455">
        <v>1</v>
      </c>
      <c r="N1408" s="1455">
        <v>1</v>
      </c>
      <c r="O1408" s="1456">
        <v>2</v>
      </c>
      <c r="AA1408"/>
      <c r="AB1408"/>
    </row>
    <row r="1409" spans="3:28">
      <c r="C1409" s="1461" t="s">
        <v>5191</v>
      </c>
      <c r="D1409" s="1458">
        <v>1</v>
      </c>
      <c r="E1409" s="1458">
        <v>1</v>
      </c>
      <c r="F1409" s="1459">
        <v>2</v>
      </c>
      <c r="G1409" s="1470" t="s">
        <v>5191</v>
      </c>
      <c r="H1409" s="1456">
        <v>1</v>
      </c>
      <c r="I1409" s="1456">
        <v>1</v>
      </c>
      <c r="J1409" s="1471">
        <v>2</v>
      </c>
      <c r="K1409" s="1460"/>
      <c r="L1409" s="1454">
        <v>13121011426</v>
      </c>
      <c r="M1409" s="1455">
        <v>1</v>
      </c>
      <c r="N1409" s="1455">
        <v>1</v>
      </c>
      <c r="O1409" s="1456">
        <v>2</v>
      </c>
      <c r="AA1409"/>
      <c r="AB1409"/>
    </row>
    <row r="1410" spans="3:28">
      <c r="C1410" s="1461" t="s">
        <v>5192</v>
      </c>
      <c r="D1410" s="1458">
        <v>1</v>
      </c>
      <c r="E1410" s="1458">
        <v>1</v>
      </c>
      <c r="F1410" s="1459">
        <v>2</v>
      </c>
      <c r="G1410" s="1470" t="s">
        <v>5192</v>
      </c>
      <c r="H1410" s="1456">
        <v>1</v>
      </c>
      <c r="I1410" s="1456">
        <v>1</v>
      </c>
      <c r="J1410" s="1471">
        <v>2</v>
      </c>
      <c r="K1410" s="1460"/>
      <c r="L1410" s="1454">
        <v>13121011427</v>
      </c>
      <c r="M1410" s="1455">
        <v>1</v>
      </c>
      <c r="N1410" s="1455">
        <v>1</v>
      </c>
      <c r="O1410" s="1456">
        <v>2</v>
      </c>
      <c r="AA1410"/>
      <c r="AB1410"/>
    </row>
    <row r="1411" spans="3:28">
      <c r="C1411" s="1461" t="s">
        <v>5193</v>
      </c>
      <c r="D1411" s="1458">
        <v>1</v>
      </c>
      <c r="E1411" s="1458">
        <v>1</v>
      </c>
      <c r="F1411" s="1459">
        <v>2</v>
      </c>
      <c r="G1411" s="1470" t="s">
        <v>5193</v>
      </c>
      <c r="H1411" s="1456">
        <v>1</v>
      </c>
      <c r="I1411" s="1456">
        <v>1</v>
      </c>
      <c r="J1411" s="1471">
        <v>2</v>
      </c>
      <c r="K1411" s="1460"/>
      <c r="L1411" s="1454">
        <v>13121011503</v>
      </c>
      <c r="M1411" s="1455">
        <v>1</v>
      </c>
      <c r="N1411" s="1455">
        <v>1</v>
      </c>
      <c r="O1411" s="1456">
        <v>2</v>
      </c>
      <c r="AA1411"/>
      <c r="AB1411"/>
    </row>
    <row r="1412" spans="3:28">
      <c r="C1412" s="1461" t="s">
        <v>5194</v>
      </c>
      <c r="D1412" s="1458">
        <v>1</v>
      </c>
      <c r="E1412" s="1458">
        <v>1</v>
      </c>
      <c r="F1412" s="1459">
        <v>2</v>
      </c>
      <c r="G1412" s="1470" t="s">
        <v>5194</v>
      </c>
      <c r="H1412" s="1456">
        <v>1</v>
      </c>
      <c r="I1412" s="1456" t="s">
        <v>3906</v>
      </c>
      <c r="J1412" s="1471">
        <v>1</v>
      </c>
      <c r="K1412" s="1460"/>
      <c r="L1412" s="1454">
        <v>13121011504</v>
      </c>
      <c r="M1412" s="1455">
        <v>1</v>
      </c>
      <c r="N1412" s="1455">
        <v>1</v>
      </c>
      <c r="O1412" s="1456">
        <v>2</v>
      </c>
      <c r="AA1412"/>
      <c r="AB1412"/>
    </row>
    <row r="1413" spans="3:28">
      <c r="C1413" s="1461" t="s">
        <v>5195</v>
      </c>
      <c r="D1413" s="1458">
        <v>1</v>
      </c>
      <c r="E1413" s="1458">
        <v>1</v>
      </c>
      <c r="F1413" s="1459">
        <v>2</v>
      </c>
      <c r="G1413" s="1470" t="s">
        <v>5195</v>
      </c>
      <c r="H1413" s="1456">
        <v>1</v>
      </c>
      <c r="I1413" s="1456">
        <v>1</v>
      </c>
      <c r="J1413" s="1471">
        <v>2</v>
      </c>
      <c r="K1413" s="1460"/>
      <c r="L1413" s="1454">
        <v>13121011505</v>
      </c>
      <c r="M1413" s="1455">
        <v>1</v>
      </c>
      <c r="N1413" s="1455">
        <v>1</v>
      </c>
      <c r="O1413" s="1456">
        <v>2</v>
      </c>
      <c r="AA1413"/>
      <c r="AB1413"/>
    </row>
    <row r="1414" spans="3:28">
      <c r="C1414" s="1461" t="s">
        <v>5196</v>
      </c>
      <c r="D1414" s="1458">
        <v>1</v>
      </c>
      <c r="E1414" s="1458">
        <v>1</v>
      </c>
      <c r="F1414" s="1459">
        <v>2</v>
      </c>
      <c r="G1414" s="1470" t="s">
        <v>5196</v>
      </c>
      <c r="H1414" s="1456">
        <v>1</v>
      </c>
      <c r="I1414" s="1456">
        <v>1</v>
      </c>
      <c r="J1414" s="1471">
        <v>2</v>
      </c>
      <c r="K1414" s="1460"/>
      <c r="L1414" s="1454">
        <v>13121011506</v>
      </c>
      <c r="M1414" s="1455">
        <v>1</v>
      </c>
      <c r="N1414" s="1455">
        <v>1</v>
      </c>
      <c r="O1414" s="1456">
        <v>2</v>
      </c>
      <c r="AA1414"/>
      <c r="AB1414"/>
    </row>
    <row r="1415" spans="3:28">
      <c r="C1415" s="1461" t="s">
        <v>5197</v>
      </c>
      <c r="D1415" s="1458">
        <v>1</v>
      </c>
      <c r="E1415" s="1458">
        <v>1</v>
      </c>
      <c r="F1415" s="1459">
        <v>2</v>
      </c>
      <c r="G1415" s="1470" t="s">
        <v>5197</v>
      </c>
      <c r="H1415" s="1456">
        <v>1</v>
      </c>
      <c r="I1415" s="1456">
        <v>1</v>
      </c>
      <c r="J1415" s="1471">
        <v>2</v>
      </c>
      <c r="K1415" s="1460"/>
      <c r="L1415" s="1454">
        <v>13121011610</v>
      </c>
      <c r="M1415" s="1455">
        <v>1</v>
      </c>
      <c r="N1415" s="1455">
        <v>1</v>
      </c>
      <c r="O1415" s="1456">
        <v>2</v>
      </c>
      <c r="AA1415"/>
      <c r="AB1415"/>
    </row>
    <row r="1416" spans="3:28">
      <c r="C1416" s="1461" t="s">
        <v>5198</v>
      </c>
      <c r="D1416" s="1458">
        <v>1</v>
      </c>
      <c r="E1416" s="1458">
        <v>0</v>
      </c>
      <c r="F1416" s="1459">
        <v>1</v>
      </c>
      <c r="G1416" s="1470" t="s">
        <v>5198</v>
      </c>
      <c r="H1416" s="1456">
        <v>1</v>
      </c>
      <c r="I1416" s="1456">
        <v>1</v>
      </c>
      <c r="J1416" s="1471">
        <v>2</v>
      </c>
      <c r="K1416" s="1460"/>
      <c r="L1416" s="1454">
        <v>13121011611</v>
      </c>
      <c r="M1416" s="1455">
        <v>1</v>
      </c>
      <c r="N1416" s="1455">
        <v>1</v>
      </c>
      <c r="O1416" s="1456">
        <v>2</v>
      </c>
      <c r="AA1416"/>
      <c r="AB1416"/>
    </row>
    <row r="1417" spans="3:28">
      <c r="C1417" s="1461" t="s">
        <v>5199</v>
      </c>
      <c r="D1417" s="1458">
        <v>1</v>
      </c>
      <c r="E1417" s="1458">
        <v>1</v>
      </c>
      <c r="F1417" s="1459">
        <v>2</v>
      </c>
      <c r="G1417" s="1470" t="s">
        <v>5199</v>
      </c>
      <c r="H1417" s="1456">
        <v>1</v>
      </c>
      <c r="I1417" s="1456" t="s">
        <v>3906</v>
      </c>
      <c r="J1417" s="1471">
        <v>1</v>
      </c>
      <c r="K1417" s="1460"/>
      <c r="L1417" s="1454">
        <v>13121011612</v>
      </c>
      <c r="M1417" s="1455">
        <v>1</v>
      </c>
      <c r="N1417" s="1455">
        <v>1</v>
      </c>
      <c r="O1417" s="1456">
        <v>2</v>
      </c>
      <c r="AA1417"/>
      <c r="AB1417"/>
    </row>
    <row r="1418" spans="3:28">
      <c r="C1418" s="1461" t="s">
        <v>5200</v>
      </c>
      <c r="D1418" s="1458">
        <v>1</v>
      </c>
      <c r="E1418" s="1458">
        <v>1</v>
      </c>
      <c r="F1418" s="1459">
        <v>2</v>
      </c>
      <c r="G1418" s="1470" t="s">
        <v>5200</v>
      </c>
      <c r="H1418" s="1456">
        <v>1</v>
      </c>
      <c r="I1418" s="1456">
        <v>1</v>
      </c>
      <c r="J1418" s="1471">
        <v>2</v>
      </c>
      <c r="K1418" s="1460"/>
      <c r="L1418" s="1454">
        <v>13121011613</v>
      </c>
      <c r="M1418" s="1455">
        <v>1</v>
      </c>
      <c r="N1418" s="1455">
        <v>1</v>
      </c>
      <c r="O1418" s="1456">
        <v>2</v>
      </c>
      <c r="AA1418"/>
      <c r="AB1418"/>
    </row>
    <row r="1419" spans="3:28">
      <c r="C1419" s="1461" t="s">
        <v>5201</v>
      </c>
      <c r="D1419" s="1458">
        <v>1</v>
      </c>
      <c r="E1419" s="1458">
        <v>1</v>
      </c>
      <c r="F1419" s="1459">
        <v>2</v>
      </c>
      <c r="G1419" s="1470" t="s">
        <v>5201</v>
      </c>
      <c r="H1419" s="1456">
        <v>1</v>
      </c>
      <c r="I1419" s="1456">
        <v>1</v>
      </c>
      <c r="J1419" s="1471">
        <v>2</v>
      </c>
      <c r="K1419" s="1460"/>
      <c r="L1419" s="1454">
        <v>13121011614</v>
      </c>
      <c r="M1419" s="1455">
        <v>1</v>
      </c>
      <c r="N1419" s="1455">
        <v>1</v>
      </c>
      <c r="O1419" s="1456">
        <v>2</v>
      </c>
      <c r="AA1419"/>
      <c r="AB1419"/>
    </row>
    <row r="1420" spans="3:28">
      <c r="C1420" s="1461" t="s">
        <v>5202</v>
      </c>
      <c r="D1420" s="1458">
        <v>1</v>
      </c>
      <c r="E1420" s="1458">
        <v>1</v>
      </c>
      <c r="F1420" s="1459">
        <v>2</v>
      </c>
      <c r="G1420" s="1470" t="s">
        <v>5202</v>
      </c>
      <c r="H1420" s="1456">
        <v>1</v>
      </c>
      <c r="I1420" s="1456">
        <v>1</v>
      </c>
      <c r="J1420" s="1471">
        <v>2</v>
      </c>
      <c r="K1420" s="1460"/>
      <c r="L1420" s="1454">
        <v>13121011615</v>
      </c>
      <c r="M1420" s="1455">
        <v>1</v>
      </c>
      <c r="N1420" s="1455">
        <v>1</v>
      </c>
      <c r="O1420" s="1456">
        <v>2</v>
      </c>
      <c r="AA1420"/>
      <c r="AB1420"/>
    </row>
    <row r="1421" spans="3:28">
      <c r="C1421" s="1461" t="s">
        <v>5203</v>
      </c>
      <c r="D1421" s="1458">
        <v>1</v>
      </c>
      <c r="E1421" s="1458">
        <v>1</v>
      </c>
      <c r="F1421" s="1459">
        <v>2</v>
      </c>
      <c r="G1421" s="1470" t="s">
        <v>5203</v>
      </c>
      <c r="H1421" s="1456">
        <v>1</v>
      </c>
      <c r="I1421" s="1456">
        <v>1</v>
      </c>
      <c r="J1421" s="1471">
        <v>2</v>
      </c>
      <c r="K1421" s="1460"/>
      <c r="L1421" s="1454">
        <v>13121011616</v>
      </c>
      <c r="M1421" s="1455">
        <v>1</v>
      </c>
      <c r="N1421" s="1455">
        <v>1</v>
      </c>
      <c r="O1421" s="1456">
        <v>2</v>
      </c>
      <c r="AA1421"/>
      <c r="AB1421"/>
    </row>
    <row r="1422" spans="3:28">
      <c r="C1422" s="1461" t="s">
        <v>5204</v>
      </c>
      <c r="D1422" s="1458">
        <v>1</v>
      </c>
      <c r="E1422" s="1458">
        <v>1</v>
      </c>
      <c r="F1422" s="1459">
        <v>2</v>
      </c>
      <c r="G1422" s="1470" t="s">
        <v>5204</v>
      </c>
      <c r="H1422" s="1456">
        <v>1</v>
      </c>
      <c r="I1422" s="1456">
        <v>1</v>
      </c>
      <c r="J1422" s="1471">
        <v>2</v>
      </c>
      <c r="K1422" s="1460"/>
      <c r="L1422" s="1454">
        <v>13121011617</v>
      </c>
      <c r="M1422" s="1455">
        <v>1</v>
      </c>
      <c r="N1422" s="1455">
        <v>1</v>
      </c>
      <c r="O1422" s="1456">
        <v>2</v>
      </c>
      <c r="AA1422"/>
      <c r="AB1422"/>
    </row>
    <row r="1423" spans="3:28">
      <c r="C1423" s="1461" t="s">
        <v>5205</v>
      </c>
      <c r="D1423" s="1458">
        <v>1</v>
      </c>
      <c r="E1423" s="1458">
        <v>1</v>
      </c>
      <c r="F1423" s="1459">
        <v>2</v>
      </c>
      <c r="G1423" s="1470" t="s">
        <v>5205</v>
      </c>
      <c r="H1423" s="1456">
        <v>1</v>
      </c>
      <c r="I1423" s="1456">
        <v>1</v>
      </c>
      <c r="J1423" s="1471">
        <v>2</v>
      </c>
      <c r="K1423" s="1460"/>
      <c r="L1423" s="1454">
        <v>13121011618</v>
      </c>
      <c r="M1423" s="1455">
        <v>1</v>
      </c>
      <c r="N1423" s="1455">
        <v>1</v>
      </c>
      <c r="O1423" s="1456">
        <v>2</v>
      </c>
      <c r="AA1423"/>
      <c r="AB1423"/>
    </row>
    <row r="1424" spans="3:28">
      <c r="C1424" s="1461" t="s">
        <v>5206</v>
      </c>
      <c r="D1424" s="1458">
        <v>1</v>
      </c>
      <c r="E1424" s="1458">
        <v>1</v>
      </c>
      <c r="F1424" s="1459">
        <v>2</v>
      </c>
      <c r="G1424" s="1470" t="s">
        <v>5206</v>
      </c>
      <c r="H1424" s="1456">
        <v>1</v>
      </c>
      <c r="I1424" s="1456">
        <v>1</v>
      </c>
      <c r="J1424" s="1471">
        <v>2</v>
      </c>
      <c r="K1424" s="1460"/>
      <c r="L1424" s="1454">
        <v>13121011619</v>
      </c>
      <c r="M1424" s="1455">
        <v>1</v>
      </c>
      <c r="N1424" s="1455">
        <v>1</v>
      </c>
      <c r="O1424" s="1456">
        <v>2</v>
      </c>
      <c r="AA1424"/>
      <c r="AB1424"/>
    </row>
    <row r="1425" spans="3:28">
      <c r="C1425" s="1461" t="s">
        <v>5207</v>
      </c>
      <c r="D1425" s="1458">
        <v>1</v>
      </c>
      <c r="E1425" s="1458">
        <v>1</v>
      </c>
      <c r="F1425" s="1459">
        <v>2</v>
      </c>
      <c r="G1425" s="1470" t="s">
        <v>5207</v>
      </c>
      <c r="H1425" s="1456">
        <v>1</v>
      </c>
      <c r="I1425" s="1456">
        <v>1</v>
      </c>
      <c r="J1425" s="1471">
        <v>2</v>
      </c>
      <c r="K1425" s="1460"/>
      <c r="L1425" s="1454">
        <v>13121011620</v>
      </c>
      <c r="M1425" s="1455">
        <v>1</v>
      </c>
      <c r="N1425" s="1455">
        <v>1</v>
      </c>
      <c r="O1425" s="1456">
        <v>2</v>
      </c>
      <c r="AA1425"/>
      <c r="AB1425"/>
    </row>
    <row r="1426" spans="3:28">
      <c r="C1426" s="1461" t="s">
        <v>5208</v>
      </c>
      <c r="D1426" s="1458">
        <v>1</v>
      </c>
      <c r="E1426" s="1458">
        <v>1</v>
      </c>
      <c r="F1426" s="1459">
        <v>2</v>
      </c>
      <c r="G1426" s="1470" t="s">
        <v>5208</v>
      </c>
      <c r="H1426" s="1456">
        <v>1</v>
      </c>
      <c r="I1426" s="1456">
        <v>1</v>
      </c>
      <c r="J1426" s="1471">
        <v>2</v>
      </c>
      <c r="K1426" s="1460"/>
      <c r="L1426" s="1454">
        <v>13121011621</v>
      </c>
      <c r="M1426" s="1455">
        <v>1</v>
      </c>
      <c r="N1426" s="1455">
        <v>1</v>
      </c>
      <c r="O1426" s="1456">
        <v>2</v>
      </c>
      <c r="AA1426"/>
      <c r="AB1426"/>
    </row>
    <row r="1427" spans="3:28">
      <c r="C1427" s="1461" t="s">
        <v>5209</v>
      </c>
      <c r="D1427" s="1458">
        <v>1</v>
      </c>
      <c r="E1427" s="1458">
        <v>1</v>
      </c>
      <c r="F1427" s="1459">
        <v>2</v>
      </c>
      <c r="G1427" s="1470" t="s">
        <v>5209</v>
      </c>
      <c r="H1427" s="1456">
        <v>1</v>
      </c>
      <c r="I1427" s="1456">
        <v>1</v>
      </c>
      <c r="J1427" s="1471">
        <v>2</v>
      </c>
      <c r="K1427" s="1460"/>
      <c r="L1427" s="1454">
        <v>13121011622</v>
      </c>
      <c r="M1427" s="1455">
        <v>1</v>
      </c>
      <c r="N1427" s="1455">
        <v>1</v>
      </c>
      <c r="O1427" s="1456">
        <v>2</v>
      </c>
      <c r="AA1427"/>
      <c r="AB1427"/>
    </row>
    <row r="1428" spans="3:28">
      <c r="C1428" s="1461" t="s">
        <v>5210</v>
      </c>
      <c r="D1428" s="1458">
        <v>1</v>
      </c>
      <c r="E1428" s="1458">
        <v>1</v>
      </c>
      <c r="F1428" s="1459">
        <v>2</v>
      </c>
      <c r="G1428" s="1470" t="s">
        <v>5210</v>
      </c>
      <c r="H1428" s="1456">
        <v>1</v>
      </c>
      <c r="I1428" s="1456">
        <v>1</v>
      </c>
      <c r="J1428" s="1471">
        <v>2</v>
      </c>
      <c r="K1428" s="1460"/>
      <c r="L1428" s="1454">
        <v>13121011623</v>
      </c>
      <c r="M1428" s="1455">
        <v>1</v>
      </c>
      <c r="N1428" s="1455">
        <v>1</v>
      </c>
      <c r="O1428" s="1456">
        <v>2</v>
      </c>
      <c r="AA1428"/>
      <c r="AB1428"/>
    </row>
    <row r="1429" spans="3:28">
      <c r="C1429" s="1461" t="s">
        <v>5211</v>
      </c>
      <c r="D1429" s="1458">
        <v>1</v>
      </c>
      <c r="E1429" s="1458">
        <v>1</v>
      </c>
      <c r="F1429" s="1459">
        <v>2</v>
      </c>
      <c r="G1429" s="1470" t="s">
        <v>5211</v>
      </c>
      <c r="H1429" s="1456">
        <v>1</v>
      </c>
      <c r="I1429" s="1456" t="s">
        <v>3906</v>
      </c>
      <c r="J1429" s="1471">
        <v>1</v>
      </c>
      <c r="K1429" s="1460"/>
      <c r="L1429" s="1454">
        <v>13121011624</v>
      </c>
      <c r="M1429" s="1455">
        <v>1</v>
      </c>
      <c r="N1429" s="1455">
        <v>1</v>
      </c>
      <c r="O1429" s="1456">
        <v>2</v>
      </c>
      <c r="AA1429"/>
      <c r="AB1429"/>
    </row>
    <row r="1430" spans="3:28">
      <c r="C1430" s="1461" t="s">
        <v>5212</v>
      </c>
      <c r="D1430" s="1458">
        <v>1</v>
      </c>
      <c r="E1430" s="1458">
        <v>1</v>
      </c>
      <c r="F1430" s="1459">
        <v>2</v>
      </c>
      <c r="G1430" s="1470" t="s">
        <v>5212</v>
      </c>
      <c r="H1430" s="1456">
        <v>1</v>
      </c>
      <c r="I1430" s="1456">
        <v>1</v>
      </c>
      <c r="J1430" s="1471">
        <v>2</v>
      </c>
      <c r="K1430" s="1460"/>
      <c r="L1430" s="1454">
        <v>13121011625</v>
      </c>
      <c r="M1430" s="1455">
        <v>1</v>
      </c>
      <c r="N1430" s="1455">
        <v>1</v>
      </c>
      <c r="O1430" s="1456">
        <v>2</v>
      </c>
      <c r="AA1430"/>
      <c r="AB1430"/>
    </row>
    <row r="1431" spans="3:28">
      <c r="C1431" s="1461" t="s">
        <v>5213</v>
      </c>
      <c r="D1431" s="1458">
        <v>1</v>
      </c>
      <c r="E1431" s="1458">
        <v>1</v>
      </c>
      <c r="F1431" s="1459">
        <v>2</v>
      </c>
      <c r="G1431" s="1470" t="s">
        <v>5213</v>
      </c>
      <c r="H1431" s="1456">
        <v>1</v>
      </c>
      <c r="I1431" s="1456">
        <v>1</v>
      </c>
      <c r="J1431" s="1471">
        <v>2</v>
      </c>
      <c r="K1431" s="1460"/>
      <c r="L1431" s="1454">
        <v>13121011626</v>
      </c>
      <c r="M1431" s="1455">
        <v>1</v>
      </c>
      <c r="N1431" s="1455">
        <v>1</v>
      </c>
      <c r="O1431" s="1456">
        <v>2</v>
      </c>
      <c r="AA1431"/>
      <c r="AB1431"/>
    </row>
    <row r="1432" spans="3:28">
      <c r="C1432" s="1461" t="s">
        <v>5214</v>
      </c>
      <c r="D1432" s="1458">
        <v>0</v>
      </c>
      <c r="E1432" s="1458">
        <v>0</v>
      </c>
      <c r="F1432" s="1459">
        <v>0</v>
      </c>
      <c r="G1432" s="1470" t="s">
        <v>5214</v>
      </c>
      <c r="H1432" s="1456">
        <v>0</v>
      </c>
      <c r="I1432" s="1456">
        <v>0</v>
      </c>
      <c r="J1432" s="1471">
        <v>0</v>
      </c>
      <c r="K1432" s="1460"/>
      <c r="L1432" s="1454">
        <v>13121011800</v>
      </c>
      <c r="M1432" s="1455">
        <v>0</v>
      </c>
      <c r="N1432" s="1455">
        <v>0</v>
      </c>
      <c r="O1432" s="1456">
        <v>0</v>
      </c>
      <c r="AA1432"/>
      <c r="AB1432"/>
    </row>
    <row r="1433" spans="3:28">
      <c r="C1433" s="1461" t="s">
        <v>5215</v>
      </c>
      <c r="D1433" s="1458">
        <v>0</v>
      </c>
      <c r="E1433" s="1458">
        <v>0</v>
      </c>
      <c r="F1433" s="1459">
        <v>0</v>
      </c>
      <c r="G1433" s="1470" t="s">
        <v>5215</v>
      </c>
      <c r="H1433" s="1456">
        <v>0</v>
      </c>
      <c r="I1433" s="1456" t="s">
        <v>3906</v>
      </c>
      <c r="J1433" s="1471">
        <v>0</v>
      </c>
      <c r="K1433" s="1460"/>
      <c r="L1433" s="1454">
        <v>13121011900</v>
      </c>
      <c r="M1433" s="1455">
        <v>0</v>
      </c>
      <c r="N1433" s="1455">
        <v>0</v>
      </c>
      <c r="O1433" s="1456">
        <v>0</v>
      </c>
      <c r="AA1433"/>
      <c r="AB1433"/>
    </row>
    <row r="1434" spans="3:28">
      <c r="C1434" s="1461" t="s">
        <v>5216</v>
      </c>
      <c r="D1434" s="1458">
        <v>0</v>
      </c>
      <c r="E1434" s="1458">
        <v>0</v>
      </c>
      <c r="F1434" s="1459">
        <v>0</v>
      </c>
      <c r="G1434" s="1470" t="s">
        <v>5216</v>
      </c>
      <c r="H1434" s="1456">
        <v>0</v>
      </c>
      <c r="I1434" s="1456">
        <v>0</v>
      </c>
      <c r="J1434" s="1471">
        <v>0</v>
      </c>
      <c r="K1434" s="1460"/>
      <c r="L1434" s="1454">
        <v>13121012000</v>
      </c>
      <c r="M1434" s="1455">
        <v>0</v>
      </c>
      <c r="N1434" s="1455">
        <v>0</v>
      </c>
      <c r="O1434" s="1456">
        <v>0</v>
      </c>
      <c r="AA1434"/>
      <c r="AB1434"/>
    </row>
    <row r="1435" spans="3:28">
      <c r="C1435" s="1461" t="s">
        <v>5217</v>
      </c>
      <c r="D1435" s="1458">
        <v>1</v>
      </c>
      <c r="E1435" s="1458">
        <v>0</v>
      </c>
      <c r="F1435" s="1459">
        <v>1</v>
      </c>
      <c r="G1435" s="1470" t="s">
        <v>5217</v>
      </c>
      <c r="H1435" s="1456">
        <v>1</v>
      </c>
      <c r="I1435" s="1456">
        <v>0</v>
      </c>
      <c r="J1435" s="1471">
        <v>1</v>
      </c>
      <c r="K1435" s="1460"/>
      <c r="L1435" s="1454">
        <v>13121012300</v>
      </c>
      <c r="M1435" s="1455">
        <v>1</v>
      </c>
      <c r="N1435" s="1455">
        <v>0</v>
      </c>
      <c r="O1435" s="1456">
        <v>1</v>
      </c>
      <c r="AA1435"/>
      <c r="AB1435"/>
    </row>
    <row r="1436" spans="3:28">
      <c r="C1436" s="1461" t="s">
        <v>5218</v>
      </c>
      <c r="D1436" s="1458" t="s">
        <v>3906</v>
      </c>
      <c r="E1436" s="1458" t="s">
        <v>3906</v>
      </c>
      <c r="F1436" s="1459">
        <v>0</v>
      </c>
      <c r="G1436" s="1470" t="s">
        <v>5218</v>
      </c>
      <c r="H1436" s="1456" t="s">
        <v>3906</v>
      </c>
      <c r="I1436" s="1456" t="s">
        <v>3906</v>
      </c>
      <c r="J1436" s="1471">
        <v>0</v>
      </c>
      <c r="K1436" s="1460"/>
      <c r="L1436" s="1454">
        <v>13121980000</v>
      </c>
      <c r="M1436" s="1455">
        <v>0</v>
      </c>
      <c r="N1436" s="1455">
        <v>0</v>
      </c>
      <c r="O1436" s="1456">
        <v>0</v>
      </c>
      <c r="AA1436"/>
      <c r="AB1436"/>
    </row>
    <row r="1437" spans="3:28">
      <c r="C1437" s="1461" t="s">
        <v>5219</v>
      </c>
      <c r="D1437" s="1458">
        <v>0</v>
      </c>
      <c r="E1437" s="1458">
        <v>0</v>
      </c>
      <c r="F1437" s="1459">
        <v>0</v>
      </c>
      <c r="G1437" s="1470" t="s">
        <v>5219</v>
      </c>
      <c r="H1437" s="1456">
        <v>0</v>
      </c>
      <c r="I1437" s="1456">
        <v>1</v>
      </c>
      <c r="J1437" s="1471">
        <v>1</v>
      </c>
      <c r="K1437" s="1460"/>
      <c r="L1437" s="1454">
        <v>13123080100</v>
      </c>
      <c r="M1437" s="1455">
        <v>0</v>
      </c>
      <c r="N1437" s="1455">
        <v>1</v>
      </c>
      <c r="O1437" s="1456">
        <v>1</v>
      </c>
      <c r="AA1437"/>
      <c r="AB1437"/>
    </row>
    <row r="1438" spans="3:28">
      <c r="C1438" s="1461" t="s">
        <v>5220</v>
      </c>
      <c r="D1438" s="1458">
        <v>0</v>
      </c>
      <c r="E1438" s="1458">
        <v>0</v>
      </c>
      <c r="F1438" s="1459">
        <v>0</v>
      </c>
      <c r="G1438" s="1470" t="s">
        <v>5220</v>
      </c>
      <c r="H1438" s="1456">
        <v>0</v>
      </c>
      <c r="I1438" s="1456">
        <v>0</v>
      </c>
      <c r="J1438" s="1471">
        <v>0</v>
      </c>
      <c r="K1438" s="1460"/>
      <c r="L1438" s="1454">
        <v>13123080200</v>
      </c>
      <c r="M1438" s="1455">
        <v>0</v>
      </c>
      <c r="N1438" s="1455">
        <v>0</v>
      </c>
      <c r="O1438" s="1456">
        <v>0</v>
      </c>
      <c r="AA1438"/>
      <c r="AB1438"/>
    </row>
    <row r="1439" spans="3:28">
      <c r="C1439" s="1461" t="s">
        <v>5221</v>
      </c>
      <c r="D1439" s="1458">
        <v>0</v>
      </c>
      <c r="E1439" s="1458">
        <v>0</v>
      </c>
      <c r="F1439" s="1459">
        <v>0</v>
      </c>
      <c r="G1439" s="1470" t="s">
        <v>5221</v>
      </c>
      <c r="H1439" s="1456">
        <v>0</v>
      </c>
      <c r="I1439" s="1456">
        <v>0</v>
      </c>
      <c r="J1439" s="1471">
        <v>0</v>
      </c>
      <c r="K1439" s="1460"/>
      <c r="L1439" s="1454">
        <v>13123080300</v>
      </c>
      <c r="M1439" s="1455">
        <v>0</v>
      </c>
      <c r="N1439" s="1455">
        <v>0</v>
      </c>
      <c r="O1439" s="1456">
        <v>0</v>
      </c>
      <c r="AA1439"/>
      <c r="AB1439"/>
    </row>
    <row r="1440" spans="3:28">
      <c r="C1440" s="1461" t="s">
        <v>5222</v>
      </c>
      <c r="D1440" s="1458">
        <v>0</v>
      </c>
      <c r="E1440" s="1458">
        <v>0</v>
      </c>
      <c r="F1440" s="1459">
        <v>0</v>
      </c>
      <c r="G1440" s="1470" t="s">
        <v>5222</v>
      </c>
      <c r="H1440" s="1456">
        <v>0</v>
      </c>
      <c r="I1440" s="1456">
        <v>0</v>
      </c>
      <c r="J1440" s="1471">
        <v>0</v>
      </c>
      <c r="K1440" s="1460"/>
      <c r="L1440" s="1454">
        <v>13123080400</v>
      </c>
      <c r="M1440" s="1455">
        <v>0</v>
      </c>
      <c r="N1440" s="1455">
        <v>0</v>
      </c>
      <c r="O1440" s="1456">
        <v>0</v>
      </c>
      <c r="AA1440"/>
      <c r="AB1440"/>
    </row>
    <row r="1441" spans="3:28">
      <c r="C1441" s="1461" t="s">
        <v>5223</v>
      </c>
      <c r="D1441" s="1458">
        <v>0</v>
      </c>
      <c r="E1441" s="1458">
        <v>0</v>
      </c>
      <c r="F1441" s="1459">
        <v>0</v>
      </c>
      <c r="G1441" s="1470" t="s">
        <v>5223</v>
      </c>
      <c r="H1441" s="1456">
        <v>0</v>
      </c>
      <c r="I1441" s="1456">
        <v>1</v>
      </c>
      <c r="J1441" s="1471">
        <v>1</v>
      </c>
      <c r="K1441" s="1460"/>
      <c r="L1441" s="1454">
        <v>13123080500</v>
      </c>
      <c r="M1441" s="1455">
        <v>0</v>
      </c>
      <c r="N1441" s="1455">
        <v>1</v>
      </c>
      <c r="O1441" s="1456">
        <v>1</v>
      </c>
      <c r="AA1441"/>
      <c r="AB1441"/>
    </row>
    <row r="1442" spans="3:28">
      <c r="C1442" s="1461" t="s">
        <v>5224</v>
      </c>
      <c r="D1442" s="1458">
        <v>0</v>
      </c>
      <c r="E1442" s="1458">
        <v>0</v>
      </c>
      <c r="F1442" s="1459">
        <v>0</v>
      </c>
      <c r="G1442" s="1470" t="s">
        <v>5224</v>
      </c>
      <c r="H1442" s="1456">
        <v>0</v>
      </c>
      <c r="I1442" s="1456">
        <v>1</v>
      </c>
      <c r="J1442" s="1471">
        <v>1</v>
      </c>
      <c r="K1442" s="1460"/>
      <c r="L1442" s="1454">
        <v>13125010100</v>
      </c>
      <c r="M1442" s="1455">
        <v>0</v>
      </c>
      <c r="N1442" s="1455">
        <v>1</v>
      </c>
      <c r="O1442" s="1456">
        <v>1</v>
      </c>
      <c r="AA1442"/>
      <c r="AB1442"/>
    </row>
    <row r="1443" spans="3:28">
      <c r="C1443" s="1461" t="s">
        <v>5225</v>
      </c>
      <c r="D1443" s="1458">
        <v>1</v>
      </c>
      <c r="E1443" s="1458">
        <v>1</v>
      </c>
      <c r="F1443" s="1459">
        <v>2</v>
      </c>
      <c r="G1443" s="1470" t="s">
        <v>5225</v>
      </c>
      <c r="H1443" s="1456">
        <v>1</v>
      </c>
      <c r="I1443" s="1456">
        <v>1</v>
      </c>
      <c r="J1443" s="1471">
        <v>2</v>
      </c>
      <c r="K1443" s="1460"/>
      <c r="L1443" s="1454">
        <v>13127000101</v>
      </c>
      <c r="M1443" s="1455">
        <v>1</v>
      </c>
      <c r="N1443" s="1455">
        <v>1</v>
      </c>
      <c r="O1443" s="1456">
        <v>2</v>
      </c>
      <c r="AA1443"/>
      <c r="AB1443"/>
    </row>
    <row r="1444" spans="3:28">
      <c r="C1444" s="1461" t="s">
        <v>5226</v>
      </c>
      <c r="D1444" s="1458">
        <v>1</v>
      </c>
      <c r="E1444" s="1458">
        <v>1</v>
      </c>
      <c r="F1444" s="1459">
        <v>2</v>
      </c>
      <c r="G1444" s="1470" t="s">
        <v>5226</v>
      </c>
      <c r="H1444" s="1456">
        <v>1</v>
      </c>
      <c r="I1444" s="1456">
        <v>1</v>
      </c>
      <c r="J1444" s="1471">
        <v>2</v>
      </c>
      <c r="K1444" s="1460"/>
      <c r="L1444" s="1454">
        <v>13127000102</v>
      </c>
      <c r="M1444" s="1455">
        <v>1</v>
      </c>
      <c r="N1444" s="1455">
        <v>1</v>
      </c>
      <c r="O1444" s="1456">
        <v>2</v>
      </c>
      <c r="AA1444"/>
      <c r="AB1444"/>
    </row>
    <row r="1445" spans="3:28">
      <c r="C1445" s="1461" t="s">
        <v>5227</v>
      </c>
      <c r="D1445" s="1458">
        <v>1</v>
      </c>
      <c r="E1445" s="1458">
        <v>1</v>
      </c>
      <c r="F1445" s="1459">
        <v>2</v>
      </c>
      <c r="G1445" s="1470" t="s">
        <v>5227</v>
      </c>
      <c r="H1445" s="1456">
        <v>1</v>
      </c>
      <c r="I1445" s="1456">
        <v>1</v>
      </c>
      <c r="J1445" s="1471">
        <v>2</v>
      </c>
      <c r="K1445" s="1460"/>
      <c r="L1445" s="1454">
        <v>13127000200</v>
      </c>
      <c r="M1445" s="1455">
        <v>1</v>
      </c>
      <c r="N1445" s="1455">
        <v>1</v>
      </c>
      <c r="O1445" s="1456">
        <v>2</v>
      </c>
      <c r="AA1445"/>
      <c r="AB1445"/>
    </row>
    <row r="1446" spans="3:28">
      <c r="C1446" s="1461" t="s">
        <v>5228</v>
      </c>
      <c r="D1446" s="1458">
        <v>1</v>
      </c>
      <c r="E1446" s="1458">
        <v>1</v>
      </c>
      <c r="F1446" s="1459">
        <v>2</v>
      </c>
      <c r="G1446" s="1470" t="s">
        <v>5228</v>
      </c>
      <c r="H1446" s="1456">
        <v>1</v>
      </c>
      <c r="I1446" s="1456">
        <v>1</v>
      </c>
      <c r="J1446" s="1471">
        <v>2</v>
      </c>
      <c r="K1446" s="1460"/>
      <c r="L1446" s="1454">
        <v>13127000300</v>
      </c>
      <c r="M1446" s="1455">
        <v>1</v>
      </c>
      <c r="N1446" s="1455">
        <v>1</v>
      </c>
      <c r="O1446" s="1456">
        <v>2</v>
      </c>
      <c r="AA1446"/>
      <c r="AB1446"/>
    </row>
    <row r="1447" spans="3:28">
      <c r="C1447" s="1461" t="s">
        <v>5229</v>
      </c>
      <c r="D1447" s="1458">
        <v>1</v>
      </c>
      <c r="E1447" s="1458">
        <v>0</v>
      </c>
      <c r="F1447" s="1459">
        <v>1</v>
      </c>
      <c r="G1447" s="1470" t="s">
        <v>5229</v>
      </c>
      <c r="H1447" s="1456">
        <v>0</v>
      </c>
      <c r="I1447" s="1456">
        <v>0</v>
      </c>
      <c r="J1447" s="1471">
        <v>0</v>
      </c>
      <c r="K1447" s="1460"/>
      <c r="L1447" s="1454">
        <v>13127000401</v>
      </c>
      <c r="M1447" s="1455">
        <v>1</v>
      </c>
      <c r="N1447" s="1455">
        <v>0</v>
      </c>
      <c r="O1447" s="1456">
        <v>1</v>
      </c>
      <c r="AA1447"/>
      <c r="AB1447"/>
    </row>
    <row r="1448" spans="3:28">
      <c r="C1448" s="1461" t="s">
        <v>5230</v>
      </c>
      <c r="D1448" s="1458">
        <v>0</v>
      </c>
      <c r="E1448" s="1458">
        <v>1</v>
      </c>
      <c r="F1448" s="1459">
        <v>1</v>
      </c>
      <c r="G1448" s="1470" t="s">
        <v>5230</v>
      </c>
      <c r="H1448" s="1456">
        <v>0</v>
      </c>
      <c r="I1448" s="1456">
        <v>1</v>
      </c>
      <c r="J1448" s="1471">
        <v>1</v>
      </c>
      <c r="K1448" s="1460"/>
      <c r="L1448" s="1454">
        <v>13127000403</v>
      </c>
      <c r="M1448" s="1455">
        <v>0</v>
      </c>
      <c r="N1448" s="1455">
        <v>1</v>
      </c>
      <c r="O1448" s="1456">
        <v>1</v>
      </c>
      <c r="AA1448"/>
      <c r="AB1448"/>
    </row>
    <row r="1449" spans="3:28">
      <c r="C1449" s="1461" t="s">
        <v>5231</v>
      </c>
      <c r="D1449" s="1458">
        <v>0</v>
      </c>
      <c r="E1449" s="1458">
        <v>1</v>
      </c>
      <c r="F1449" s="1459">
        <v>1</v>
      </c>
      <c r="G1449" s="1470" t="s">
        <v>5231</v>
      </c>
      <c r="H1449" s="1456">
        <v>0</v>
      </c>
      <c r="I1449" s="1456">
        <v>1</v>
      </c>
      <c r="J1449" s="1471">
        <v>1</v>
      </c>
      <c r="K1449" s="1460"/>
      <c r="L1449" s="1454">
        <v>13127000404</v>
      </c>
      <c r="M1449" s="1455">
        <v>0</v>
      </c>
      <c r="N1449" s="1455">
        <v>1</v>
      </c>
      <c r="O1449" s="1456">
        <v>1</v>
      </c>
      <c r="AA1449"/>
      <c r="AB1449"/>
    </row>
    <row r="1450" spans="3:28">
      <c r="C1450" s="1461" t="s">
        <v>5232</v>
      </c>
      <c r="D1450" s="1458">
        <v>0</v>
      </c>
      <c r="E1450" s="1458">
        <v>0</v>
      </c>
      <c r="F1450" s="1459">
        <v>0</v>
      </c>
      <c r="G1450" s="1470" t="s">
        <v>5232</v>
      </c>
      <c r="H1450" s="1456">
        <v>0</v>
      </c>
      <c r="I1450" s="1456">
        <v>0</v>
      </c>
      <c r="J1450" s="1471">
        <v>0</v>
      </c>
      <c r="K1450" s="1460"/>
      <c r="L1450" s="1454">
        <v>13127000501</v>
      </c>
      <c r="M1450" s="1455">
        <v>0</v>
      </c>
      <c r="N1450" s="1455">
        <v>0</v>
      </c>
      <c r="O1450" s="1456">
        <v>0</v>
      </c>
      <c r="AA1450"/>
      <c r="AB1450"/>
    </row>
    <row r="1451" spans="3:28">
      <c r="C1451" s="1461" t="s">
        <v>5233</v>
      </c>
      <c r="D1451" s="1458">
        <v>0</v>
      </c>
      <c r="E1451" s="1458">
        <v>0</v>
      </c>
      <c r="F1451" s="1459">
        <v>0</v>
      </c>
      <c r="G1451" s="1470" t="s">
        <v>5233</v>
      </c>
      <c r="H1451" s="1456">
        <v>0</v>
      </c>
      <c r="I1451" s="1456">
        <v>0</v>
      </c>
      <c r="J1451" s="1471">
        <v>0</v>
      </c>
      <c r="K1451" s="1460"/>
      <c r="L1451" s="1454">
        <v>13127000503</v>
      </c>
      <c r="M1451" s="1455">
        <v>0</v>
      </c>
      <c r="N1451" s="1455">
        <v>0</v>
      </c>
      <c r="O1451" s="1456">
        <v>0</v>
      </c>
      <c r="AA1451"/>
      <c r="AB1451"/>
    </row>
    <row r="1452" spans="3:28">
      <c r="C1452" s="1461" t="s">
        <v>5234</v>
      </c>
      <c r="D1452" s="1458">
        <v>0</v>
      </c>
      <c r="E1452" s="1458">
        <v>0</v>
      </c>
      <c r="F1452" s="1459">
        <v>0</v>
      </c>
      <c r="G1452" s="1470" t="s">
        <v>5234</v>
      </c>
      <c r="H1452" s="1456">
        <v>0</v>
      </c>
      <c r="I1452" s="1456">
        <v>0</v>
      </c>
      <c r="J1452" s="1471">
        <v>0</v>
      </c>
      <c r="K1452" s="1460"/>
      <c r="L1452" s="1454">
        <v>13127000504</v>
      </c>
      <c r="M1452" s="1455">
        <v>0</v>
      </c>
      <c r="N1452" s="1455">
        <v>0</v>
      </c>
      <c r="O1452" s="1456">
        <v>0</v>
      </c>
      <c r="AA1452"/>
      <c r="AB1452"/>
    </row>
    <row r="1453" spans="3:28">
      <c r="C1453" s="1461" t="s">
        <v>5235</v>
      </c>
      <c r="D1453" s="1458">
        <v>0</v>
      </c>
      <c r="E1453" s="1458">
        <v>0</v>
      </c>
      <c r="F1453" s="1459">
        <v>0</v>
      </c>
      <c r="G1453" s="1470" t="s">
        <v>5235</v>
      </c>
      <c r="H1453" s="1456">
        <v>0</v>
      </c>
      <c r="I1453" s="1456">
        <v>0</v>
      </c>
      <c r="J1453" s="1471">
        <v>0</v>
      </c>
      <c r="K1453" s="1460"/>
      <c r="L1453" s="1454">
        <v>13127000600</v>
      </c>
      <c r="M1453" s="1455">
        <v>0</v>
      </c>
      <c r="N1453" s="1455">
        <v>0</v>
      </c>
      <c r="O1453" s="1456">
        <v>0</v>
      </c>
      <c r="AA1453"/>
      <c r="AB1453"/>
    </row>
    <row r="1454" spans="3:28">
      <c r="C1454" s="1461" t="s">
        <v>5236</v>
      </c>
      <c r="D1454" s="1458">
        <v>0</v>
      </c>
      <c r="E1454" s="1458">
        <v>0</v>
      </c>
      <c r="F1454" s="1459">
        <v>0</v>
      </c>
      <c r="G1454" s="1470" t="s">
        <v>5236</v>
      </c>
      <c r="H1454" s="1456">
        <v>0</v>
      </c>
      <c r="I1454" s="1456">
        <v>0</v>
      </c>
      <c r="J1454" s="1471">
        <v>0</v>
      </c>
      <c r="K1454" s="1460"/>
      <c r="L1454" s="1454">
        <v>13127000700</v>
      </c>
      <c r="M1454" s="1455">
        <v>0</v>
      </c>
      <c r="N1454" s="1455">
        <v>0</v>
      </c>
      <c r="O1454" s="1456">
        <v>0</v>
      </c>
      <c r="AA1454"/>
      <c r="AB1454"/>
    </row>
    <row r="1455" spans="3:28">
      <c r="C1455" s="1461" t="s">
        <v>5237</v>
      </c>
      <c r="D1455" s="1458">
        <v>0</v>
      </c>
      <c r="E1455" s="1458">
        <v>0</v>
      </c>
      <c r="F1455" s="1459">
        <v>0</v>
      </c>
      <c r="G1455" s="1470" t="s">
        <v>5237</v>
      </c>
      <c r="H1455" s="1456">
        <v>0</v>
      </c>
      <c r="I1455" s="1456">
        <v>0</v>
      </c>
      <c r="J1455" s="1471">
        <v>0</v>
      </c>
      <c r="K1455" s="1460"/>
      <c r="L1455" s="1454">
        <v>13127000800</v>
      </c>
      <c r="M1455" s="1455">
        <v>0</v>
      </c>
      <c r="N1455" s="1455">
        <v>0</v>
      </c>
      <c r="O1455" s="1456">
        <v>0</v>
      </c>
      <c r="AA1455"/>
      <c r="AB1455"/>
    </row>
    <row r="1456" spans="3:28">
      <c r="C1456" s="1461" t="s">
        <v>5238</v>
      </c>
      <c r="D1456" s="1458">
        <v>0</v>
      </c>
      <c r="E1456" s="1458">
        <v>0</v>
      </c>
      <c r="F1456" s="1459">
        <v>0</v>
      </c>
      <c r="G1456" s="1470" t="s">
        <v>5238</v>
      </c>
      <c r="H1456" s="1456">
        <v>0</v>
      </c>
      <c r="I1456" s="1456">
        <v>0</v>
      </c>
      <c r="J1456" s="1471">
        <v>0</v>
      </c>
      <c r="K1456" s="1460"/>
      <c r="L1456" s="1454">
        <v>13127000900</v>
      </c>
      <c r="M1456" s="1455">
        <v>0</v>
      </c>
      <c r="N1456" s="1455">
        <v>0</v>
      </c>
      <c r="O1456" s="1456">
        <v>0</v>
      </c>
      <c r="AA1456"/>
      <c r="AB1456"/>
    </row>
    <row r="1457" spans="3:28">
      <c r="C1457" s="1461" t="s">
        <v>5239</v>
      </c>
      <c r="D1457" s="1458">
        <v>1</v>
      </c>
      <c r="E1457" s="1458">
        <v>1</v>
      </c>
      <c r="F1457" s="1459">
        <v>2</v>
      </c>
      <c r="G1457" s="1470" t="s">
        <v>5239</v>
      </c>
      <c r="H1457" s="1456">
        <v>1</v>
      </c>
      <c r="I1457" s="1456">
        <v>0</v>
      </c>
      <c r="J1457" s="1471">
        <v>1</v>
      </c>
      <c r="K1457" s="1460"/>
      <c r="L1457" s="1454">
        <v>13127001000</v>
      </c>
      <c r="M1457" s="1455">
        <v>1</v>
      </c>
      <c r="N1457" s="1455">
        <v>1</v>
      </c>
      <c r="O1457" s="1456">
        <v>2</v>
      </c>
      <c r="AA1457"/>
      <c r="AB1457"/>
    </row>
    <row r="1458" spans="3:28">
      <c r="C1458" s="1461" t="s">
        <v>5240</v>
      </c>
      <c r="D1458" s="1458" t="s">
        <v>3906</v>
      </c>
      <c r="E1458" s="1458" t="s">
        <v>3906</v>
      </c>
      <c r="F1458" s="1459">
        <v>0</v>
      </c>
      <c r="G1458" s="1470" t="s">
        <v>5240</v>
      </c>
      <c r="H1458" s="1456" t="s">
        <v>3906</v>
      </c>
      <c r="I1458" s="1456" t="s">
        <v>3906</v>
      </c>
      <c r="J1458" s="1471">
        <v>0</v>
      </c>
      <c r="K1458" s="1460"/>
      <c r="L1458" s="1454">
        <v>13127990000</v>
      </c>
      <c r="M1458" s="1455">
        <v>0</v>
      </c>
      <c r="N1458" s="1455">
        <v>0</v>
      </c>
      <c r="O1458" s="1456">
        <v>0</v>
      </c>
      <c r="AA1458"/>
      <c r="AB1458"/>
    </row>
    <row r="1459" spans="3:28">
      <c r="C1459" s="1461" t="s">
        <v>5241</v>
      </c>
      <c r="D1459" s="1458">
        <v>0</v>
      </c>
      <c r="E1459" s="1458">
        <v>0</v>
      </c>
      <c r="F1459" s="1459">
        <v>0</v>
      </c>
      <c r="G1459" s="1470" t="s">
        <v>5241</v>
      </c>
      <c r="H1459" s="1456">
        <v>0</v>
      </c>
      <c r="I1459" s="1456">
        <v>0</v>
      </c>
      <c r="J1459" s="1471">
        <v>0</v>
      </c>
      <c r="K1459" s="1460"/>
      <c r="L1459" s="1454">
        <v>13129970100</v>
      </c>
      <c r="M1459" s="1455">
        <v>0</v>
      </c>
      <c r="N1459" s="1455">
        <v>0</v>
      </c>
      <c r="O1459" s="1456">
        <v>0</v>
      </c>
      <c r="AA1459"/>
      <c r="AB1459"/>
    </row>
    <row r="1460" spans="3:28">
      <c r="C1460" s="1461" t="s">
        <v>5242</v>
      </c>
      <c r="D1460" s="1458">
        <v>0</v>
      </c>
      <c r="E1460" s="1458">
        <v>0</v>
      </c>
      <c r="F1460" s="1459">
        <v>0</v>
      </c>
      <c r="G1460" s="1470" t="s">
        <v>5242</v>
      </c>
      <c r="H1460" s="1456">
        <v>0</v>
      </c>
      <c r="I1460" s="1456">
        <v>0</v>
      </c>
      <c r="J1460" s="1471">
        <v>0</v>
      </c>
      <c r="K1460" s="1460"/>
      <c r="L1460" s="1454">
        <v>13129970200</v>
      </c>
      <c r="M1460" s="1455">
        <v>0</v>
      </c>
      <c r="N1460" s="1455">
        <v>0</v>
      </c>
      <c r="O1460" s="1456">
        <v>0</v>
      </c>
      <c r="AA1460"/>
      <c r="AB1460"/>
    </row>
    <row r="1461" spans="3:28">
      <c r="C1461" s="1461" t="s">
        <v>5243</v>
      </c>
      <c r="D1461" s="1458">
        <v>0</v>
      </c>
      <c r="E1461" s="1458">
        <v>0</v>
      </c>
      <c r="F1461" s="1459">
        <v>0</v>
      </c>
      <c r="G1461" s="1470" t="s">
        <v>5243</v>
      </c>
      <c r="H1461" s="1456">
        <v>0</v>
      </c>
      <c r="I1461" s="1456">
        <v>0</v>
      </c>
      <c r="J1461" s="1471">
        <v>0</v>
      </c>
      <c r="K1461" s="1460"/>
      <c r="L1461" s="1454">
        <v>13129970300</v>
      </c>
      <c r="M1461" s="1455">
        <v>0</v>
      </c>
      <c r="N1461" s="1455">
        <v>0</v>
      </c>
      <c r="O1461" s="1456">
        <v>0</v>
      </c>
      <c r="AA1461"/>
      <c r="AB1461"/>
    </row>
    <row r="1462" spans="3:28">
      <c r="C1462" s="1461" t="s">
        <v>5244</v>
      </c>
      <c r="D1462" s="1458">
        <v>0</v>
      </c>
      <c r="E1462" s="1458">
        <v>0</v>
      </c>
      <c r="F1462" s="1459">
        <v>0</v>
      </c>
      <c r="G1462" s="1470" t="s">
        <v>5244</v>
      </c>
      <c r="H1462" s="1456">
        <v>0</v>
      </c>
      <c r="I1462" s="1456">
        <v>0</v>
      </c>
      <c r="J1462" s="1471">
        <v>0</v>
      </c>
      <c r="K1462" s="1460"/>
      <c r="L1462" s="1454">
        <v>13129970400</v>
      </c>
      <c r="M1462" s="1455">
        <v>0</v>
      </c>
      <c r="N1462" s="1455">
        <v>0</v>
      </c>
      <c r="O1462" s="1456">
        <v>0</v>
      </c>
      <c r="AA1462"/>
      <c r="AB1462"/>
    </row>
    <row r="1463" spans="3:28">
      <c r="C1463" s="1461" t="s">
        <v>5245</v>
      </c>
      <c r="D1463" s="1458">
        <v>0</v>
      </c>
      <c r="E1463" s="1458">
        <v>0</v>
      </c>
      <c r="F1463" s="1459">
        <v>0</v>
      </c>
      <c r="G1463" s="1470" t="s">
        <v>5245</v>
      </c>
      <c r="H1463" s="1456">
        <v>0</v>
      </c>
      <c r="I1463" s="1456">
        <v>0</v>
      </c>
      <c r="J1463" s="1471">
        <v>0</v>
      </c>
      <c r="K1463" s="1460"/>
      <c r="L1463" s="1454">
        <v>13129970500</v>
      </c>
      <c r="M1463" s="1455">
        <v>0</v>
      </c>
      <c r="N1463" s="1455">
        <v>0</v>
      </c>
      <c r="O1463" s="1456">
        <v>0</v>
      </c>
      <c r="AA1463"/>
      <c r="AB1463"/>
    </row>
    <row r="1464" spans="3:28">
      <c r="C1464" s="1461" t="s">
        <v>5246</v>
      </c>
      <c r="D1464" s="1458">
        <v>0</v>
      </c>
      <c r="E1464" s="1458">
        <v>0</v>
      </c>
      <c r="F1464" s="1459">
        <v>0</v>
      </c>
      <c r="G1464" s="1470" t="s">
        <v>5246</v>
      </c>
      <c r="H1464" s="1456">
        <v>0</v>
      </c>
      <c r="I1464" s="1456">
        <v>0</v>
      </c>
      <c r="J1464" s="1471">
        <v>0</v>
      </c>
      <c r="K1464" s="1460"/>
      <c r="L1464" s="1454">
        <v>13129970600</v>
      </c>
      <c r="M1464" s="1455">
        <v>0</v>
      </c>
      <c r="N1464" s="1455">
        <v>0</v>
      </c>
      <c r="O1464" s="1456">
        <v>0</v>
      </c>
      <c r="AA1464"/>
      <c r="AB1464"/>
    </row>
    <row r="1465" spans="3:28">
      <c r="C1465" s="1461" t="s">
        <v>5247</v>
      </c>
      <c r="D1465" s="1458">
        <v>0</v>
      </c>
      <c r="E1465" s="1458">
        <v>0</v>
      </c>
      <c r="F1465" s="1459">
        <v>0</v>
      </c>
      <c r="G1465" s="1470" t="s">
        <v>5247</v>
      </c>
      <c r="H1465" s="1456">
        <v>0</v>
      </c>
      <c r="I1465" s="1456">
        <v>0</v>
      </c>
      <c r="J1465" s="1471">
        <v>0</v>
      </c>
      <c r="K1465" s="1460"/>
      <c r="L1465" s="1454">
        <v>13129970700</v>
      </c>
      <c r="M1465" s="1455">
        <v>0</v>
      </c>
      <c r="N1465" s="1455">
        <v>0</v>
      </c>
      <c r="O1465" s="1456">
        <v>0</v>
      </c>
      <c r="AA1465"/>
      <c r="AB1465"/>
    </row>
    <row r="1466" spans="3:28">
      <c r="C1466" s="1461" t="s">
        <v>5248</v>
      </c>
      <c r="D1466" s="1458">
        <v>1</v>
      </c>
      <c r="E1466" s="1458">
        <v>1</v>
      </c>
      <c r="F1466" s="1459">
        <v>2</v>
      </c>
      <c r="G1466" s="1470" t="s">
        <v>5248</v>
      </c>
      <c r="H1466" s="1456">
        <v>1</v>
      </c>
      <c r="I1466" s="1456">
        <v>1</v>
      </c>
      <c r="J1466" s="1471">
        <v>2</v>
      </c>
      <c r="K1466" s="1460"/>
      <c r="L1466" s="1454">
        <v>13129970800</v>
      </c>
      <c r="M1466" s="1455">
        <v>1</v>
      </c>
      <c r="N1466" s="1455">
        <v>1</v>
      </c>
      <c r="O1466" s="1456">
        <v>2</v>
      </c>
      <c r="AA1466"/>
      <c r="AB1466"/>
    </row>
    <row r="1467" spans="3:28">
      <c r="C1467" s="1461" t="s">
        <v>5249</v>
      </c>
      <c r="D1467" s="1458">
        <v>1</v>
      </c>
      <c r="E1467" s="1458">
        <v>0</v>
      </c>
      <c r="F1467" s="1459">
        <v>1</v>
      </c>
      <c r="G1467" s="1470" t="s">
        <v>5249</v>
      </c>
      <c r="H1467" s="1456">
        <v>1</v>
      </c>
      <c r="I1467" s="1456">
        <v>1</v>
      </c>
      <c r="J1467" s="1471">
        <v>2</v>
      </c>
      <c r="K1467" s="1460"/>
      <c r="L1467" s="1454">
        <v>13129970900</v>
      </c>
      <c r="M1467" s="1455">
        <v>1</v>
      </c>
      <c r="N1467" s="1455">
        <v>1</v>
      </c>
      <c r="O1467" s="1456">
        <v>2</v>
      </c>
      <c r="AA1467"/>
      <c r="AB1467"/>
    </row>
    <row r="1468" spans="3:28">
      <c r="C1468" s="1461" t="s">
        <v>5250</v>
      </c>
      <c r="D1468" s="1458">
        <v>0</v>
      </c>
      <c r="E1468" s="1458">
        <v>0</v>
      </c>
      <c r="F1468" s="1459">
        <v>0</v>
      </c>
      <c r="G1468" s="1470" t="s">
        <v>5250</v>
      </c>
      <c r="H1468" s="1456">
        <v>0</v>
      </c>
      <c r="I1468" s="1456">
        <v>1</v>
      </c>
      <c r="J1468" s="1471">
        <v>1</v>
      </c>
      <c r="K1468" s="1460"/>
      <c r="L1468" s="1454">
        <v>13131950100</v>
      </c>
      <c r="M1468" s="1455">
        <v>0</v>
      </c>
      <c r="N1468" s="1455">
        <v>1</v>
      </c>
      <c r="O1468" s="1456">
        <v>1</v>
      </c>
      <c r="AA1468"/>
      <c r="AB1468"/>
    </row>
    <row r="1469" spans="3:28">
      <c r="C1469" s="1461" t="s">
        <v>5251</v>
      </c>
      <c r="D1469" s="1458">
        <v>0</v>
      </c>
      <c r="E1469" s="1458">
        <v>0</v>
      </c>
      <c r="F1469" s="1459">
        <v>0</v>
      </c>
      <c r="G1469" s="1470" t="s">
        <v>5251</v>
      </c>
      <c r="H1469" s="1456">
        <v>0</v>
      </c>
      <c r="I1469" s="1456">
        <v>0</v>
      </c>
      <c r="J1469" s="1471">
        <v>0</v>
      </c>
      <c r="K1469" s="1460"/>
      <c r="L1469" s="1454">
        <v>13131950200</v>
      </c>
      <c r="M1469" s="1455">
        <v>0</v>
      </c>
      <c r="N1469" s="1455">
        <v>0</v>
      </c>
      <c r="O1469" s="1456">
        <v>0</v>
      </c>
      <c r="AA1469"/>
      <c r="AB1469"/>
    </row>
    <row r="1470" spans="3:28">
      <c r="C1470" s="1461" t="s">
        <v>5252</v>
      </c>
      <c r="D1470" s="1458">
        <v>0</v>
      </c>
      <c r="E1470" s="1458">
        <v>0</v>
      </c>
      <c r="F1470" s="1459">
        <v>0</v>
      </c>
      <c r="G1470" s="1470" t="s">
        <v>5252</v>
      </c>
      <c r="H1470" s="1456">
        <v>0</v>
      </c>
      <c r="I1470" s="1456">
        <v>0</v>
      </c>
      <c r="J1470" s="1471">
        <v>0</v>
      </c>
      <c r="K1470" s="1460"/>
      <c r="L1470" s="1454">
        <v>13131950300</v>
      </c>
      <c r="M1470" s="1455">
        <v>0</v>
      </c>
      <c r="N1470" s="1455">
        <v>0</v>
      </c>
      <c r="O1470" s="1456">
        <v>0</v>
      </c>
      <c r="AA1470"/>
      <c r="AB1470"/>
    </row>
    <row r="1471" spans="3:28">
      <c r="C1471" s="1461" t="s">
        <v>5253</v>
      </c>
      <c r="D1471" s="1458">
        <v>0</v>
      </c>
      <c r="E1471" s="1458">
        <v>0</v>
      </c>
      <c r="F1471" s="1459">
        <v>0</v>
      </c>
      <c r="G1471" s="1470" t="s">
        <v>5253</v>
      </c>
      <c r="H1471" s="1456">
        <v>0</v>
      </c>
      <c r="I1471" s="1456">
        <v>0</v>
      </c>
      <c r="J1471" s="1471">
        <v>0</v>
      </c>
      <c r="K1471" s="1460"/>
      <c r="L1471" s="1454">
        <v>13131950400</v>
      </c>
      <c r="M1471" s="1455">
        <v>0</v>
      </c>
      <c r="N1471" s="1455">
        <v>0</v>
      </c>
      <c r="O1471" s="1456">
        <v>0</v>
      </c>
      <c r="AA1471"/>
      <c r="AB1471"/>
    </row>
    <row r="1472" spans="3:28">
      <c r="C1472" s="1461" t="s">
        <v>5254</v>
      </c>
      <c r="D1472" s="1458">
        <v>0</v>
      </c>
      <c r="E1472" s="1458">
        <v>0</v>
      </c>
      <c r="F1472" s="1459">
        <v>0</v>
      </c>
      <c r="G1472" s="1470" t="s">
        <v>5254</v>
      </c>
      <c r="H1472" s="1456">
        <v>0</v>
      </c>
      <c r="I1472" s="1456">
        <v>0</v>
      </c>
      <c r="J1472" s="1471">
        <v>0</v>
      </c>
      <c r="K1472" s="1460"/>
      <c r="L1472" s="1454">
        <v>13131950500</v>
      </c>
      <c r="M1472" s="1455">
        <v>0</v>
      </c>
      <c r="N1472" s="1455">
        <v>0</v>
      </c>
      <c r="O1472" s="1456">
        <v>0</v>
      </c>
      <c r="AA1472"/>
      <c r="AB1472"/>
    </row>
    <row r="1473" spans="3:28">
      <c r="C1473" s="1461" t="s">
        <v>5255</v>
      </c>
      <c r="D1473" s="1458">
        <v>1</v>
      </c>
      <c r="E1473" s="1458">
        <v>0</v>
      </c>
      <c r="F1473" s="1459">
        <v>1</v>
      </c>
      <c r="G1473" s="1470" t="s">
        <v>5255</v>
      </c>
      <c r="H1473" s="1456">
        <v>1</v>
      </c>
      <c r="I1473" s="1456">
        <v>1</v>
      </c>
      <c r="J1473" s="1471">
        <v>2</v>
      </c>
      <c r="K1473" s="1460"/>
      <c r="L1473" s="1454">
        <v>13131950600</v>
      </c>
      <c r="M1473" s="1455">
        <v>1</v>
      </c>
      <c r="N1473" s="1455">
        <v>1</v>
      </c>
      <c r="O1473" s="1456">
        <v>2</v>
      </c>
      <c r="AA1473"/>
      <c r="AB1473"/>
    </row>
    <row r="1474" spans="3:28">
      <c r="C1474" s="1461" t="s">
        <v>5256</v>
      </c>
      <c r="D1474" s="1458">
        <v>0</v>
      </c>
      <c r="E1474" s="1458">
        <v>0</v>
      </c>
      <c r="F1474" s="1459">
        <v>0</v>
      </c>
      <c r="G1474" s="1470" t="s">
        <v>5256</v>
      </c>
      <c r="H1474" s="1456">
        <v>0</v>
      </c>
      <c r="I1474" s="1456" t="s">
        <v>3906</v>
      </c>
      <c r="J1474" s="1471">
        <v>0</v>
      </c>
      <c r="K1474" s="1460"/>
      <c r="L1474" s="1454">
        <v>13133950100</v>
      </c>
      <c r="M1474" s="1455">
        <v>0</v>
      </c>
      <c r="N1474" s="1455">
        <v>0</v>
      </c>
      <c r="O1474" s="1456">
        <v>0</v>
      </c>
      <c r="AA1474"/>
      <c r="AB1474"/>
    </row>
    <row r="1475" spans="3:28">
      <c r="C1475" s="1461" t="s">
        <v>5257</v>
      </c>
      <c r="D1475" s="1458">
        <v>0</v>
      </c>
      <c r="E1475" s="1458">
        <v>0</v>
      </c>
      <c r="F1475" s="1459">
        <v>0</v>
      </c>
      <c r="G1475" s="1470" t="s">
        <v>5257</v>
      </c>
      <c r="H1475" s="1456">
        <v>0</v>
      </c>
      <c r="I1475" s="1456">
        <v>0</v>
      </c>
      <c r="J1475" s="1471">
        <v>0</v>
      </c>
      <c r="K1475" s="1460"/>
      <c r="L1475" s="1454">
        <v>13133950200</v>
      </c>
      <c r="M1475" s="1455">
        <v>0</v>
      </c>
      <c r="N1475" s="1455">
        <v>0</v>
      </c>
      <c r="O1475" s="1456">
        <v>0</v>
      </c>
      <c r="AA1475"/>
      <c r="AB1475"/>
    </row>
    <row r="1476" spans="3:28">
      <c r="C1476" s="1461" t="s">
        <v>5258</v>
      </c>
      <c r="D1476" s="1458">
        <v>1</v>
      </c>
      <c r="E1476" s="1458">
        <v>1</v>
      </c>
      <c r="F1476" s="1459">
        <v>2</v>
      </c>
      <c r="G1476" s="1470" t="s">
        <v>5258</v>
      </c>
      <c r="H1476" s="1456">
        <v>1</v>
      </c>
      <c r="I1476" s="1456" t="s">
        <v>3906</v>
      </c>
      <c r="J1476" s="1471">
        <v>1</v>
      </c>
      <c r="K1476" s="1460"/>
      <c r="L1476" s="1454">
        <v>13133950301</v>
      </c>
      <c r="M1476" s="1455">
        <v>1</v>
      </c>
      <c r="N1476" s="1455">
        <v>1</v>
      </c>
      <c r="O1476" s="1456">
        <v>2</v>
      </c>
      <c r="AA1476"/>
      <c r="AB1476"/>
    </row>
    <row r="1477" spans="3:28">
      <c r="C1477" s="1461" t="s">
        <v>5259</v>
      </c>
      <c r="D1477" s="1458">
        <v>1</v>
      </c>
      <c r="E1477" s="1458">
        <v>1</v>
      </c>
      <c r="F1477" s="1459">
        <v>2</v>
      </c>
      <c r="G1477" s="1470" t="s">
        <v>5259</v>
      </c>
      <c r="H1477" s="1456">
        <v>1</v>
      </c>
      <c r="I1477" s="1456">
        <v>1</v>
      </c>
      <c r="J1477" s="1471">
        <v>2</v>
      </c>
      <c r="K1477" s="1460"/>
      <c r="L1477" s="1454">
        <v>13133950302</v>
      </c>
      <c r="M1477" s="1455">
        <v>1</v>
      </c>
      <c r="N1477" s="1455">
        <v>1</v>
      </c>
      <c r="O1477" s="1456">
        <v>2</v>
      </c>
      <c r="AA1477"/>
      <c r="AB1477"/>
    </row>
    <row r="1478" spans="3:28">
      <c r="C1478" s="1461" t="s">
        <v>5260</v>
      </c>
      <c r="D1478" s="1458">
        <v>0</v>
      </c>
      <c r="E1478" s="1458">
        <v>0</v>
      </c>
      <c r="F1478" s="1459">
        <v>0</v>
      </c>
      <c r="G1478" s="1470" t="s">
        <v>5260</v>
      </c>
      <c r="H1478" s="1456">
        <v>0</v>
      </c>
      <c r="I1478" s="1456">
        <v>0</v>
      </c>
      <c r="J1478" s="1471">
        <v>0</v>
      </c>
      <c r="K1478" s="1460"/>
      <c r="L1478" s="1454">
        <v>13133950303</v>
      </c>
      <c r="M1478" s="1455">
        <v>0</v>
      </c>
      <c r="N1478" s="1455">
        <v>0</v>
      </c>
      <c r="O1478" s="1456">
        <v>0</v>
      </c>
      <c r="AA1478"/>
      <c r="AB1478"/>
    </row>
    <row r="1479" spans="3:28">
      <c r="C1479" s="1461" t="s">
        <v>5261</v>
      </c>
      <c r="D1479" s="1458">
        <v>0</v>
      </c>
      <c r="E1479" s="1458">
        <v>0</v>
      </c>
      <c r="F1479" s="1459">
        <v>0</v>
      </c>
      <c r="G1479" s="1470" t="s">
        <v>5261</v>
      </c>
      <c r="H1479" s="1456">
        <v>0</v>
      </c>
      <c r="I1479" s="1456">
        <v>0</v>
      </c>
      <c r="J1479" s="1471">
        <v>0</v>
      </c>
      <c r="K1479" s="1460"/>
      <c r="L1479" s="1454">
        <v>13133950400</v>
      </c>
      <c r="M1479" s="1455">
        <v>0</v>
      </c>
      <c r="N1479" s="1455">
        <v>0</v>
      </c>
      <c r="O1479" s="1456">
        <v>0</v>
      </c>
      <c r="AA1479"/>
      <c r="AB1479"/>
    </row>
    <row r="1480" spans="3:28">
      <c r="C1480" s="1461" t="s">
        <v>5262</v>
      </c>
      <c r="D1480" s="1458">
        <v>1</v>
      </c>
      <c r="E1480" s="1458">
        <v>0</v>
      </c>
      <c r="F1480" s="1459">
        <v>1</v>
      </c>
      <c r="G1480" s="1470" t="s">
        <v>5262</v>
      </c>
      <c r="H1480" s="1456">
        <v>0</v>
      </c>
      <c r="I1480" s="1456">
        <v>0</v>
      </c>
      <c r="J1480" s="1471">
        <v>0</v>
      </c>
      <c r="K1480" s="1460"/>
      <c r="L1480" s="1454">
        <v>13133950500</v>
      </c>
      <c r="M1480" s="1455">
        <v>1</v>
      </c>
      <c r="N1480" s="1455">
        <v>0</v>
      </c>
      <c r="O1480" s="1456">
        <v>1</v>
      </c>
      <c r="AA1480"/>
      <c r="AB1480"/>
    </row>
    <row r="1481" spans="3:28">
      <c r="C1481" s="1461" t="s">
        <v>5263</v>
      </c>
      <c r="D1481" s="1458">
        <v>1</v>
      </c>
      <c r="E1481" s="1458">
        <v>1</v>
      </c>
      <c r="F1481" s="1459">
        <v>2</v>
      </c>
      <c r="G1481" s="1470" t="s">
        <v>5263</v>
      </c>
      <c r="H1481" s="1456">
        <v>1</v>
      </c>
      <c r="I1481" s="1456">
        <v>0</v>
      </c>
      <c r="J1481" s="1471">
        <v>1</v>
      </c>
      <c r="K1481" s="1460"/>
      <c r="L1481" s="1454">
        <v>13135050103</v>
      </c>
      <c r="M1481" s="1455">
        <v>1</v>
      </c>
      <c r="N1481" s="1455">
        <v>1</v>
      </c>
      <c r="O1481" s="1456">
        <v>2</v>
      </c>
      <c r="AA1481"/>
      <c r="AB1481"/>
    </row>
    <row r="1482" spans="3:28">
      <c r="C1482" s="1461" t="s">
        <v>5264</v>
      </c>
      <c r="D1482" s="1458">
        <v>0</v>
      </c>
      <c r="E1482" s="1458">
        <v>0</v>
      </c>
      <c r="F1482" s="1459">
        <v>0</v>
      </c>
      <c r="G1482" s="1470" t="s">
        <v>5264</v>
      </c>
      <c r="H1482" s="1456">
        <v>0</v>
      </c>
      <c r="I1482" s="1456">
        <v>0</v>
      </c>
      <c r="J1482" s="1471">
        <v>0</v>
      </c>
      <c r="K1482" s="1460"/>
      <c r="L1482" s="1454">
        <v>13135050105</v>
      </c>
      <c r="M1482" s="1455">
        <v>0</v>
      </c>
      <c r="N1482" s="1455">
        <v>0</v>
      </c>
      <c r="O1482" s="1456">
        <v>0</v>
      </c>
      <c r="AA1482"/>
      <c r="AB1482"/>
    </row>
    <row r="1483" spans="3:28">
      <c r="C1483" s="1461" t="s">
        <v>5265</v>
      </c>
      <c r="D1483" s="1458">
        <v>1</v>
      </c>
      <c r="E1483" s="1458">
        <v>0</v>
      </c>
      <c r="F1483" s="1459">
        <v>1</v>
      </c>
      <c r="G1483" s="1470" t="s">
        <v>5265</v>
      </c>
      <c r="H1483" s="1456">
        <v>1</v>
      </c>
      <c r="I1483" s="1456">
        <v>0</v>
      </c>
      <c r="J1483" s="1471">
        <v>1</v>
      </c>
      <c r="K1483" s="1460"/>
      <c r="L1483" s="1454">
        <v>13135050106</v>
      </c>
      <c r="M1483" s="1455">
        <v>1</v>
      </c>
      <c r="N1483" s="1455">
        <v>0</v>
      </c>
      <c r="O1483" s="1456">
        <v>1</v>
      </c>
      <c r="AA1483"/>
      <c r="AB1483"/>
    </row>
    <row r="1484" spans="3:28">
      <c r="C1484" s="1461" t="s">
        <v>5266</v>
      </c>
      <c r="D1484" s="1458">
        <v>1</v>
      </c>
      <c r="E1484" s="1458">
        <v>1</v>
      </c>
      <c r="F1484" s="1459">
        <v>2</v>
      </c>
      <c r="G1484" s="1470" t="s">
        <v>5266</v>
      </c>
      <c r="H1484" s="1456">
        <v>1</v>
      </c>
      <c r="I1484" s="1456">
        <v>1</v>
      </c>
      <c r="J1484" s="1471">
        <v>2</v>
      </c>
      <c r="K1484" s="1460"/>
      <c r="L1484" s="1454">
        <v>13135050107</v>
      </c>
      <c r="M1484" s="1455">
        <v>1</v>
      </c>
      <c r="N1484" s="1455">
        <v>1</v>
      </c>
      <c r="O1484" s="1456">
        <v>2</v>
      </c>
      <c r="AA1484"/>
      <c r="AB1484"/>
    </row>
    <row r="1485" spans="3:28">
      <c r="C1485" s="1461" t="s">
        <v>5267</v>
      </c>
      <c r="D1485" s="1458">
        <v>1</v>
      </c>
      <c r="E1485" s="1458">
        <v>1</v>
      </c>
      <c r="F1485" s="1459">
        <v>2</v>
      </c>
      <c r="G1485" s="1470" t="s">
        <v>5267</v>
      </c>
      <c r="H1485" s="1456">
        <v>1</v>
      </c>
      <c r="I1485" s="1456">
        <v>1</v>
      </c>
      <c r="J1485" s="1471">
        <v>2</v>
      </c>
      <c r="K1485" s="1460"/>
      <c r="L1485" s="1454">
        <v>13135050108</v>
      </c>
      <c r="M1485" s="1455">
        <v>1</v>
      </c>
      <c r="N1485" s="1455">
        <v>1</v>
      </c>
      <c r="O1485" s="1456">
        <v>2</v>
      </c>
      <c r="AA1485"/>
      <c r="AB1485"/>
    </row>
    <row r="1486" spans="3:28">
      <c r="C1486" s="1461" t="s">
        <v>5268</v>
      </c>
      <c r="D1486" s="1458">
        <v>1</v>
      </c>
      <c r="E1486" s="1458">
        <v>1</v>
      </c>
      <c r="F1486" s="1459">
        <v>2</v>
      </c>
      <c r="G1486" s="1470" t="s">
        <v>5268</v>
      </c>
      <c r="H1486" s="1456">
        <v>1</v>
      </c>
      <c r="I1486" s="1456">
        <v>0</v>
      </c>
      <c r="J1486" s="1471">
        <v>1</v>
      </c>
      <c r="K1486" s="1460"/>
      <c r="L1486" s="1454">
        <v>13135050109</v>
      </c>
      <c r="M1486" s="1455">
        <v>1</v>
      </c>
      <c r="N1486" s="1455">
        <v>1</v>
      </c>
      <c r="O1486" s="1456">
        <v>2</v>
      </c>
      <c r="AA1486"/>
      <c r="AB1486"/>
    </row>
    <row r="1487" spans="3:28">
      <c r="C1487" s="1461" t="s">
        <v>5269</v>
      </c>
      <c r="D1487" s="1458">
        <v>1</v>
      </c>
      <c r="E1487" s="1458">
        <v>0</v>
      </c>
      <c r="F1487" s="1459">
        <v>1</v>
      </c>
      <c r="G1487" s="1470" t="s">
        <v>5269</v>
      </c>
      <c r="H1487" s="1456">
        <v>1</v>
      </c>
      <c r="I1487" s="1456">
        <v>0</v>
      </c>
      <c r="J1487" s="1471">
        <v>1</v>
      </c>
      <c r="K1487" s="1460"/>
      <c r="L1487" s="1454">
        <v>13135050205</v>
      </c>
      <c r="M1487" s="1455">
        <v>1</v>
      </c>
      <c r="N1487" s="1455">
        <v>0</v>
      </c>
      <c r="O1487" s="1456">
        <v>1</v>
      </c>
      <c r="AA1487"/>
      <c r="AB1487"/>
    </row>
    <row r="1488" spans="3:28">
      <c r="C1488" s="1461" t="s">
        <v>5270</v>
      </c>
      <c r="D1488" s="1458">
        <v>1</v>
      </c>
      <c r="E1488" s="1458">
        <v>1</v>
      </c>
      <c r="F1488" s="1459">
        <v>2</v>
      </c>
      <c r="G1488" s="1470" t="s">
        <v>5270</v>
      </c>
      <c r="H1488" s="1456">
        <v>1</v>
      </c>
      <c r="I1488" s="1456">
        <v>1</v>
      </c>
      <c r="J1488" s="1471">
        <v>2</v>
      </c>
      <c r="K1488" s="1460"/>
      <c r="L1488" s="1454">
        <v>13135050208</v>
      </c>
      <c r="M1488" s="1455">
        <v>1</v>
      </c>
      <c r="N1488" s="1455">
        <v>1</v>
      </c>
      <c r="O1488" s="1456">
        <v>2</v>
      </c>
      <c r="AA1488"/>
      <c r="AB1488"/>
    </row>
    <row r="1489" spans="3:28">
      <c r="C1489" s="1461" t="s">
        <v>5271</v>
      </c>
      <c r="D1489" s="1458">
        <v>0</v>
      </c>
      <c r="E1489" s="1458">
        <v>0</v>
      </c>
      <c r="F1489" s="1459">
        <v>0</v>
      </c>
      <c r="G1489" s="1470" t="s">
        <v>5271</v>
      </c>
      <c r="H1489" s="1456">
        <v>1</v>
      </c>
      <c r="I1489" s="1456">
        <v>0</v>
      </c>
      <c r="J1489" s="1471">
        <v>1</v>
      </c>
      <c r="K1489" s="1460"/>
      <c r="L1489" s="1454">
        <v>13135050209</v>
      </c>
      <c r="M1489" s="1455">
        <v>1</v>
      </c>
      <c r="N1489" s="1455">
        <v>0</v>
      </c>
      <c r="O1489" s="1456">
        <v>1</v>
      </c>
      <c r="AA1489"/>
      <c r="AB1489"/>
    </row>
    <row r="1490" spans="3:28">
      <c r="C1490" s="1461" t="s">
        <v>5272</v>
      </c>
      <c r="D1490" s="1458">
        <v>1</v>
      </c>
      <c r="E1490" s="1458">
        <v>1</v>
      </c>
      <c r="F1490" s="1459">
        <v>2</v>
      </c>
      <c r="G1490" s="1470" t="s">
        <v>5272</v>
      </c>
      <c r="H1490" s="1456">
        <v>1</v>
      </c>
      <c r="I1490" s="1456">
        <v>1</v>
      </c>
      <c r="J1490" s="1471">
        <v>2</v>
      </c>
      <c r="K1490" s="1460"/>
      <c r="L1490" s="1454">
        <v>13135050210</v>
      </c>
      <c r="M1490" s="1455">
        <v>1</v>
      </c>
      <c r="N1490" s="1455">
        <v>1</v>
      </c>
      <c r="O1490" s="1456">
        <v>2</v>
      </c>
      <c r="AA1490"/>
      <c r="AB1490"/>
    </row>
    <row r="1491" spans="3:28">
      <c r="C1491" s="1461" t="s">
        <v>5273</v>
      </c>
      <c r="D1491" s="1458">
        <v>0</v>
      </c>
      <c r="E1491" s="1458">
        <v>0</v>
      </c>
      <c r="F1491" s="1459">
        <v>0</v>
      </c>
      <c r="G1491" s="1470" t="s">
        <v>5273</v>
      </c>
      <c r="H1491" s="1456">
        <v>0</v>
      </c>
      <c r="I1491" s="1456">
        <v>0</v>
      </c>
      <c r="J1491" s="1471">
        <v>0</v>
      </c>
      <c r="K1491" s="1460"/>
      <c r="L1491" s="1454">
        <v>13135050211</v>
      </c>
      <c r="M1491" s="1455">
        <v>0</v>
      </c>
      <c r="N1491" s="1455">
        <v>0</v>
      </c>
      <c r="O1491" s="1456">
        <v>0</v>
      </c>
      <c r="AA1491"/>
      <c r="AB1491"/>
    </row>
    <row r="1492" spans="3:28">
      <c r="C1492" s="1461" t="s">
        <v>5274</v>
      </c>
      <c r="D1492" s="1458">
        <v>1</v>
      </c>
      <c r="E1492" s="1458">
        <v>1</v>
      </c>
      <c r="F1492" s="1459">
        <v>2</v>
      </c>
      <c r="G1492" s="1470" t="s">
        <v>5274</v>
      </c>
      <c r="H1492" s="1456">
        <v>1</v>
      </c>
      <c r="I1492" s="1456">
        <v>1</v>
      </c>
      <c r="J1492" s="1471">
        <v>2</v>
      </c>
      <c r="K1492" s="1460"/>
      <c r="L1492" s="1454">
        <v>13135050212</v>
      </c>
      <c r="M1492" s="1455">
        <v>1</v>
      </c>
      <c r="N1492" s="1455">
        <v>1</v>
      </c>
      <c r="O1492" s="1456">
        <v>2</v>
      </c>
      <c r="AA1492"/>
      <c r="AB1492"/>
    </row>
    <row r="1493" spans="3:28">
      <c r="C1493" s="1461" t="s">
        <v>5275</v>
      </c>
      <c r="D1493" s="1458">
        <v>1</v>
      </c>
      <c r="E1493" s="1458">
        <v>1</v>
      </c>
      <c r="F1493" s="1459">
        <v>2</v>
      </c>
      <c r="G1493" s="1470" t="s">
        <v>5275</v>
      </c>
      <c r="H1493" s="1456">
        <v>1</v>
      </c>
      <c r="I1493" s="1456">
        <v>1</v>
      </c>
      <c r="J1493" s="1471">
        <v>2</v>
      </c>
      <c r="K1493" s="1460"/>
      <c r="L1493" s="1454">
        <v>13135050213</v>
      </c>
      <c r="M1493" s="1455">
        <v>1</v>
      </c>
      <c r="N1493" s="1455">
        <v>1</v>
      </c>
      <c r="O1493" s="1456">
        <v>2</v>
      </c>
      <c r="AA1493"/>
      <c r="AB1493"/>
    </row>
    <row r="1494" spans="3:28">
      <c r="C1494" s="1461" t="s">
        <v>5276</v>
      </c>
      <c r="D1494" s="1458">
        <v>1</v>
      </c>
      <c r="E1494" s="1458">
        <v>1</v>
      </c>
      <c r="F1494" s="1459">
        <v>2</v>
      </c>
      <c r="G1494" s="1470" t="s">
        <v>5276</v>
      </c>
      <c r="H1494" s="1456">
        <v>1</v>
      </c>
      <c r="I1494" s="1456">
        <v>1</v>
      </c>
      <c r="J1494" s="1471">
        <v>2</v>
      </c>
      <c r="K1494" s="1460"/>
      <c r="L1494" s="1454">
        <v>13135050214</v>
      </c>
      <c r="M1494" s="1455">
        <v>1</v>
      </c>
      <c r="N1494" s="1455">
        <v>1</v>
      </c>
      <c r="O1494" s="1456">
        <v>2</v>
      </c>
      <c r="AA1494"/>
      <c r="AB1494"/>
    </row>
    <row r="1495" spans="3:28">
      <c r="C1495" s="1461" t="s">
        <v>5277</v>
      </c>
      <c r="D1495" s="1458">
        <v>1</v>
      </c>
      <c r="E1495" s="1458">
        <v>1</v>
      </c>
      <c r="F1495" s="1459">
        <v>2</v>
      </c>
      <c r="G1495" s="1470" t="s">
        <v>5277</v>
      </c>
      <c r="H1495" s="1456">
        <v>1</v>
      </c>
      <c r="I1495" s="1456" t="s">
        <v>3906</v>
      </c>
      <c r="J1495" s="1471">
        <v>1</v>
      </c>
      <c r="K1495" s="1460"/>
      <c r="L1495" s="1454">
        <v>13135050215</v>
      </c>
      <c r="M1495" s="1455">
        <v>1</v>
      </c>
      <c r="N1495" s="1455">
        <v>1</v>
      </c>
      <c r="O1495" s="1456">
        <v>2</v>
      </c>
      <c r="AA1495"/>
      <c r="AB1495"/>
    </row>
    <row r="1496" spans="3:28">
      <c r="C1496" s="1461" t="s">
        <v>5278</v>
      </c>
      <c r="D1496" s="1458">
        <v>1</v>
      </c>
      <c r="E1496" s="1458">
        <v>1</v>
      </c>
      <c r="F1496" s="1459">
        <v>2</v>
      </c>
      <c r="G1496" s="1470" t="s">
        <v>5278</v>
      </c>
      <c r="H1496" s="1456">
        <v>1</v>
      </c>
      <c r="I1496" s="1456">
        <v>1</v>
      </c>
      <c r="J1496" s="1471">
        <v>2</v>
      </c>
      <c r="K1496" s="1460"/>
      <c r="L1496" s="1454">
        <v>13135050216</v>
      </c>
      <c r="M1496" s="1455">
        <v>1</v>
      </c>
      <c r="N1496" s="1455">
        <v>1</v>
      </c>
      <c r="O1496" s="1456">
        <v>2</v>
      </c>
      <c r="AA1496"/>
      <c r="AB1496"/>
    </row>
    <row r="1497" spans="3:28">
      <c r="C1497" s="1461" t="s">
        <v>5279</v>
      </c>
      <c r="D1497" s="1458">
        <v>1</v>
      </c>
      <c r="E1497" s="1458">
        <v>1</v>
      </c>
      <c r="F1497" s="1459">
        <v>2</v>
      </c>
      <c r="G1497" s="1470" t="s">
        <v>5279</v>
      </c>
      <c r="H1497" s="1456">
        <v>1</v>
      </c>
      <c r="I1497" s="1456">
        <v>1</v>
      </c>
      <c r="J1497" s="1471">
        <v>2</v>
      </c>
      <c r="K1497" s="1460"/>
      <c r="L1497" s="1454">
        <v>13135050217</v>
      </c>
      <c r="M1497" s="1455">
        <v>1</v>
      </c>
      <c r="N1497" s="1455">
        <v>1</v>
      </c>
      <c r="O1497" s="1456">
        <v>2</v>
      </c>
      <c r="AA1497"/>
      <c r="AB1497"/>
    </row>
    <row r="1498" spans="3:28">
      <c r="C1498" s="1461" t="s">
        <v>5280</v>
      </c>
      <c r="D1498" s="1458">
        <v>1</v>
      </c>
      <c r="E1498" s="1458">
        <v>1</v>
      </c>
      <c r="F1498" s="1459">
        <v>2</v>
      </c>
      <c r="G1498" s="1470" t="s">
        <v>5280</v>
      </c>
      <c r="H1498" s="1456">
        <v>1</v>
      </c>
      <c r="I1498" s="1456">
        <v>0</v>
      </c>
      <c r="J1498" s="1471">
        <v>1</v>
      </c>
      <c r="K1498" s="1460"/>
      <c r="L1498" s="1454">
        <v>13135050218</v>
      </c>
      <c r="M1498" s="1455">
        <v>1</v>
      </c>
      <c r="N1498" s="1455">
        <v>1</v>
      </c>
      <c r="O1498" s="1456">
        <v>2</v>
      </c>
      <c r="AA1498"/>
      <c r="AB1498"/>
    </row>
    <row r="1499" spans="3:28">
      <c r="C1499" s="1461" t="s">
        <v>5281</v>
      </c>
      <c r="D1499" s="1458">
        <v>1</v>
      </c>
      <c r="E1499" s="1458">
        <v>1</v>
      </c>
      <c r="F1499" s="1459">
        <v>2</v>
      </c>
      <c r="G1499" s="1470" t="s">
        <v>5281</v>
      </c>
      <c r="H1499" s="1456">
        <v>1</v>
      </c>
      <c r="I1499" s="1456">
        <v>1</v>
      </c>
      <c r="J1499" s="1471">
        <v>2</v>
      </c>
      <c r="K1499" s="1460"/>
      <c r="L1499" s="1454">
        <v>13135050219</v>
      </c>
      <c r="M1499" s="1455">
        <v>1</v>
      </c>
      <c r="N1499" s="1455">
        <v>1</v>
      </c>
      <c r="O1499" s="1456">
        <v>2</v>
      </c>
      <c r="AA1499"/>
      <c r="AB1499"/>
    </row>
    <row r="1500" spans="3:28">
      <c r="C1500" s="1461" t="s">
        <v>5282</v>
      </c>
      <c r="D1500" s="1458">
        <v>0</v>
      </c>
      <c r="E1500" s="1458">
        <v>0</v>
      </c>
      <c r="F1500" s="1459">
        <v>0</v>
      </c>
      <c r="G1500" s="1470" t="s">
        <v>5282</v>
      </c>
      <c r="H1500" s="1456">
        <v>1</v>
      </c>
      <c r="I1500" s="1456">
        <v>0</v>
      </c>
      <c r="J1500" s="1471">
        <v>1</v>
      </c>
      <c r="K1500" s="1460"/>
      <c r="L1500" s="1454">
        <v>13135050220</v>
      </c>
      <c r="M1500" s="1455">
        <v>1</v>
      </c>
      <c r="N1500" s="1455">
        <v>0</v>
      </c>
      <c r="O1500" s="1456">
        <v>1</v>
      </c>
      <c r="AA1500"/>
      <c r="AB1500"/>
    </row>
    <row r="1501" spans="3:28">
      <c r="C1501" s="1461" t="s">
        <v>5283</v>
      </c>
      <c r="D1501" s="1458">
        <v>1</v>
      </c>
      <c r="E1501" s="1458">
        <v>0</v>
      </c>
      <c r="F1501" s="1459">
        <v>1</v>
      </c>
      <c r="G1501" s="1470" t="s">
        <v>5283</v>
      </c>
      <c r="H1501" s="1456">
        <v>1</v>
      </c>
      <c r="I1501" s="1456">
        <v>0</v>
      </c>
      <c r="J1501" s="1471">
        <v>1</v>
      </c>
      <c r="K1501" s="1460"/>
      <c r="L1501" s="1454">
        <v>13135050304</v>
      </c>
      <c r="M1501" s="1455">
        <v>1</v>
      </c>
      <c r="N1501" s="1455">
        <v>0</v>
      </c>
      <c r="O1501" s="1456">
        <v>1</v>
      </c>
      <c r="AA1501"/>
      <c r="AB1501"/>
    </row>
    <row r="1502" spans="3:28">
      <c r="C1502" s="1461" t="s">
        <v>5284</v>
      </c>
      <c r="D1502" s="1458">
        <v>0</v>
      </c>
      <c r="E1502" s="1458">
        <v>0</v>
      </c>
      <c r="F1502" s="1459">
        <v>0</v>
      </c>
      <c r="G1502" s="1470" t="s">
        <v>5284</v>
      </c>
      <c r="H1502" s="1456">
        <v>1</v>
      </c>
      <c r="I1502" s="1456">
        <v>0</v>
      </c>
      <c r="J1502" s="1471">
        <v>1</v>
      </c>
      <c r="K1502" s="1460"/>
      <c r="L1502" s="1454">
        <v>13135050306</v>
      </c>
      <c r="M1502" s="1455">
        <v>1</v>
      </c>
      <c r="N1502" s="1455">
        <v>0</v>
      </c>
      <c r="O1502" s="1456">
        <v>1</v>
      </c>
      <c r="AA1502"/>
      <c r="AB1502"/>
    </row>
    <row r="1503" spans="3:28">
      <c r="C1503" s="1461" t="s">
        <v>5285</v>
      </c>
      <c r="D1503" s="1458">
        <v>1</v>
      </c>
      <c r="E1503" s="1458">
        <v>1</v>
      </c>
      <c r="F1503" s="1459">
        <v>2</v>
      </c>
      <c r="G1503" s="1470" t="s">
        <v>5285</v>
      </c>
      <c r="H1503" s="1456">
        <v>1</v>
      </c>
      <c r="I1503" s="1456">
        <v>1</v>
      </c>
      <c r="J1503" s="1471">
        <v>2</v>
      </c>
      <c r="K1503" s="1460"/>
      <c r="L1503" s="1454">
        <v>13135050308</v>
      </c>
      <c r="M1503" s="1455">
        <v>1</v>
      </c>
      <c r="N1503" s="1455">
        <v>1</v>
      </c>
      <c r="O1503" s="1456">
        <v>2</v>
      </c>
      <c r="AA1503"/>
      <c r="AB1503"/>
    </row>
    <row r="1504" spans="3:28">
      <c r="C1504" s="1461" t="s">
        <v>5286</v>
      </c>
      <c r="D1504" s="1458">
        <v>1</v>
      </c>
      <c r="E1504" s="1458">
        <v>1</v>
      </c>
      <c r="F1504" s="1459">
        <v>2</v>
      </c>
      <c r="G1504" s="1470" t="s">
        <v>5286</v>
      </c>
      <c r="H1504" s="1456">
        <v>1</v>
      </c>
      <c r="I1504" s="1456">
        <v>1</v>
      </c>
      <c r="J1504" s="1471">
        <v>2</v>
      </c>
      <c r="K1504" s="1460"/>
      <c r="L1504" s="1454">
        <v>13135050309</v>
      </c>
      <c r="M1504" s="1455">
        <v>1</v>
      </c>
      <c r="N1504" s="1455">
        <v>1</v>
      </c>
      <c r="O1504" s="1456">
        <v>2</v>
      </c>
      <c r="AA1504"/>
      <c r="AB1504"/>
    </row>
    <row r="1505" spans="3:28">
      <c r="C1505" s="1461" t="s">
        <v>5287</v>
      </c>
      <c r="D1505" s="1458">
        <v>1</v>
      </c>
      <c r="E1505" s="1458">
        <v>1</v>
      </c>
      <c r="F1505" s="1459">
        <v>2</v>
      </c>
      <c r="G1505" s="1470" t="s">
        <v>5287</v>
      </c>
      <c r="H1505" s="1456">
        <v>1</v>
      </c>
      <c r="I1505" s="1456">
        <v>1</v>
      </c>
      <c r="J1505" s="1471">
        <v>2</v>
      </c>
      <c r="K1505" s="1460"/>
      <c r="L1505" s="1454">
        <v>13135050310</v>
      </c>
      <c r="M1505" s="1455">
        <v>1</v>
      </c>
      <c r="N1505" s="1455">
        <v>1</v>
      </c>
      <c r="O1505" s="1456">
        <v>2</v>
      </c>
      <c r="AA1505"/>
      <c r="AB1505"/>
    </row>
    <row r="1506" spans="3:28">
      <c r="C1506" s="1461" t="s">
        <v>5288</v>
      </c>
      <c r="D1506" s="1458">
        <v>1</v>
      </c>
      <c r="E1506" s="1458">
        <v>1</v>
      </c>
      <c r="F1506" s="1459">
        <v>2</v>
      </c>
      <c r="G1506" s="1470" t="s">
        <v>5288</v>
      </c>
      <c r="H1506" s="1456">
        <v>1</v>
      </c>
      <c r="I1506" s="1456">
        <v>0</v>
      </c>
      <c r="J1506" s="1471">
        <v>1</v>
      </c>
      <c r="K1506" s="1460"/>
      <c r="L1506" s="1454">
        <v>13135050311</v>
      </c>
      <c r="M1506" s="1455">
        <v>1</v>
      </c>
      <c r="N1506" s="1455">
        <v>1</v>
      </c>
      <c r="O1506" s="1456">
        <v>2</v>
      </c>
      <c r="AA1506"/>
      <c r="AB1506"/>
    </row>
    <row r="1507" spans="3:28">
      <c r="C1507" s="1461" t="s">
        <v>5289</v>
      </c>
      <c r="D1507" s="1458">
        <v>0</v>
      </c>
      <c r="E1507" s="1458">
        <v>0</v>
      </c>
      <c r="F1507" s="1459">
        <v>0</v>
      </c>
      <c r="G1507" s="1470" t="s">
        <v>5289</v>
      </c>
      <c r="H1507" s="1456">
        <v>0</v>
      </c>
      <c r="I1507" s="1456">
        <v>0</v>
      </c>
      <c r="J1507" s="1471">
        <v>0</v>
      </c>
      <c r="K1507" s="1460"/>
      <c r="L1507" s="1454">
        <v>13135050313</v>
      </c>
      <c r="M1507" s="1455">
        <v>0</v>
      </c>
      <c r="N1507" s="1455">
        <v>0</v>
      </c>
      <c r="O1507" s="1456">
        <v>0</v>
      </c>
      <c r="AA1507"/>
      <c r="AB1507"/>
    </row>
    <row r="1508" spans="3:28">
      <c r="C1508" s="1461" t="s">
        <v>5290</v>
      </c>
      <c r="D1508" s="1458">
        <v>1</v>
      </c>
      <c r="E1508" s="1458">
        <v>0</v>
      </c>
      <c r="F1508" s="1459">
        <v>1</v>
      </c>
      <c r="G1508" s="1470" t="s">
        <v>5290</v>
      </c>
      <c r="H1508" s="1456">
        <v>1</v>
      </c>
      <c r="I1508" s="1456">
        <v>0</v>
      </c>
      <c r="J1508" s="1471">
        <v>1</v>
      </c>
      <c r="K1508" s="1460"/>
      <c r="L1508" s="1454">
        <v>13135050314</v>
      </c>
      <c r="M1508" s="1455">
        <v>1</v>
      </c>
      <c r="N1508" s="1455">
        <v>0</v>
      </c>
      <c r="O1508" s="1456">
        <v>1</v>
      </c>
      <c r="AA1508"/>
      <c r="AB1508"/>
    </row>
    <row r="1509" spans="3:28">
      <c r="C1509" s="1461" t="s">
        <v>5291</v>
      </c>
      <c r="D1509" s="1458">
        <v>1</v>
      </c>
      <c r="E1509" s="1458">
        <v>0</v>
      </c>
      <c r="F1509" s="1459">
        <v>1</v>
      </c>
      <c r="G1509" s="1470" t="s">
        <v>5291</v>
      </c>
      <c r="H1509" s="1456">
        <v>1</v>
      </c>
      <c r="I1509" s="1456">
        <v>0</v>
      </c>
      <c r="J1509" s="1471">
        <v>1</v>
      </c>
      <c r="K1509" s="1460"/>
      <c r="L1509" s="1454">
        <v>13135050315</v>
      </c>
      <c r="M1509" s="1455">
        <v>1</v>
      </c>
      <c r="N1509" s="1455">
        <v>0</v>
      </c>
      <c r="O1509" s="1456">
        <v>1</v>
      </c>
      <c r="AA1509"/>
      <c r="AB1509"/>
    </row>
    <row r="1510" spans="3:28">
      <c r="C1510" s="1461" t="s">
        <v>5292</v>
      </c>
      <c r="D1510" s="1458">
        <v>0</v>
      </c>
      <c r="E1510" s="1458">
        <v>0</v>
      </c>
      <c r="F1510" s="1459">
        <v>0</v>
      </c>
      <c r="G1510" s="1470" t="s">
        <v>5292</v>
      </c>
      <c r="H1510" s="1456">
        <v>1</v>
      </c>
      <c r="I1510" s="1456" t="s">
        <v>3906</v>
      </c>
      <c r="J1510" s="1471">
        <v>1</v>
      </c>
      <c r="K1510" s="1460"/>
      <c r="L1510" s="1454">
        <v>13135050317</v>
      </c>
      <c r="M1510" s="1455">
        <v>1</v>
      </c>
      <c r="N1510" s="1455">
        <v>0</v>
      </c>
      <c r="O1510" s="1456">
        <v>1</v>
      </c>
      <c r="AA1510"/>
      <c r="AB1510"/>
    </row>
    <row r="1511" spans="3:28">
      <c r="C1511" s="1461" t="s">
        <v>5293</v>
      </c>
      <c r="D1511" s="1458">
        <v>1</v>
      </c>
      <c r="E1511" s="1458">
        <v>0</v>
      </c>
      <c r="F1511" s="1459">
        <v>1</v>
      </c>
      <c r="G1511" s="1470" t="s">
        <v>5293</v>
      </c>
      <c r="H1511" s="1456">
        <v>1</v>
      </c>
      <c r="I1511" s="1456" t="s">
        <v>3906</v>
      </c>
      <c r="J1511" s="1471">
        <v>1</v>
      </c>
      <c r="K1511" s="1460"/>
      <c r="L1511" s="1454">
        <v>13135050318</v>
      </c>
      <c r="M1511" s="1455">
        <v>1</v>
      </c>
      <c r="N1511" s="1455">
        <v>0</v>
      </c>
      <c r="O1511" s="1456">
        <v>1</v>
      </c>
      <c r="AA1511"/>
      <c r="AB1511"/>
    </row>
    <row r="1512" spans="3:28">
      <c r="C1512" s="1461" t="s">
        <v>5294</v>
      </c>
      <c r="D1512" s="1458">
        <v>0</v>
      </c>
      <c r="E1512" s="1458">
        <v>0</v>
      </c>
      <c r="F1512" s="1459">
        <v>0</v>
      </c>
      <c r="G1512" s="1470" t="s">
        <v>5294</v>
      </c>
      <c r="H1512" s="1456">
        <v>0</v>
      </c>
      <c r="I1512" s="1456" t="s">
        <v>3906</v>
      </c>
      <c r="J1512" s="1471">
        <v>0</v>
      </c>
      <c r="K1512" s="1460"/>
      <c r="L1512" s="1454">
        <v>13135050319</v>
      </c>
      <c r="M1512" s="1455">
        <v>0</v>
      </c>
      <c r="N1512" s="1455">
        <v>0</v>
      </c>
      <c r="O1512" s="1456">
        <v>0</v>
      </c>
      <c r="AA1512"/>
      <c r="AB1512"/>
    </row>
    <row r="1513" spans="3:28">
      <c r="C1513" s="1461" t="s">
        <v>5295</v>
      </c>
      <c r="D1513" s="1458">
        <v>0</v>
      </c>
      <c r="E1513" s="1458">
        <v>0</v>
      </c>
      <c r="F1513" s="1459">
        <v>0</v>
      </c>
      <c r="G1513" s="1470" t="s">
        <v>5295</v>
      </c>
      <c r="H1513" s="1456">
        <v>0</v>
      </c>
      <c r="I1513" s="1456" t="s">
        <v>3906</v>
      </c>
      <c r="J1513" s="1471">
        <v>0</v>
      </c>
      <c r="K1513" s="1460"/>
      <c r="L1513" s="1454">
        <v>13135050320</v>
      </c>
      <c r="M1513" s="1455">
        <v>0</v>
      </c>
      <c r="N1513" s="1455">
        <v>0</v>
      </c>
      <c r="O1513" s="1456">
        <v>0</v>
      </c>
      <c r="AA1513"/>
      <c r="AB1513"/>
    </row>
    <row r="1514" spans="3:28">
      <c r="C1514" s="1461" t="s">
        <v>5296</v>
      </c>
      <c r="D1514" s="1458">
        <v>1</v>
      </c>
      <c r="E1514" s="1458">
        <v>1</v>
      </c>
      <c r="F1514" s="1459">
        <v>2</v>
      </c>
      <c r="G1514" s="1470" t="s">
        <v>5296</v>
      </c>
      <c r="H1514" s="1456">
        <v>1</v>
      </c>
      <c r="I1514" s="1456">
        <v>1</v>
      </c>
      <c r="J1514" s="1471">
        <v>2</v>
      </c>
      <c r="K1514" s="1460"/>
      <c r="L1514" s="1454">
        <v>13135050321</v>
      </c>
      <c r="M1514" s="1455">
        <v>1</v>
      </c>
      <c r="N1514" s="1455">
        <v>1</v>
      </c>
      <c r="O1514" s="1456">
        <v>2</v>
      </c>
      <c r="AA1514"/>
      <c r="AB1514"/>
    </row>
    <row r="1515" spans="3:28">
      <c r="C1515" s="1461" t="s">
        <v>5297</v>
      </c>
      <c r="D1515" s="1458">
        <v>1</v>
      </c>
      <c r="E1515" s="1458">
        <v>1</v>
      </c>
      <c r="F1515" s="1459">
        <v>2</v>
      </c>
      <c r="G1515" s="1470" t="s">
        <v>5297</v>
      </c>
      <c r="H1515" s="1456">
        <v>1</v>
      </c>
      <c r="I1515" s="1456">
        <v>1</v>
      </c>
      <c r="J1515" s="1471">
        <v>2</v>
      </c>
      <c r="K1515" s="1460"/>
      <c r="L1515" s="1454">
        <v>13135050322</v>
      </c>
      <c r="M1515" s="1455">
        <v>1</v>
      </c>
      <c r="N1515" s="1455">
        <v>1</v>
      </c>
      <c r="O1515" s="1456">
        <v>2</v>
      </c>
      <c r="AA1515"/>
      <c r="AB1515"/>
    </row>
    <row r="1516" spans="3:28">
      <c r="C1516" s="1461" t="s">
        <v>5298</v>
      </c>
      <c r="D1516" s="1458">
        <v>0</v>
      </c>
      <c r="E1516" s="1458">
        <v>0</v>
      </c>
      <c r="F1516" s="1459">
        <v>0</v>
      </c>
      <c r="G1516" s="1470" t="s">
        <v>5298</v>
      </c>
      <c r="H1516" s="1456">
        <v>1</v>
      </c>
      <c r="I1516" s="1456">
        <v>0</v>
      </c>
      <c r="J1516" s="1471">
        <v>1</v>
      </c>
      <c r="K1516" s="1460"/>
      <c r="L1516" s="1454">
        <v>13135050410</v>
      </c>
      <c r="M1516" s="1455">
        <v>1</v>
      </c>
      <c r="N1516" s="1455">
        <v>0</v>
      </c>
      <c r="O1516" s="1456">
        <v>1</v>
      </c>
      <c r="AA1516"/>
      <c r="AB1516"/>
    </row>
    <row r="1517" spans="3:28">
      <c r="C1517" s="1461" t="s">
        <v>5299</v>
      </c>
      <c r="D1517" s="1458">
        <v>1</v>
      </c>
      <c r="E1517" s="1458">
        <v>1</v>
      </c>
      <c r="F1517" s="1459">
        <v>2</v>
      </c>
      <c r="G1517" s="1470" t="s">
        <v>5299</v>
      </c>
      <c r="H1517" s="1456">
        <v>1</v>
      </c>
      <c r="I1517" s="1456">
        <v>1</v>
      </c>
      <c r="J1517" s="1471">
        <v>2</v>
      </c>
      <c r="K1517" s="1460"/>
      <c r="L1517" s="1454">
        <v>13135050415</v>
      </c>
      <c r="M1517" s="1455">
        <v>1</v>
      </c>
      <c r="N1517" s="1455">
        <v>1</v>
      </c>
      <c r="O1517" s="1456">
        <v>2</v>
      </c>
      <c r="AA1517"/>
      <c r="AB1517"/>
    </row>
    <row r="1518" spans="3:28">
      <c r="C1518" s="1461" t="s">
        <v>5300</v>
      </c>
      <c r="D1518" s="1458">
        <v>0</v>
      </c>
      <c r="E1518" s="1458">
        <v>0</v>
      </c>
      <c r="F1518" s="1459">
        <v>0</v>
      </c>
      <c r="G1518" s="1470" t="s">
        <v>5300</v>
      </c>
      <c r="H1518" s="1456">
        <v>0</v>
      </c>
      <c r="I1518" s="1456">
        <v>0</v>
      </c>
      <c r="J1518" s="1471">
        <v>0</v>
      </c>
      <c r="K1518" s="1460"/>
      <c r="L1518" s="1454">
        <v>13135050416</v>
      </c>
      <c r="M1518" s="1455">
        <v>0</v>
      </c>
      <c r="N1518" s="1455">
        <v>0</v>
      </c>
      <c r="O1518" s="1456">
        <v>0</v>
      </c>
      <c r="AA1518"/>
      <c r="AB1518"/>
    </row>
    <row r="1519" spans="3:28">
      <c r="C1519" s="1461" t="s">
        <v>5301</v>
      </c>
      <c r="D1519" s="1458">
        <v>0</v>
      </c>
      <c r="E1519" s="1458">
        <v>0</v>
      </c>
      <c r="F1519" s="1459">
        <v>0</v>
      </c>
      <c r="G1519" s="1470" t="s">
        <v>5301</v>
      </c>
      <c r="H1519" s="1456">
        <v>0</v>
      </c>
      <c r="I1519" s="1456" t="s">
        <v>3906</v>
      </c>
      <c r="J1519" s="1471">
        <v>0</v>
      </c>
      <c r="K1519" s="1460"/>
      <c r="L1519" s="1454">
        <v>13135050417</v>
      </c>
      <c r="M1519" s="1455">
        <v>0</v>
      </c>
      <c r="N1519" s="1455">
        <v>0</v>
      </c>
      <c r="O1519" s="1456">
        <v>0</v>
      </c>
      <c r="AA1519"/>
      <c r="AB1519"/>
    </row>
    <row r="1520" spans="3:28">
      <c r="C1520" s="1461" t="s">
        <v>5302</v>
      </c>
      <c r="D1520" s="1458">
        <v>0</v>
      </c>
      <c r="E1520" s="1458">
        <v>0</v>
      </c>
      <c r="F1520" s="1459">
        <v>0</v>
      </c>
      <c r="G1520" s="1470" t="s">
        <v>5302</v>
      </c>
      <c r="H1520" s="1456">
        <v>0</v>
      </c>
      <c r="I1520" s="1456">
        <v>0</v>
      </c>
      <c r="J1520" s="1471">
        <v>0</v>
      </c>
      <c r="K1520" s="1460"/>
      <c r="L1520" s="1454">
        <v>13135050418</v>
      </c>
      <c r="M1520" s="1455">
        <v>0</v>
      </c>
      <c r="N1520" s="1455">
        <v>0</v>
      </c>
      <c r="O1520" s="1456">
        <v>0</v>
      </c>
      <c r="AA1520"/>
      <c r="AB1520"/>
    </row>
    <row r="1521" spans="3:28">
      <c r="C1521" s="1461" t="s">
        <v>5303</v>
      </c>
      <c r="D1521" s="1458">
        <v>0</v>
      </c>
      <c r="E1521" s="1458">
        <v>0</v>
      </c>
      <c r="F1521" s="1459">
        <v>0</v>
      </c>
      <c r="G1521" s="1470" t="s">
        <v>5303</v>
      </c>
      <c r="H1521" s="1456">
        <v>0</v>
      </c>
      <c r="I1521" s="1456" t="s">
        <v>3906</v>
      </c>
      <c r="J1521" s="1471">
        <v>0</v>
      </c>
      <c r="K1521" s="1460"/>
      <c r="L1521" s="1454">
        <v>13135050419</v>
      </c>
      <c r="M1521" s="1455">
        <v>0</v>
      </c>
      <c r="N1521" s="1455">
        <v>0</v>
      </c>
      <c r="O1521" s="1456">
        <v>0</v>
      </c>
      <c r="AA1521"/>
      <c r="AB1521"/>
    </row>
    <row r="1522" spans="3:28">
      <c r="C1522" s="1461" t="s">
        <v>5304</v>
      </c>
      <c r="D1522" s="1458">
        <v>0</v>
      </c>
      <c r="E1522" s="1458">
        <v>0</v>
      </c>
      <c r="F1522" s="1459">
        <v>0</v>
      </c>
      <c r="G1522" s="1470" t="s">
        <v>5304</v>
      </c>
      <c r="H1522" s="1456">
        <v>0</v>
      </c>
      <c r="I1522" s="1456">
        <v>0</v>
      </c>
      <c r="J1522" s="1471">
        <v>0</v>
      </c>
      <c r="K1522" s="1460"/>
      <c r="L1522" s="1454">
        <v>13135050421</v>
      </c>
      <c r="M1522" s="1455">
        <v>0</v>
      </c>
      <c r="N1522" s="1455">
        <v>0</v>
      </c>
      <c r="O1522" s="1456">
        <v>0</v>
      </c>
      <c r="AA1522"/>
      <c r="AB1522"/>
    </row>
    <row r="1523" spans="3:28">
      <c r="C1523" s="1461" t="s">
        <v>5305</v>
      </c>
      <c r="D1523" s="1458">
        <v>0</v>
      </c>
      <c r="E1523" s="1458">
        <v>0</v>
      </c>
      <c r="F1523" s="1459">
        <v>0</v>
      </c>
      <c r="G1523" s="1470" t="s">
        <v>5305</v>
      </c>
      <c r="H1523" s="1456">
        <v>0</v>
      </c>
      <c r="I1523" s="1456">
        <v>0</v>
      </c>
      <c r="J1523" s="1471">
        <v>0</v>
      </c>
      <c r="K1523" s="1460"/>
      <c r="L1523" s="1454">
        <v>13135050422</v>
      </c>
      <c r="M1523" s="1455">
        <v>0</v>
      </c>
      <c r="N1523" s="1455">
        <v>0</v>
      </c>
      <c r="O1523" s="1456">
        <v>0</v>
      </c>
      <c r="AA1523"/>
      <c r="AB1523"/>
    </row>
    <row r="1524" spans="3:28">
      <c r="C1524" s="1461" t="s">
        <v>5306</v>
      </c>
      <c r="D1524" s="1458">
        <v>0</v>
      </c>
      <c r="E1524" s="1458">
        <v>0</v>
      </c>
      <c r="F1524" s="1459">
        <v>0</v>
      </c>
      <c r="G1524" s="1470" t="s">
        <v>5306</v>
      </c>
      <c r="H1524" s="1456">
        <v>0</v>
      </c>
      <c r="I1524" s="1456" t="s">
        <v>3906</v>
      </c>
      <c r="J1524" s="1471">
        <v>0</v>
      </c>
      <c r="K1524" s="1460"/>
      <c r="L1524" s="1454">
        <v>13135050423</v>
      </c>
      <c r="M1524" s="1455">
        <v>0</v>
      </c>
      <c r="N1524" s="1455">
        <v>0</v>
      </c>
      <c r="O1524" s="1456">
        <v>0</v>
      </c>
      <c r="AA1524"/>
      <c r="AB1524"/>
    </row>
    <row r="1525" spans="3:28">
      <c r="C1525" s="1461" t="s">
        <v>5307</v>
      </c>
      <c r="D1525" s="1458">
        <v>0</v>
      </c>
      <c r="E1525" s="1458">
        <v>0</v>
      </c>
      <c r="F1525" s="1459">
        <v>0</v>
      </c>
      <c r="G1525" s="1470" t="s">
        <v>5307</v>
      </c>
      <c r="H1525" s="1456">
        <v>0</v>
      </c>
      <c r="I1525" s="1456" t="s">
        <v>3906</v>
      </c>
      <c r="J1525" s="1471">
        <v>0</v>
      </c>
      <c r="K1525" s="1460"/>
      <c r="L1525" s="1454">
        <v>13135050424</v>
      </c>
      <c r="M1525" s="1455">
        <v>0</v>
      </c>
      <c r="N1525" s="1455">
        <v>0</v>
      </c>
      <c r="O1525" s="1456">
        <v>0</v>
      </c>
      <c r="AA1525"/>
      <c r="AB1525"/>
    </row>
    <row r="1526" spans="3:28">
      <c r="C1526" s="1461" t="s">
        <v>5308</v>
      </c>
      <c r="D1526" s="1458">
        <v>1</v>
      </c>
      <c r="E1526" s="1458">
        <v>1</v>
      </c>
      <c r="F1526" s="1459">
        <v>2</v>
      </c>
      <c r="G1526" s="1470" t="s">
        <v>5308</v>
      </c>
      <c r="H1526" s="1456">
        <v>1</v>
      </c>
      <c r="I1526" s="1456">
        <v>1</v>
      </c>
      <c r="J1526" s="1471">
        <v>2</v>
      </c>
      <c r="K1526" s="1460"/>
      <c r="L1526" s="1454">
        <v>13135050425</v>
      </c>
      <c r="M1526" s="1455">
        <v>1</v>
      </c>
      <c r="N1526" s="1455">
        <v>1</v>
      </c>
      <c r="O1526" s="1456">
        <v>2</v>
      </c>
      <c r="AA1526"/>
      <c r="AB1526"/>
    </row>
    <row r="1527" spans="3:28">
      <c r="C1527" s="1461" t="s">
        <v>5309</v>
      </c>
      <c r="D1527" s="1458">
        <v>1</v>
      </c>
      <c r="E1527" s="1458">
        <v>1</v>
      </c>
      <c r="F1527" s="1459">
        <v>2</v>
      </c>
      <c r="G1527" s="1470" t="s">
        <v>5309</v>
      </c>
      <c r="H1527" s="1456">
        <v>1</v>
      </c>
      <c r="I1527" s="1456">
        <v>1</v>
      </c>
      <c r="J1527" s="1471">
        <v>2</v>
      </c>
      <c r="K1527" s="1460"/>
      <c r="L1527" s="1454">
        <v>13135050426</v>
      </c>
      <c r="M1527" s="1455">
        <v>1</v>
      </c>
      <c r="N1527" s="1455">
        <v>1</v>
      </c>
      <c r="O1527" s="1456">
        <v>2</v>
      </c>
      <c r="AA1527"/>
      <c r="AB1527"/>
    </row>
    <row r="1528" spans="3:28">
      <c r="C1528" s="1461" t="s">
        <v>5310</v>
      </c>
      <c r="D1528" s="1458">
        <v>1</v>
      </c>
      <c r="E1528" s="1458">
        <v>1</v>
      </c>
      <c r="F1528" s="1459">
        <v>2</v>
      </c>
      <c r="G1528" s="1470" t="s">
        <v>5310</v>
      </c>
      <c r="H1528" s="1456">
        <v>1</v>
      </c>
      <c r="I1528" s="1456">
        <v>1</v>
      </c>
      <c r="J1528" s="1471">
        <v>2</v>
      </c>
      <c r="K1528" s="1460"/>
      <c r="L1528" s="1454">
        <v>13135050427</v>
      </c>
      <c r="M1528" s="1455">
        <v>1</v>
      </c>
      <c r="N1528" s="1455">
        <v>1</v>
      </c>
      <c r="O1528" s="1456">
        <v>2</v>
      </c>
      <c r="AA1528"/>
      <c r="AB1528"/>
    </row>
    <row r="1529" spans="3:28">
      <c r="C1529" s="1461" t="s">
        <v>5311</v>
      </c>
      <c r="D1529" s="1458">
        <v>1</v>
      </c>
      <c r="E1529" s="1458">
        <v>1</v>
      </c>
      <c r="F1529" s="1459">
        <v>2</v>
      </c>
      <c r="G1529" s="1470" t="s">
        <v>5311</v>
      </c>
      <c r="H1529" s="1456">
        <v>1</v>
      </c>
      <c r="I1529" s="1456">
        <v>1</v>
      </c>
      <c r="J1529" s="1471">
        <v>2</v>
      </c>
      <c r="K1529" s="1460"/>
      <c r="L1529" s="1454">
        <v>13135050428</v>
      </c>
      <c r="M1529" s="1455">
        <v>1</v>
      </c>
      <c r="N1529" s="1455">
        <v>1</v>
      </c>
      <c r="O1529" s="1456">
        <v>2</v>
      </c>
      <c r="AA1529"/>
      <c r="AB1529"/>
    </row>
    <row r="1530" spans="3:28">
      <c r="C1530" s="1461" t="s">
        <v>5312</v>
      </c>
      <c r="D1530" s="1458">
        <v>1</v>
      </c>
      <c r="E1530" s="1458">
        <v>1</v>
      </c>
      <c r="F1530" s="1459">
        <v>2</v>
      </c>
      <c r="G1530" s="1470" t="s">
        <v>5312</v>
      </c>
      <c r="H1530" s="1456">
        <v>1</v>
      </c>
      <c r="I1530" s="1456">
        <v>1</v>
      </c>
      <c r="J1530" s="1471">
        <v>2</v>
      </c>
      <c r="K1530" s="1460"/>
      <c r="L1530" s="1454">
        <v>13135050429</v>
      </c>
      <c r="M1530" s="1455">
        <v>1</v>
      </c>
      <c r="N1530" s="1455">
        <v>1</v>
      </c>
      <c r="O1530" s="1456">
        <v>2</v>
      </c>
      <c r="AA1530"/>
      <c r="AB1530"/>
    </row>
    <row r="1531" spans="3:28">
      <c r="C1531" s="1461" t="s">
        <v>5313</v>
      </c>
      <c r="D1531" s="1458">
        <v>1</v>
      </c>
      <c r="E1531" s="1458">
        <v>1</v>
      </c>
      <c r="F1531" s="1459">
        <v>2</v>
      </c>
      <c r="G1531" s="1470" t="s">
        <v>5313</v>
      </c>
      <c r="H1531" s="1456">
        <v>1</v>
      </c>
      <c r="I1531" s="1456">
        <v>0</v>
      </c>
      <c r="J1531" s="1471">
        <v>1</v>
      </c>
      <c r="K1531" s="1460"/>
      <c r="L1531" s="1454">
        <v>13135050430</v>
      </c>
      <c r="M1531" s="1455">
        <v>1</v>
      </c>
      <c r="N1531" s="1455">
        <v>1</v>
      </c>
      <c r="O1531" s="1456">
        <v>2</v>
      </c>
      <c r="AA1531"/>
      <c r="AB1531"/>
    </row>
    <row r="1532" spans="3:28">
      <c r="C1532" s="1461" t="s">
        <v>5314</v>
      </c>
      <c r="D1532" s="1458">
        <v>0</v>
      </c>
      <c r="E1532" s="1458">
        <v>0</v>
      </c>
      <c r="F1532" s="1459">
        <v>0</v>
      </c>
      <c r="G1532" s="1470" t="s">
        <v>5314</v>
      </c>
      <c r="H1532" s="1456">
        <v>0</v>
      </c>
      <c r="I1532" s="1456">
        <v>0</v>
      </c>
      <c r="J1532" s="1471">
        <v>0</v>
      </c>
      <c r="K1532" s="1460"/>
      <c r="L1532" s="1454">
        <v>13135050431</v>
      </c>
      <c r="M1532" s="1455">
        <v>0</v>
      </c>
      <c r="N1532" s="1455">
        <v>0</v>
      </c>
      <c r="O1532" s="1456">
        <v>0</v>
      </c>
      <c r="AA1532"/>
      <c r="AB1532"/>
    </row>
    <row r="1533" spans="3:28">
      <c r="C1533" s="1461" t="s">
        <v>5315</v>
      </c>
      <c r="D1533" s="1458">
        <v>1</v>
      </c>
      <c r="E1533" s="1458">
        <v>1</v>
      </c>
      <c r="F1533" s="1459">
        <v>2</v>
      </c>
      <c r="G1533" s="1470" t="s">
        <v>5315</v>
      </c>
      <c r="H1533" s="1456">
        <v>1</v>
      </c>
      <c r="I1533" s="1456" t="s">
        <v>3906</v>
      </c>
      <c r="J1533" s="1471">
        <v>1</v>
      </c>
      <c r="K1533" s="1460"/>
      <c r="L1533" s="1454">
        <v>13135050432</v>
      </c>
      <c r="M1533" s="1455">
        <v>1</v>
      </c>
      <c r="N1533" s="1455">
        <v>1</v>
      </c>
      <c r="O1533" s="1456">
        <v>2</v>
      </c>
      <c r="AA1533"/>
      <c r="AB1533"/>
    </row>
    <row r="1534" spans="3:28">
      <c r="C1534" s="1461" t="s">
        <v>5316</v>
      </c>
      <c r="D1534" s="1458">
        <v>0</v>
      </c>
      <c r="E1534" s="1458">
        <v>0</v>
      </c>
      <c r="F1534" s="1459">
        <v>0</v>
      </c>
      <c r="G1534" s="1470" t="s">
        <v>5316</v>
      </c>
      <c r="H1534" s="1456">
        <v>1</v>
      </c>
      <c r="I1534" s="1456">
        <v>0</v>
      </c>
      <c r="J1534" s="1471">
        <v>1</v>
      </c>
      <c r="K1534" s="1460"/>
      <c r="L1534" s="1454">
        <v>13135050433</v>
      </c>
      <c r="M1534" s="1455">
        <v>1</v>
      </c>
      <c r="N1534" s="1455">
        <v>0</v>
      </c>
      <c r="O1534" s="1456">
        <v>1</v>
      </c>
      <c r="AA1534"/>
      <c r="AB1534"/>
    </row>
    <row r="1535" spans="3:28">
      <c r="C1535" s="1461" t="s">
        <v>5317</v>
      </c>
      <c r="D1535" s="1458">
        <v>0</v>
      </c>
      <c r="E1535" s="1458">
        <v>0</v>
      </c>
      <c r="F1535" s="1459">
        <v>0</v>
      </c>
      <c r="G1535" s="1470" t="s">
        <v>5317</v>
      </c>
      <c r="H1535" s="1456">
        <v>1</v>
      </c>
      <c r="I1535" s="1456">
        <v>0</v>
      </c>
      <c r="J1535" s="1471">
        <v>1</v>
      </c>
      <c r="K1535" s="1460"/>
      <c r="L1535" s="1454">
        <v>13135050434</v>
      </c>
      <c r="M1535" s="1455">
        <v>1</v>
      </c>
      <c r="N1535" s="1455">
        <v>0</v>
      </c>
      <c r="O1535" s="1456">
        <v>1</v>
      </c>
      <c r="AA1535"/>
      <c r="AB1535"/>
    </row>
    <row r="1536" spans="3:28">
      <c r="C1536" s="1461" t="s">
        <v>5318</v>
      </c>
      <c r="D1536" s="1458">
        <v>1</v>
      </c>
      <c r="E1536" s="1458">
        <v>0</v>
      </c>
      <c r="F1536" s="1459">
        <v>1</v>
      </c>
      <c r="G1536" s="1470" t="s">
        <v>5318</v>
      </c>
      <c r="H1536" s="1456">
        <v>0</v>
      </c>
      <c r="I1536" s="1456">
        <v>0</v>
      </c>
      <c r="J1536" s="1471">
        <v>0</v>
      </c>
      <c r="K1536" s="1460"/>
      <c r="L1536" s="1454">
        <v>13135050435</v>
      </c>
      <c r="M1536" s="1455">
        <v>1</v>
      </c>
      <c r="N1536" s="1455">
        <v>0</v>
      </c>
      <c r="O1536" s="1456">
        <v>1</v>
      </c>
      <c r="AA1536"/>
      <c r="AB1536"/>
    </row>
    <row r="1537" spans="3:28">
      <c r="C1537" s="1461" t="s">
        <v>5319</v>
      </c>
      <c r="D1537" s="1458">
        <v>0</v>
      </c>
      <c r="E1537" s="1458">
        <v>0</v>
      </c>
      <c r="F1537" s="1459">
        <v>0</v>
      </c>
      <c r="G1537" s="1470" t="s">
        <v>5319</v>
      </c>
      <c r="H1537" s="1456">
        <v>0</v>
      </c>
      <c r="I1537" s="1456">
        <v>0</v>
      </c>
      <c r="J1537" s="1471">
        <v>0</v>
      </c>
      <c r="K1537" s="1460"/>
      <c r="L1537" s="1454">
        <v>13135050436</v>
      </c>
      <c r="M1537" s="1455">
        <v>0</v>
      </c>
      <c r="N1537" s="1455">
        <v>0</v>
      </c>
      <c r="O1537" s="1456">
        <v>0</v>
      </c>
      <c r="AA1537"/>
      <c r="AB1537"/>
    </row>
    <row r="1538" spans="3:28">
      <c r="C1538" s="1461" t="s">
        <v>5320</v>
      </c>
      <c r="D1538" s="1458">
        <v>1</v>
      </c>
      <c r="E1538" s="1458">
        <v>0</v>
      </c>
      <c r="F1538" s="1459">
        <v>1</v>
      </c>
      <c r="G1538" s="1470" t="s">
        <v>5320</v>
      </c>
      <c r="H1538" s="1456">
        <v>0</v>
      </c>
      <c r="I1538" s="1456">
        <v>0</v>
      </c>
      <c r="J1538" s="1471">
        <v>0</v>
      </c>
      <c r="K1538" s="1460"/>
      <c r="L1538" s="1454">
        <v>13135050511</v>
      </c>
      <c r="M1538" s="1455">
        <v>1</v>
      </c>
      <c r="N1538" s="1455">
        <v>0</v>
      </c>
      <c r="O1538" s="1456">
        <v>1</v>
      </c>
      <c r="AA1538"/>
      <c r="AB1538"/>
    </row>
    <row r="1539" spans="3:28">
      <c r="C1539" s="1461" t="s">
        <v>5321</v>
      </c>
      <c r="D1539" s="1458">
        <v>0</v>
      </c>
      <c r="E1539" s="1458">
        <v>0</v>
      </c>
      <c r="F1539" s="1459">
        <v>0</v>
      </c>
      <c r="G1539" s="1470" t="s">
        <v>5321</v>
      </c>
      <c r="H1539" s="1456">
        <v>0</v>
      </c>
      <c r="I1539" s="1456">
        <v>0</v>
      </c>
      <c r="J1539" s="1471">
        <v>0</v>
      </c>
      <c r="K1539" s="1460"/>
      <c r="L1539" s="1454">
        <v>13135050520</v>
      </c>
      <c r="M1539" s="1455">
        <v>0</v>
      </c>
      <c r="N1539" s="1455">
        <v>0</v>
      </c>
      <c r="O1539" s="1456">
        <v>0</v>
      </c>
      <c r="AA1539"/>
      <c r="AB1539"/>
    </row>
    <row r="1540" spans="3:28">
      <c r="C1540" s="1461" t="s">
        <v>5322</v>
      </c>
      <c r="D1540" s="1458">
        <v>0</v>
      </c>
      <c r="E1540" s="1458">
        <v>0</v>
      </c>
      <c r="F1540" s="1459">
        <v>0</v>
      </c>
      <c r="G1540" s="1470" t="s">
        <v>5322</v>
      </c>
      <c r="H1540" s="1456">
        <v>0</v>
      </c>
      <c r="I1540" s="1456">
        <v>0</v>
      </c>
      <c r="J1540" s="1471">
        <v>0</v>
      </c>
      <c r="K1540" s="1460"/>
      <c r="L1540" s="1454">
        <v>13135050521</v>
      </c>
      <c r="M1540" s="1455">
        <v>0</v>
      </c>
      <c r="N1540" s="1455">
        <v>0</v>
      </c>
      <c r="O1540" s="1456">
        <v>0</v>
      </c>
      <c r="AA1540"/>
      <c r="AB1540"/>
    </row>
    <row r="1541" spans="3:28">
      <c r="C1541" s="1461" t="s">
        <v>5323</v>
      </c>
      <c r="D1541" s="1458">
        <v>0</v>
      </c>
      <c r="E1541" s="1458">
        <v>0</v>
      </c>
      <c r="F1541" s="1459">
        <v>0</v>
      </c>
      <c r="G1541" s="1470" t="s">
        <v>5323</v>
      </c>
      <c r="H1541" s="1456">
        <v>0</v>
      </c>
      <c r="I1541" s="1456">
        <v>0</v>
      </c>
      <c r="J1541" s="1471">
        <v>0</v>
      </c>
      <c r="K1541" s="1460"/>
      <c r="L1541" s="1454">
        <v>13135050522</v>
      </c>
      <c r="M1541" s="1455">
        <v>0</v>
      </c>
      <c r="N1541" s="1455">
        <v>0</v>
      </c>
      <c r="O1541" s="1456">
        <v>0</v>
      </c>
      <c r="AA1541"/>
      <c r="AB1541"/>
    </row>
    <row r="1542" spans="3:28">
      <c r="C1542" s="1461" t="s">
        <v>5324</v>
      </c>
      <c r="D1542" s="1458">
        <v>1</v>
      </c>
      <c r="E1542" s="1458">
        <v>1</v>
      </c>
      <c r="F1542" s="1459">
        <v>2</v>
      </c>
      <c r="G1542" s="1470" t="s">
        <v>5324</v>
      </c>
      <c r="H1542" s="1456">
        <v>0</v>
      </c>
      <c r="I1542" s="1456" t="s">
        <v>3906</v>
      </c>
      <c r="J1542" s="1471">
        <v>0</v>
      </c>
      <c r="K1542" s="1460"/>
      <c r="L1542" s="1454">
        <v>13135050523</v>
      </c>
      <c r="M1542" s="1455">
        <v>1</v>
      </c>
      <c r="N1542" s="1455">
        <v>1</v>
      </c>
      <c r="O1542" s="1456">
        <v>2</v>
      </c>
      <c r="AA1542"/>
      <c r="AB1542"/>
    </row>
    <row r="1543" spans="3:28">
      <c r="C1543" s="1461" t="s">
        <v>5325</v>
      </c>
      <c r="D1543" s="1458">
        <v>0</v>
      </c>
      <c r="E1543" s="1458">
        <v>0</v>
      </c>
      <c r="F1543" s="1459">
        <v>0</v>
      </c>
      <c r="G1543" s="1470" t="s">
        <v>5325</v>
      </c>
      <c r="H1543" s="1456">
        <v>0</v>
      </c>
      <c r="I1543" s="1456">
        <v>0</v>
      </c>
      <c r="J1543" s="1471">
        <v>0</v>
      </c>
      <c r="K1543" s="1460"/>
      <c r="L1543" s="1454">
        <v>13135050524</v>
      </c>
      <c r="M1543" s="1455">
        <v>0</v>
      </c>
      <c r="N1543" s="1455">
        <v>0</v>
      </c>
      <c r="O1543" s="1456">
        <v>0</v>
      </c>
      <c r="AA1543"/>
      <c r="AB1543"/>
    </row>
    <row r="1544" spans="3:28">
      <c r="C1544" s="1461" t="s">
        <v>5326</v>
      </c>
      <c r="D1544" s="1458">
        <v>1</v>
      </c>
      <c r="E1544" s="1458">
        <v>1</v>
      </c>
      <c r="F1544" s="1459">
        <v>2</v>
      </c>
      <c r="G1544" s="1470" t="s">
        <v>5326</v>
      </c>
      <c r="H1544" s="1456">
        <v>1</v>
      </c>
      <c r="I1544" s="1456">
        <v>1</v>
      </c>
      <c r="J1544" s="1471">
        <v>2</v>
      </c>
      <c r="K1544" s="1460"/>
      <c r="L1544" s="1454">
        <v>13135050525</v>
      </c>
      <c r="M1544" s="1455">
        <v>1</v>
      </c>
      <c r="N1544" s="1455">
        <v>1</v>
      </c>
      <c r="O1544" s="1456">
        <v>2</v>
      </c>
      <c r="AA1544"/>
      <c r="AB1544"/>
    </row>
    <row r="1545" spans="3:28">
      <c r="C1545" s="1461" t="s">
        <v>5327</v>
      </c>
      <c r="D1545" s="1458">
        <v>0</v>
      </c>
      <c r="E1545" s="1458">
        <v>0</v>
      </c>
      <c r="F1545" s="1459">
        <v>0</v>
      </c>
      <c r="G1545" s="1470" t="s">
        <v>5327</v>
      </c>
      <c r="H1545" s="1456">
        <v>1</v>
      </c>
      <c r="I1545" s="1456">
        <v>0</v>
      </c>
      <c r="J1545" s="1471">
        <v>1</v>
      </c>
      <c r="K1545" s="1460"/>
      <c r="L1545" s="1454">
        <v>13135050526</v>
      </c>
      <c r="M1545" s="1455">
        <v>1</v>
      </c>
      <c r="N1545" s="1455">
        <v>0</v>
      </c>
      <c r="O1545" s="1456">
        <v>1</v>
      </c>
      <c r="AA1545"/>
      <c r="AB1545"/>
    </row>
    <row r="1546" spans="3:28">
      <c r="C1546" s="1461" t="s">
        <v>5328</v>
      </c>
      <c r="D1546" s="1458">
        <v>1</v>
      </c>
      <c r="E1546" s="1458">
        <v>1</v>
      </c>
      <c r="F1546" s="1459">
        <v>2</v>
      </c>
      <c r="G1546" s="1470" t="s">
        <v>5328</v>
      </c>
      <c r="H1546" s="1456">
        <v>1</v>
      </c>
      <c r="I1546" s="1456">
        <v>1</v>
      </c>
      <c r="J1546" s="1471">
        <v>2</v>
      </c>
      <c r="K1546" s="1460"/>
      <c r="L1546" s="1454">
        <v>13135050527</v>
      </c>
      <c r="M1546" s="1455">
        <v>1</v>
      </c>
      <c r="N1546" s="1455">
        <v>1</v>
      </c>
      <c r="O1546" s="1456">
        <v>2</v>
      </c>
      <c r="AA1546"/>
      <c r="AB1546"/>
    </row>
    <row r="1547" spans="3:28">
      <c r="C1547" s="1461" t="s">
        <v>5329</v>
      </c>
      <c r="D1547" s="1458">
        <v>1</v>
      </c>
      <c r="E1547" s="1458">
        <v>1</v>
      </c>
      <c r="F1547" s="1459">
        <v>2</v>
      </c>
      <c r="G1547" s="1470" t="s">
        <v>5329</v>
      </c>
      <c r="H1547" s="1456">
        <v>1</v>
      </c>
      <c r="I1547" s="1456">
        <v>1</v>
      </c>
      <c r="J1547" s="1471">
        <v>2</v>
      </c>
      <c r="K1547" s="1460"/>
      <c r="L1547" s="1454">
        <v>13135050528</v>
      </c>
      <c r="M1547" s="1455">
        <v>1</v>
      </c>
      <c r="N1547" s="1455">
        <v>1</v>
      </c>
      <c r="O1547" s="1456">
        <v>2</v>
      </c>
      <c r="AA1547"/>
      <c r="AB1547"/>
    </row>
    <row r="1548" spans="3:28">
      <c r="C1548" s="1461" t="s">
        <v>5330</v>
      </c>
      <c r="D1548" s="1458">
        <v>1</v>
      </c>
      <c r="E1548" s="1458">
        <v>0</v>
      </c>
      <c r="F1548" s="1459">
        <v>1</v>
      </c>
      <c r="G1548" s="1470" t="s">
        <v>5330</v>
      </c>
      <c r="H1548" s="1456">
        <v>1</v>
      </c>
      <c r="I1548" s="1456" t="s">
        <v>3906</v>
      </c>
      <c r="J1548" s="1471">
        <v>1</v>
      </c>
      <c r="K1548" s="1460"/>
      <c r="L1548" s="1454">
        <v>13135050529</v>
      </c>
      <c r="M1548" s="1455">
        <v>1</v>
      </c>
      <c r="N1548" s="1455">
        <v>0</v>
      </c>
      <c r="O1548" s="1456">
        <v>1</v>
      </c>
      <c r="AA1548"/>
      <c r="AB1548"/>
    </row>
    <row r="1549" spans="3:28">
      <c r="C1549" s="1461" t="s">
        <v>5331</v>
      </c>
      <c r="D1549" s="1458">
        <v>1</v>
      </c>
      <c r="E1549" s="1458">
        <v>1</v>
      </c>
      <c r="F1549" s="1459">
        <v>2</v>
      </c>
      <c r="G1549" s="1470" t="s">
        <v>5331</v>
      </c>
      <c r="H1549" s="1456">
        <v>1</v>
      </c>
      <c r="I1549" s="1456">
        <v>1</v>
      </c>
      <c r="J1549" s="1471">
        <v>2</v>
      </c>
      <c r="K1549" s="1460"/>
      <c r="L1549" s="1454">
        <v>13135050530</v>
      </c>
      <c r="M1549" s="1455">
        <v>1</v>
      </c>
      <c r="N1549" s="1455">
        <v>1</v>
      </c>
      <c r="O1549" s="1456">
        <v>2</v>
      </c>
      <c r="AA1549"/>
      <c r="AB1549"/>
    </row>
    <row r="1550" spans="3:28">
      <c r="C1550" s="1461" t="s">
        <v>5332</v>
      </c>
      <c r="D1550" s="1458">
        <v>1</v>
      </c>
      <c r="E1550" s="1458">
        <v>0</v>
      </c>
      <c r="F1550" s="1459">
        <v>1</v>
      </c>
      <c r="G1550" s="1470" t="s">
        <v>5332</v>
      </c>
      <c r="H1550" s="1456">
        <v>0</v>
      </c>
      <c r="I1550" s="1456">
        <v>0</v>
      </c>
      <c r="J1550" s="1471">
        <v>0</v>
      </c>
      <c r="K1550" s="1460"/>
      <c r="L1550" s="1454">
        <v>13135050531</v>
      </c>
      <c r="M1550" s="1455">
        <v>1</v>
      </c>
      <c r="N1550" s="1455">
        <v>0</v>
      </c>
      <c r="O1550" s="1456">
        <v>1</v>
      </c>
      <c r="AA1550"/>
      <c r="AB1550"/>
    </row>
    <row r="1551" spans="3:28">
      <c r="C1551" s="1461" t="s">
        <v>5333</v>
      </c>
      <c r="D1551" s="1458">
        <v>1</v>
      </c>
      <c r="E1551" s="1458">
        <v>0</v>
      </c>
      <c r="F1551" s="1459">
        <v>1</v>
      </c>
      <c r="G1551" s="1470" t="s">
        <v>5333</v>
      </c>
      <c r="H1551" s="1456">
        <v>1</v>
      </c>
      <c r="I1551" s="1456">
        <v>0</v>
      </c>
      <c r="J1551" s="1471">
        <v>1</v>
      </c>
      <c r="K1551" s="1460"/>
      <c r="L1551" s="1454">
        <v>13135050532</v>
      </c>
      <c r="M1551" s="1455">
        <v>1</v>
      </c>
      <c r="N1551" s="1455">
        <v>0</v>
      </c>
      <c r="O1551" s="1456">
        <v>1</v>
      </c>
      <c r="AA1551"/>
      <c r="AB1551"/>
    </row>
    <row r="1552" spans="3:28">
      <c r="C1552" s="1461" t="s">
        <v>5334</v>
      </c>
      <c r="D1552" s="1458">
        <v>1</v>
      </c>
      <c r="E1552" s="1458">
        <v>0</v>
      </c>
      <c r="F1552" s="1459">
        <v>1</v>
      </c>
      <c r="G1552" s="1470" t="s">
        <v>5334</v>
      </c>
      <c r="H1552" s="1456">
        <v>1</v>
      </c>
      <c r="I1552" s="1456">
        <v>0</v>
      </c>
      <c r="J1552" s="1471">
        <v>1</v>
      </c>
      <c r="K1552" s="1460"/>
      <c r="L1552" s="1454">
        <v>13135050533</v>
      </c>
      <c r="M1552" s="1455">
        <v>1</v>
      </c>
      <c r="N1552" s="1455">
        <v>0</v>
      </c>
      <c r="O1552" s="1456">
        <v>1</v>
      </c>
      <c r="AA1552"/>
      <c r="AB1552"/>
    </row>
    <row r="1553" spans="3:28">
      <c r="C1553" s="1461" t="s">
        <v>5335</v>
      </c>
      <c r="D1553" s="1458">
        <v>1</v>
      </c>
      <c r="E1553" s="1458">
        <v>1</v>
      </c>
      <c r="F1553" s="1459">
        <v>2</v>
      </c>
      <c r="G1553" s="1470" t="s">
        <v>5335</v>
      </c>
      <c r="H1553" s="1456">
        <v>1</v>
      </c>
      <c r="I1553" s="1456" t="s">
        <v>3906</v>
      </c>
      <c r="J1553" s="1471">
        <v>1</v>
      </c>
      <c r="K1553" s="1460"/>
      <c r="L1553" s="1454">
        <v>13135050534</v>
      </c>
      <c r="M1553" s="1455">
        <v>1</v>
      </c>
      <c r="N1553" s="1455">
        <v>1</v>
      </c>
      <c r="O1553" s="1456">
        <v>2</v>
      </c>
      <c r="AA1553"/>
      <c r="AB1553"/>
    </row>
    <row r="1554" spans="3:28">
      <c r="C1554" s="1461" t="s">
        <v>5336</v>
      </c>
      <c r="D1554" s="1458">
        <v>1</v>
      </c>
      <c r="E1554" s="1458">
        <v>0</v>
      </c>
      <c r="F1554" s="1459">
        <v>1</v>
      </c>
      <c r="G1554" s="1470" t="s">
        <v>5336</v>
      </c>
      <c r="H1554" s="1456">
        <v>1</v>
      </c>
      <c r="I1554" s="1456">
        <v>0</v>
      </c>
      <c r="J1554" s="1471">
        <v>1</v>
      </c>
      <c r="K1554" s="1460"/>
      <c r="L1554" s="1454">
        <v>13135050535</v>
      </c>
      <c r="M1554" s="1455">
        <v>1</v>
      </c>
      <c r="N1554" s="1455">
        <v>0</v>
      </c>
      <c r="O1554" s="1456">
        <v>1</v>
      </c>
      <c r="AA1554"/>
      <c r="AB1554"/>
    </row>
    <row r="1555" spans="3:28">
      <c r="C1555" s="1461" t="s">
        <v>5337</v>
      </c>
      <c r="D1555" s="1458">
        <v>1</v>
      </c>
      <c r="E1555" s="1458">
        <v>1</v>
      </c>
      <c r="F1555" s="1459">
        <v>2</v>
      </c>
      <c r="G1555" s="1470" t="s">
        <v>5337</v>
      </c>
      <c r="H1555" s="1456">
        <v>1</v>
      </c>
      <c r="I1555" s="1456">
        <v>0</v>
      </c>
      <c r="J1555" s="1471">
        <v>1</v>
      </c>
      <c r="K1555" s="1460"/>
      <c r="L1555" s="1454">
        <v>13135050536</v>
      </c>
      <c r="M1555" s="1455">
        <v>1</v>
      </c>
      <c r="N1555" s="1455">
        <v>1</v>
      </c>
      <c r="O1555" s="1456">
        <v>2</v>
      </c>
      <c r="AA1555"/>
      <c r="AB1555"/>
    </row>
    <row r="1556" spans="3:28">
      <c r="C1556" s="1461" t="s">
        <v>5338</v>
      </c>
      <c r="D1556" s="1458">
        <v>0</v>
      </c>
      <c r="E1556" s="1458">
        <v>0</v>
      </c>
      <c r="F1556" s="1459">
        <v>0</v>
      </c>
      <c r="G1556" s="1470" t="s">
        <v>5338</v>
      </c>
      <c r="H1556" s="1456">
        <v>0</v>
      </c>
      <c r="I1556" s="1456" t="s">
        <v>3906</v>
      </c>
      <c r="J1556" s="1471">
        <v>0</v>
      </c>
      <c r="K1556" s="1460"/>
      <c r="L1556" s="1454">
        <v>13135050537</v>
      </c>
      <c r="M1556" s="1455">
        <v>0</v>
      </c>
      <c r="N1556" s="1455">
        <v>0</v>
      </c>
      <c r="O1556" s="1456">
        <v>0</v>
      </c>
      <c r="AA1556"/>
      <c r="AB1556"/>
    </row>
    <row r="1557" spans="3:28">
      <c r="C1557" s="1461" t="s">
        <v>5339</v>
      </c>
      <c r="D1557" s="1458">
        <v>1</v>
      </c>
      <c r="E1557" s="1458">
        <v>1</v>
      </c>
      <c r="F1557" s="1459">
        <v>2</v>
      </c>
      <c r="G1557" s="1470" t="s">
        <v>5339</v>
      </c>
      <c r="H1557" s="1456">
        <v>1</v>
      </c>
      <c r="I1557" s="1456">
        <v>0</v>
      </c>
      <c r="J1557" s="1471">
        <v>1</v>
      </c>
      <c r="K1557" s="1460"/>
      <c r="L1557" s="1454">
        <v>13135050538</v>
      </c>
      <c r="M1557" s="1455">
        <v>1</v>
      </c>
      <c r="N1557" s="1455">
        <v>1</v>
      </c>
      <c r="O1557" s="1456">
        <v>2</v>
      </c>
      <c r="AA1557"/>
      <c r="AB1557"/>
    </row>
    <row r="1558" spans="3:28">
      <c r="C1558" s="1461" t="s">
        <v>5340</v>
      </c>
      <c r="D1558" s="1458">
        <v>0</v>
      </c>
      <c r="E1558" s="1458">
        <v>0</v>
      </c>
      <c r="F1558" s="1459">
        <v>0</v>
      </c>
      <c r="G1558" s="1470" t="s">
        <v>5340</v>
      </c>
      <c r="H1558" s="1456">
        <v>0</v>
      </c>
      <c r="I1558" s="1456">
        <v>0</v>
      </c>
      <c r="J1558" s="1471">
        <v>0</v>
      </c>
      <c r="K1558" s="1460"/>
      <c r="L1558" s="1454">
        <v>13135050539</v>
      </c>
      <c r="M1558" s="1455">
        <v>0</v>
      </c>
      <c r="N1558" s="1455">
        <v>0</v>
      </c>
      <c r="O1558" s="1456">
        <v>0</v>
      </c>
      <c r="AA1558"/>
      <c r="AB1558"/>
    </row>
    <row r="1559" spans="3:28">
      <c r="C1559" s="1461" t="s">
        <v>5341</v>
      </c>
      <c r="D1559" s="1458">
        <v>1</v>
      </c>
      <c r="E1559" s="1458">
        <v>1</v>
      </c>
      <c r="F1559" s="1459">
        <v>2</v>
      </c>
      <c r="G1559" s="1470" t="s">
        <v>5341</v>
      </c>
      <c r="H1559" s="1456">
        <v>0</v>
      </c>
      <c r="I1559" s="1456">
        <v>0</v>
      </c>
      <c r="J1559" s="1471">
        <v>0</v>
      </c>
      <c r="K1559" s="1460"/>
      <c r="L1559" s="1454">
        <v>13135050540</v>
      </c>
      <c r="M1559" s="1455">
        <v>1</v>
      </c>
      <c r="N1559" s="1455">
        <v>1</v>
      </c>
      <c r="O1559" s="1456">
        <v>2</v>
      </c>
      <c r="AA1559"/>
      <c r="AB1559"/>
    </row>
    <row r="1560" spans="3:28">
      <c r="C1560" s="1461" t="s">
        <v>5342</v>
      </c>
      <c r="D1560" s="1458">
        <v>0</v>
      </c>
      <c r="E1560" s="1458">
        <v>0</v>
      </c>
      <c r="F1560" s="1459">
        <v>0</v>
      </c>
      <c r="G1560" s="1470" t="s">
        <v>5342</v>
      </c>
      <c r="H1560" s="1456">
        <v>0</v>
      </c>
      <c r="I1560" s="1456" t="s">
        <v>3906</v>
      </c>
      <c r="J1560" s="1471">
        <v>0</v>
      </c>
      <c r="K1560" s="1460"/>
      <c r="L1560" s="1454">
        <v>13135050541</v>
      </c>
      <c r="M1560" s="1455">
        <v>0</v>
      </c>
      <c r="N1560" s="1455">
        <v>0</v>
      </c>
      <c r="O1560" s="1456">
        <v>0</v>
      </c>
      <c r="AA1560"/>
      <c r="AB1560"/>
    </row>
    <row r="1561" spans="3:28">
      <c r="C1561" s="1461" t="s">
        <v>5343</v>
      </c>
      <c r="D1561" s="1458">
        <v>0</v>
      </c>
      <c r="E1561" s="1458">
        <v>0</v>
      </c>
      <c r="F1561" s="1459">
        <v>0</v>
      </c>
      <c r="G1561" s="1470" t="s">
        <v>5343</v>
      </c>
      <c r="H1561" s="1456">
        <v>0</v>
      </c>
      <c r="I1561" s="1456">
        <v>0</v>
      </c>
      <c r="J1561" s="1471">
        <v>0</v>
      </c>
      <c r="K1561" s="1460"/>
      <c r="L1561" s="1454">
        <v>13135050542</v>
      </c>
      <c r="M1561" s="1455">
        <v>0</v>
      </c>
      <c r="N1561" s="1455">
        <v>0</v>
      </c>
      <c r="O1561" s="1456">
        <v>0</v>
      </c>
      <c r="AA1561"/>
      <c r="AB1561"/>
    </row>
    <row r="1562" spans="3:28">
      <c r="C1562" s="1461" t="s">
        <v>5344</v>
      </c>
      <c r="D1562" s="1458">
        <v>1</v>
      </c>
      <c r="E1562" s="1458">
        <v>1</v>
      </c>
      <c r="F1562" s="1459">
        <v>2</v>
      </c>
      <c r="G1562" s="1470" t="s">
        <v>5344</v>
      </c>
      <c r="H1562" s="1456">
        <v>1</v>
      </c>
      <c r="I1562" s="1456">
        <v>1</v>
      </c>
      <c r="J1562" s="1471">
        <v>2</v>
      </c>
      <c r="K1562" s="1460"/>
      <c r="L1562" s="1454">
        <v>13135050543</v>
      </c>
      <c r="M1562" s="1455">
        <v>1</v>
      </c>
      <c r="N1562" s="1455">
        <v>1</v>
      </c>
      <c r="O1562" s="1456">
        <v>2</v>
      </c>
      <c r="AA1562"/>
      <c r="AB1562"/>
    </row>
    <row r="1563" spans="3:28">
      <c r="C1563" s="1461" t="s">
        <v>5345</v>
      </c>
      <c r="D1563" s="1458">
        <v>1</v>
      </c>
      <c r="E1563" s="1458">
        <v>1</v>
      </c>
      <c r="F1563" s="1459">
        <v>2</v>
      </c>
      <c r="G1563" s="1470" t="s">
        <v>5345</v>
      </c>
      <c r="H1563" s="1456">
        <v>1</v>
      </c>
      <c r="I1563" s="1456">
        <v>1</v>
      </c>
      <c r="J1563" s="1471">
        <v>2</v>
      </c>
      <c r="K1563" s="1460"/>
      <c r="L1563" s="1454">
        <v>13135050544</v>
      </c>
      <c r="M1563" s="1455">
        <v>1</v>
      </c>
      <c r="N1563" s="1455">
        <v>1</v>
      </c>
      <c r="O1563" s="1456">
        <v>2</v>
      </c>
      <c r="AA1563"/>
      <c r="AB1563"/>
    </row>
    <row r="1564" spans="3:28">
      <c r="C1564" s="1461" t="s">
        <v>5346</v>
      </c>
      <c r="D1564" s="1458">
        <v>1</v>
      </c>
      <c r="E1564" s="1458">
        <v>0</v>
      </c>
      <c r="F1564" s="1459">
        <v>1</v>
      </c>
      <c r="G1564" s="1470" t="s">
        <v>5346</v>
      </c>
      <c r="H1564" s="1456">
        <v>1</v>
      </c>
      <c r="I1564" s="1456">
        <v>0</v>
      </c>
      <c r="J1564" s="1471">
        <v>1</v>
      </c>
      <c r="K1564" s="1460"/>
      <c r="L1564" s="1454">
        <v>13135050545</v>
      </c>
      <c r="M1564" s="1455">
        <v>1</v>
      </c>
      <c r="N1564" s="1455">
        <v>0</v>
      </c>
      <c r="O1564" s="1456">
        <v>1</v>
      </c>
      <c r="AA1564"/>
      <c r="AB1564"/>
    </row>
    <row r="1565" spans="3:28">
      <c r="C1565" s="1461" t="s">
        <v>5347</v>
      </c>
      <c r="D1565" s="1458">
        <v>1</v>
      </c>
      <c r="E1565" s="1458">
        <v>1</v>
      </c>
      <c r="F1565" s="1459">
        <v>2</v>
      </c>
      <c r="G1565" s="1470" t="s">
        <v>5347</v>
      </c>
      <c r="H1565" s="1456">
        <v>1</v>
      </c>
      <c r="I1565" s="1456">
        <v>1</v>
      </c>
      <c r="J1565" s="1471">
        <v>2</v>
      </c>
      <c r="K1565" s="1460"/>
      <c r="L1565" s="1454">
        <v>13135050546</v>
      </c>
      <c r="M1565" s="1455">
        <v>1</v>
      </c>
      <c r="N1565" s="1455">
        <v>1</v>
      </c>
      <c r="O1565" s="1456">
        <v>2</v>
      </c>
      <c r="AA1565"/>
      <c r="AB1565"/>
    </row>
    <row r="1566" spans="3:28">
      <c r="C1566" s="1461" t="s">
        <v>5348</v>
      </c>
      <c r="D1566" s="1458">
        <v>1</v>
      </c>
      <c r="E1566" s="1458">
        <v>1</v>
      </c>
      <c r="F1566" s="1459">
        <v>2</v>
      </c>
      <c r="G1566" s="1470" t="s">
        <v>5348</v>
      </c>
      <c r="H1566" s="1456">
        <v>1</v>
      </c>
      <c r="I1566" s="1456">
        <v>1</v>
      </c>
      <c r="J1566" s="1471">
        <v>2</v>
      </c>
      <c r="K1566" s="1460"/>
      <c r="L1566" s="1454">
        <v>13135050547</v>
      </c>
      <c r="M1566" s="1455">
        <v>1</v>
      </c>
      <c r="N1566" s="1455">
        <v>1</v>
      </c>
      <c r="O1566" s="1456">
        <v>2</v>
      </c>
      <c r="AA1566"/>
      <c r="AB1566"/>
    </row>
    <row r="1567" spans="3:28">
      <c r="C1567" s="1461" t="s">
        <v>5349</v>
      </c>
      <c r="D1567" s="1458">
        <v>1</v>
      </c>
      <c r="E1567" s="1458">
        <v>1</v>
      </c>
      <c r="F1567" s="1459">
        <v>2</v>
      </c>
      <c r="G1567" s="1470" t="s">
        <v>5349</v>
      </c>
      <c r="H1567" s="1456">
        <v>1</v>
      </c>
      <c r="I1567" s="1456">
        <v>1</v>
      </c>
      <c r="J1567" s="1471">
        <v>2</v>
      </c>
      <c r="K1567" s="1460"/>
      <c r="L1567" s="1454">
        <v>13135050548</v>
      </c>
      <c r="M1567" s="1455">
        <v>1</v>
      </c>
      <c r="N1567" s="1455">
        <v>1</v>
      </c>
      <c r="O1567" s="1456">
        <v>2</v>
      </c>
      <c r="AA1567"/>
      <c r="AB1567"/>
    </row>
    <row r="1568" spans="3:28">
      <c r="C1568" s="1461" t="s">
        <v>5350</v>
      </c>
      <c r="D1568" s="1458">
        <v>1</v>
      </c>
      <c r="E1568" s="1458">
        <v>1</v>
      </c>
      <c r="F1568" s="1459">
        <v>2</v>
      </c>
      <c r="G1568" s="1470" t="s">
        <v>5350</v>
      </c>
      <c r="H1568" s="1456">
        <v>1</v>
      </c>
      <c r="I1568" s="1456">
        <v>1</v>
      </c>
      <c r="J1568" s="1471">
        <v>2</v>
      </c>
      <c r="K1568" s="1460"/>
      <c r="L1568" s="1454">
        <v>13135050549</v>
      </c>
      <c r="M1568" s="1455">
        <v>1</v>
      </c>
      <c r="N1568" s="1455">
        <v>1</v>
      </c>
      <c r="O1568" s="1456">
        <v>2</v>
      </c>
      <c r="AA1568"/>
      <c r="AB1568"/>
    </row>
    <row r="1569" spans="3:28">
      <c r="C1569" s="1461" t="s">
        <v>5351</v>
      </c>
      <c r="D1569" s="1458">
        <v>1</v>
      </c>
      <c r="E1569" s="1458">
        <v>1</v>
      </c>
      <c r="F1569" s="1459">
        <v>2</v>
      </c>
      <c r="G1569" s="1470" t="s">
        <v>5351</v>
      </c>
      <c r="H1569" s="1456">
        <v>1</v>
      </c>
      <c r="I1569" s="1456">
        <v>1</v>
      </c>
      <c r="J1569" s="1471">
        <v>2</v>
      </c>
      <c r="K1569" s="1460"/>
      <c r="L1569" s="1454">
        <v>13135050605</v>
      </c>
      <c r="M1569" s="1455">
        <v>1</v>
      </c>
      <c r="N1569" s="1455">
        <v>1</v>
      </c>
      <c r="O1569" s="1456">
        <v>2</v>
      </c>
      <c r="AA1569"/>
      <c r="AB1569"/>
    </row>
    <row r="1570" spans="3:28">
      <c r="C1570" s="1461" t="s">
        <v>5352</v>
      </c>
      <c r="D1570" s="1458">
        <v>1</v>
      </c>
      <c r="E1570" s="1458">
        <v>1</v>
      </c>
      <c r="F1570" s="1459">
        <v>2</v>
      </c>
      <c r="G1570" s="1470" t="s">
        <v>5352</v>
      </c>
      <c r="H1570" s="1456">
        <v>1</v>
      </c>
      <c r="I1570" s="1456">
        <v>1</v>
      </c>
      <c r="J1570" s="1471">
        <v>2</v>
      </c>
      <c r="K1570" s="1460"/>
      <c r="L1570" s="1454">
        <v>13135050606</v>
      </c>
      <c r="M1570" s="1455">
        <v>1</v>
      </c>
      <c r="N1570" s="1455">
        <v>1</v>
      </c>
      <c r="O1570" s="1456">
        <v>2</v>
      </c>
      <c r="AA1570"/>
      <c r="AB1570"/>
    </row>
    <row r="1571" spans="3:28">
      <c r="C1571" s="1461" t="s">
        <v>5353</v>
      </c>
      <c r="D1571" s="1458">
        <v>1</v>
      </c>
      <c r="E1571" s="1458">
        <v>1</v>
      </c>
      <c r="F1571" s="1459">
        <v>2</v>
      </c>
      <c r="G1571" s="1470" t="s">
        <v>5353</v>
      </c>
      <c r="H1571" s="1456">
        <v>1</v>
      </c>
      <c r="I1571" s="1456">
        <v>1</v>
      </c>
      <c r="J1571" s="1471">
        <v>2</v>
      </c>
      <c r="K1571" s="1460"/>
      <c r="L1571" s="1454">
        <v>13135050607</v>
      </c>
      <c r="M1571" s="1455">
        <v>1</v>
      </c>
      <c r="N1571" s="1455">
        <v>1</v>
      </c>
      <c r="O1571" s="1456">
        <v>2</v>
      </c>
      <c r="AA1571"/>
      <c r="AB1571"/>
    </row>
    <row r="1572" spans="3:28">
      <c r="C1572" s="1461" t="s">
        <v>5354</v>
      </c>
      <c r="D1572" s="1458">
        <v>1</v>
      </c>
      <c r="E1572" s="1458">
        <v>1</v>
      </c>
      <c r="F1572" s="1459">
        <v>2</v>
      </c>
      <c r="G1572" s="1470" t="s">
        <v>5354</v>
      </c>
      <c r="H1572" s="1456">
        <v>1</v>
      </c>
      <c r="I1572" s="1456">
        <v>1</v>
      </c>
      <c r="J1572" s="1471">
        <v>2</v>
      </c>
      <c r="K1572" s="1460"/>
      <c r="L1572" s="1454">
        <v>13135050608</v>
      </c>
      <c r="M1572" s="1455">
        <v>1</v>
      </c>
      <c r="N1572" s="1455">
        <v>1</v>
      </c>
      <c r="O1572" s="1456">
        <v>2</v>
      </c>
      <c r="AA1572"/>
      <c r="AB1572"/>
    </row>
    <row r="1573" spans="3:28">
      <c r="C1573" s="1461" t="s">
        <v>5355</v>
      </c>
      <c r="D1573" s="1458">
        <v>1</v>
      </c>
      <c r="E1573" s="1458">
        <v>1</v>
      </c>
      <c r="F1573" s="1459">
        <v>2</v>
      </c>
      <c r="G1573" s="1470" t="s">
        <v>5355</v>
      </c>
      <c r="H1573" s="1456">
        <v>1</v>
      </c>
      <c r="I1573" s="1456">
        <v>1</v>
      </c>
      <c r="J1573" s="1471">
        <v>2</v>
      </c>
      <c r="K1573" s="1460"/>
      <c r="L1573" s="1454">
        <v>13135050609</v>
      </c>
      <c r="M1573" s="1455">
        <v>1</v>
      </c>
      <c r="N1573" s="1455">
        <v>1</v>
      </c>
      <c r="O1573" s="1456">
        <v>2</v>
      </c>
      <c r="AA1573"/>
      <c r="AB1573"/>
    </row>
    <row r="1574" spans="3:28">
      <c r="C1574" s="1461" t="s">
        <v>5356</v>
      </c>
      <c r="D1574" s="1458">
        <v>1</v>
      </c>
      <c r="E1574" s="1458">
        <v>1</v>
      </c>
      <c r="F1574" s="1459">
        <v>2</v>
      </c>
      <c r="G1574" s="1470" t="s">
        <v>5356</v>
      </c>
      <c r="H1574" s="1456">
        <v>1</v>
      </c>
      <c r="I1574" s="1456">
        <v>1</v>
      </c>
      <c r="J1574" s="1471">
        <v>2</v>
      </c>
      <c r="K1574" s="1460"/>
      <c r="L1574" s="1454">
        <v>13135050610</v>
      </c>
      <c r="M1574" s="1455">
        <v>1</v>
      </c>
      <c r="N1574" s="1455">
        <v>1</v>
      </c>
      <c r="O1574" s="1456">
        <v>2</v>
      </c>
      <c r="AA1574"/>
      <c r="AB1574"/>
    </row>
    <row r="1575" spans="3:28">
      <c r="C1575" s="1461" t="s">
        <v>5357</v>
      </c>
      <c r="D1575" s="1458">
        <v>0</v>
      </c>
      <c r="E1575" s="1458">
        <v>1</v>
      </c>
      <c r="F1575" s="1459">
        <v>1</v>
      </c>
      <c r="G1575" s="1470" t="s">
        <v>5357</v>
      </c>
      <c r="H1575" s="1456">
        <v>0</v>
      </c>
      <c r="I1575" s="1456">
        <v>1</v>
      </c>
      <c r="J1575" s="1471">
        <v>1</v>
      </c>
      <c r="K1575" s="1460"/>
      <c r="L1575" s="1454">
        <v>13135050709</v>
      </c>
      <c r="M1575" s="1455">
        <v>0</v>
      </c>
      <c r="N1575" s="1455">
        <v>1</v>
      </c>
      <c r="O1575" s="1456">
        <v>1</v>
      </c>
      <c r="AA1575"/>
      <c r="AB1575"/>
    </row>
    <row r="1576" spans="3:28">
      <c r="C1576" s="1461" t="s">
        <v>5358</v>
      </c>
      <c r="D1576" s="1458">
        <v>1</v>
      </c>
      <c r="E1576" s="1458">
        <v>1</v>
      </c>
      <c r="F1576" s="1459">
        <v>2</v>
      </c>
      <c r="G1576" s="1470" t="s">
        <v>5358</v>
      </c>
      <c r="H1576" s="1456">
        <v>1</v>
      </c>
      <c r="I1576" s="1456">
        <v>1</v>
      </c>
      <c r="J1576" s="1471">
        <v>2</v>
      </c>
      <c r="K1576" s="1460"/>
      <c r="L1576" s="1454">
        <v>13135050712</v>
      </c>
      <c r="M1576" s="1455">
        <v>1</v>
      </c>
      <c r="N1576" s="1455">
        <v>1</v>
      </c>
      <c r="O1576" s="1456">
        <v>2</v>
      </c>
      <c r="AA1576"/>
      <c r="AB1576"/>
    </row>
    <row r="1577" spans="3:28">
      <c r="C1577" s="1461" t="s">
        <v>5359</v>
      </c>
      <c r="D1577" s="1458">
        <v>1</v>
      </c>
      <c r="E1577" s="1458">
        <v>1</v>
      </c>
      <c r="F1577" s="1459">
        <v>2</v>
      </c>
      <c r="G1577" s="1470" t="s">
        <v>5359</v>
      </c>
      <c r="H1577" s="1456">
        <v>1</v>
      </c>
      <c r="I1577" s="1456">
        <v>1</v>
      </c>
      <c r="J1577" s="1471">
        <v>2</v>
      </c>
      <c r="K1577" s="1460"/>
      <c r="L1577" s="1454">
        <v>13135050713</v>
      </c>
      <c r="M1577" s="1455">
        <v>1</v>
      </c>
      <c r="N1577" s="1455">
        <v>1</v>
      </c>
      <c r="O1577" s="1456">
        <v>2</v>
      </c>
      <c r="AA1577"/>
      <c r="AB1577"/>
    </row>
    <row r="1578" spans="3:28">
      <c r="C1578" s="1461" t="s">
        <v>5360</v>
      </c>
      <c r="D1578" s="1458">
        <v>1</v>
      </c>
      <c r="E1578" s="1458">
        <v>1</v>
      </c>
      <c r="F1578" s="1459">
        <v>2</v>
      </c>
      <c r="G1578" s="1470" t="s">
        <v>5360</v>
      </c>
      <c r="H1578" s="1456">
        <v>1</v>
      </c>
      <c r="I1578" s="1456">
        <v>1</v>
      </c>
      <c r="J1578" s="1471">
        <v>2</v>
      </c>
      <c r="K1578" s="1460"/>
      <c r="L1578" s="1454">
        <v>13135050714</v>
      </c>
      <c r="M1578" s="1455">
        <v>1</v>
      </c>
      <c r="N1578" s="1455">
        <v>1</v>
      </c>
      <c r="O1578" s="1456">
        <v>2</v>
      </c>
      <c r="AA1578"/>
      <c r="AB1578"/>
    </row>
    <row r="1579" spans="3:28">
      <c r="C1579" s="1461" t="s">
        <v>5361</v>
      </c>
      <c r="D1579" s="1458">
        <v>1</v>
      </c>
      <c r="E1579" s="1458">
        <v>1</v>
      </c>
      <c r="F1579" s="1459">
        <v>2</v>
      </c>
      <c r="G1579" s="1470" t="s">
        <v>5361</v>
      </c>
      <c r="H1579" s="1456">
        <v>1</v>
      </c>
      <c r="I1579" s="1456">
        <v>1</v>
      </c>
      <c r="J1579" s="1471">
        <v>2</v>
      </c>
      <c r="K1579" s="1460"/>
      <c r="L1579" s="1454">
        <v>13135050715</v>
      </c>
      <c r="M1579" s="1455">
        <v>1</v>
      </c>
      <c r="N1579" s="1455">
        <v>1</v>
      </c>
      <c r="O1579" s="1456">
        <v>2</v>
      </c>
      <c r="AA1579"/>
      <c r="AB1579"/>
    </row>
    <row r="1580" spans="3:28">
      <c r="C1580" s="1461" t="s">
        <v>5362</v>
      </c>
      <c r="D1580" s="1458">
        <v>1</v>
      </c>
      <c r="E1580" s="1458">
        <v>1</v>
      </c>
      <c r="F1580" s="1459">
        <v>2</v>
      </c>
      <c r="G1580" s="1470" t="s">
        <v>5362</v>
      </c>
      <c r="H1580" s="1456">
        <v>1</v>
      </c>
      <c r="I1580" s="1456" t="s">
        <v>3906</v>
      </c>
      <c r="J1580" s="1471">
        <v>1</v>
      </c>
      <c r="K1580" s="1460"/>
      <c r="L1580" s="1454">
        <v>13135050718</v>
      </c>
      <c r="M1580" s="1455">
        <v>1</v>
      </c>
      <c r="N1580" s="1455">
        <v>1</v>
      </c>
      <c r="O1580" s="1456">
        <v>2</v>
      </c>
      <c r="AA1580"/>
      <c r="AB1580"/>
    </row>
    <row r="1581" spans="3:28">
      <c r="C1581" s="1461" t="s">
        <v>5363</v>
      </c>
      <c r="D1581" s="1458">
        <v>1</v>
      </c>
      <c r="E1581" s="1458">
        <v>1</v>
      </c>
      <c r="F1581" s="1459">
        <v>2</v>
      </c>
      <c r="G1581" s="1470" t="s">
        <v>5363</v>
      </c>
      <c r="H1581" s="1456">
        <v>1</v>
      </c>
      <c r="I1581" s="1456">
        <v>0</v>
      </c>
      <c r="J1581" s="1471">
        <v>1</v>
      </c>
      <c r="K1581" s="1460"/>
      <c r="L1581" s="1454">
        <v>13135050719</v>
      </c>
      <c r="M1581" s="1455">
        <v>1</v>
      </c>
      <c r="N1581" s="1455">
        <v>1</v>
      </c>
      <c r="O1581" s="1456">
        <v>2</v>
      </c>
      <c r="AA1581"/>
      <c r="AB1581"/>
    </row>
    <row r="1582" spans="3:28">
      <c r="C1582" s="1461" t="s">
        <v>5364</v>
      </c>
      <c r="D1582" s="1458">
        <v>1</v>
      </c>
      <c r="E1582" s="1458">
        <v>1</v>
      </c>
      <c r="F1582" s="1459">
        <v>2</v>
      </c>
      <c r="G1582" s="1470" t="s">
        <v>5364</v>
      </c>
      <c r="H1582" s="1456">
        <v>1</v>
      </c>
      <c r="I1582" s="1456">
        <v>1</v>
      </c>
      <c r="J1582" s="1471">
        <v>2</v>
      </c>
      <c r="K1582" s="1460"/>
      <c r="L1582" s="1454">
        <v>13135050720</v>
      </c>
      <c r="M1582" s="1455">
        <v>1</v>
      </c>
      <c r="N1582" s="1455">
        <v>1</v>
      </c>
      <c r="O1582" s="1456">
        <v>2</v>
      </c>
      <c r="AA1582"/>
      <c r="AB1582"/>
    </row>
    <row r="1583" spans="3:28">
      <c r="C1583" s="1461" t="s">
        <v>5365</v>
      </c>
      <c r="D1583" s="1458">
        <v>1</v>
      </c>
      <c r="E1583" s="1458">
        <v>0</v>
      </c>
      <c r="F1583" s="1459">
        <v>1</v>
      </c>
      <c r="G1583" s="1470" t="s">
        <v>5365</v>
      </c>
      <c r="H1583" s="1456">
        <v>1</v>
      </c>
      <c r="I1583" s="1456">
        <v>1</v>
      </c>
      <c r="J1583" s="1471">
        <v>2</v>
      </c>
      <c r="K1583" s="1460"/>
      <c r="L1583" s="1454">
        <v>13135050721</v>
      </c>
      <c r="M1583" s="1455">
        <v>1</v>
      </c>
      <c r="N1583" s="1455">
        <v>1</v>
      </c>
      <c r="O1583" s="1456">
        <v>2</v>
      </c>
      <c r="AA1583"/>
      <c r="AB1583"/>
    </row>
    <row r="1584" spans="3:28">
      <c r="C1584" s="1461" t="s">
        <v>5366</v>
      </c>
      <c r="D1584" s="1458">
        <v>0</v>
      </c>
      <c r="E1584" s="1458">
        <v>0</v>
      </c>
      <c r="F1584" s="1459">
        <v>0</v>
      </c>
      <c r="G1584" s="1470" t="s">
        <v>5366</v>
      </c>
      <c r="H1584" s="1456">
        <v>0</v>
      </c>
      <c r="I1584" s="1456">
        <v>0</v>
      </c>
      <c r="J1584" s="1471">
        <v>0</v>
      </c>
      <c r="K1584" s="1460"/>
      <c r="L1584" s="1454">
        <v>13135050722</v>
      </c>
      <c r="M1584" s="1455">
        <v>0</v>
      </c>
      <c r="N1584" s="1455">
        <v>0</v>
      </c>
      <c r="O1584" s="1456">
        <v>0</v>
      </c>
      <c r="AA1584"/>
      <c r="AB1584"/>
    </row>
    <row r="1585" spans="3:28">
      <c r="C1585" s="1461" t="s">
        <v>5367</v>
      </c>
      <c r="D1585" s="1458">
        <v>0</v>
      </c>
      <c r="E1585" s="1458">
        <v>1</v>
      </c>
      <c r="F1585" s="1459">
        <v>1</v>
      </c>
      <c r="G1585" s="1470" t="s">
        <v>5367</v>
      </c>
      <c r="H1585" s="1456">
        <v>1</v>
      </c>
      <c r="I1585" s="1456">
        <v>1</v>
      </c>
      <c r="J1585" s="1471">
        <v>2</v>
      </c>
      <c r="K1585" s="1460"/>
      <c r="L1585" s="1454">
        <v>13135050723</v>
      </c>
      <c r="M1585" s="1455">
        <v>1</v>
      </c>
      <c r="N1585" s="1455">
        <v>1</v>
      </c>
      <c r="O1585" s="1456">
        <v>2</v>
      </c>
      <c r="AA1585"/>
      <c r="AB1585"/>
    </row>
    <row r="1586" spans="3:28">
      <c r="C1586" s="1461" t="s">
        <v>5368</v>
      </c>
      <c r="D1586" s="1458">
        <v>1</v>
      </c>
      <c r="E1586" s="1458">
        <v>1</v>
      </c>
      <c r="F1586" s="1459">
        <v>2</v>
      </c>
      <c r="G1586" s="1470" t="s">
        <v>5368</v>
      </c>
      <c r="H1586" s="1456">
        <v>1</v>
      </c>
      <c r="I1586" s="1456">
        <v>1</v>
      </c>
      <c r="J1586" s="1471">
        <v>2</v>
      </c>
      <c r="K1586" s="1460"/>
      <c r="L1586" s="1454">
        <v>13135050724</v>
      </c>
      <c r="M1586" s="1455">
        <v>1</v>
      </c>
      <c r="N1586" s="1455">
        <v>1</v>
      </c>
      <c r="O1586" s="1456">
        <v>2</v>
      </c>
      <c r="AA1586"/>
      <c r="AB1586"/>
    </row>
    <row r="1587" spans="3:28">
      <c r="C1587" s="1461" t="s">
        <v>5369</v>
      </c>
      <c r="D1587" s="1458">
        <v>1</v>
      </c>
      <c r="E1587" s="1458">
        <v>1</v>
      </c>
      <c r="F1587" s="1459">
        <v>2</v>
      </c>
      <c r="G1587" s="1470" t="s">
        <v>5369</v>
      </c>
      <c r="H1587" s="1456">
        <v>1</v>
      </c>
      <c r="I1587" s="1456">
        <v>1</v>
      </c>
      <c r="J1587" s="1471">
        <v>2</v>
      </c>
      <c r="K1587" s="1460"/>
      <c r="L1587" s="1454">
        <v>13135050725</v>
      </c>
      <c r="M1587" s="1455">
        <v>1</v>
      </c>
      <c r="N1587" s="1455">
        <v>1</v>
      </c>
      <c r="O1587" s="1456">
        <v>2</v>
      </c>
      <c r="AA1587"/>
      <c r="AB1587"/>
    </row>
    <row r="1588" spans="3:28">
      <c r="C1588" s="1461" t="s">
        <v>5370</v>
      </c>
      <c r="D1588" s="1458">
        <v>1</v>
      </c>
      <c r="E1588" s="1458">
        <v>1</v>
      </c>
      <c r="F1588" s="1459">
        <v>2</v>
      </c>
      <c r="G1588" s="1470" t="s">
        <v>5370</v>
      </c>
      <c r="H1588" s="1456">
        <v>1</v>
      </c>
      <c r="I1588" s="1456">
        <v>1</v>
      </c>
      <c r="J1588" s="1471">
        <v>2</v>
      </c>
      <c r="K1588" s="1460"/>
      <c r="L1588" s="1454">
        <v>13135050726</v>
      </c>
      <c r="M1588" s="1455">
        <v>1</v>
      </c>
      <c r="N1588" s="1455">
        <v>1</v>
      </c>
      <c r="O1588" s="1456">
        <v>2</v>
      </c>
      <c r="AA1588"/>
      <c r="AB1588"/>
    </row>
    <row r="1589" spans="3:28">
      <c r="C1589" s="1461" t="s">
        <v>5371</v>
      </c>
      <c r="D1589" s="1458">
        <v>1</v>
      </c>
      <c r="E1589" s="1458">
        <v>1</v>
      </c>
      <c r="F1589" s="1459">
        <v>2</v>
      </c>
      <c r="G1589" s="1470" t="s">
        <v>5371</v>
      </c>
      <c r="H1589" s="1456">
        <v>1</v>
      </c>
      <c r="I1589" s="1456">
        <v>1</v>
      </c>
      <c r="J1589" s="1471">
        <v>2</v>
      </c>
      <c r="K1589" s="1460"/>
      <c r="L1589" s="1454">
        <v>13135050727</v>
      </c>
      <c r="M1589" s="1455">
        <v>1</v>
      </c>
      <c r="N1589" s="1455">
        <v>1</v>
      </c>
      <c r="O1589" s="1456">
        <v>2</v>
      </c>
      <c r="AA1589"/>
      <c r="AB1589"/>
    </row>
    <row r="1590" spans="3:28">
      <c r="C1590" s="1461" t="s">
        <v>5372</v>
      </c>
      <c r="D1590" s="1458">
        <v>1</v>
      </c>
      <c r="E1590" s="1458">
        <v>1</v>
      </c>
      <c r="F1590" s="1459">
        <v>2</v>
      </c>
      <c r="G1590" s="1470" t="s">
        <v>5372</v>
      </c>
      <c r="H1590" s="1456">
        <v>1</v>
      </c>
      <c r="I1590" s="1456">
        <v>1</v>
      </c>
      <c r="J1590" s="1471">
        <v>2</v>
      </c>
      <c r="K1590" s="1460"/>
      <c r="L1590" s="1454">
        <v>13135050728</v>
      </c>
      <c r="M1590" s="1455">
        <v>1</v>
      </c>
      <c r="N1590" s="1455">
        <v>1</v>
      </c>
      <c r="O1590" s="1456">
        <v>2</v>
      </c>
      <c r="AA1590"/>
      <c r="AB1590"/>
    </row>
    <row r="1591" spans="3:28">
      <c r="C1591" s="1461" t="s">
        <v>5373</v>
      </c>
      <c r="D1591" s="1458">
        <v>0</v>
      </c>
      <c r="E1591" s="1458">
        <v>0</v>
      </c>
      <c r="F1591" s="1459">
        <v>0</v>
      </c>
      <c r="G1591" s="1470" t="s">
        <v>5373</v>
      </c>
      <c r="H1591" s="1456">
        <v>1</v>
      </c>
      <c r="I1591" s="1456">
        <v>0</v>
      </c>
      <c r="J1591" s="1471">
        <v>1</v>
      </c>
      <c r="K1591" s="1460"/>
      <c r="L1591" s="1454">
        <v>13135050729</v>
      </c>
      <c r="M1591" s="1455">
        <v>1</v>
      </c>
      <c r="N1591" s="1455">
        <v>0</v>
      </c>
      <c r="O1591" s="1456">
        <v>1</v>
      </c>
      <c r="AA1591"/>
      <c r="AB1591"/>
    </row>
    <row r="1592" spans="3:28">
      <c r="C1592" s="1461" t="s">
        <v>5374</v>
      </c>
      <c r="D1592" s="1458">
        <v>1</v>
      </c>
      <c r="E1592" s="1458">
        <v>1</v>
      </c>
      <c r="F1592" s="1459">
        <v>2</v>
      </c>
      <c r="G1592" s="1470" t="s">
        <v>5374</v>
      </c>
      <c r="H1592" s="1456">
        <v>1</v>
      </c>
      <c r="I1592" s="1456">
        <v>0</v>
      </c>
      <c r="J1592" s="1471">
        <v>1</v>
      </c>
      <c r="K1592" s="1460"/>
      <c r="L1592" s="1454">
        <v>13135050730</v>
      </c>
      <c r="M1592" s="1455">
        <v>1</v>
      </c>
      <c r="N1592" s="1455">
        <v>1</v>
      </c>
      <c r="O1592" s="1456">
        <v>2</v>
      </c>
      <c r="AA1592"/>
      <c r="AB1592"/>
    </row>
    <row r="1593" spans="3:28">
      <c r="C1593" s="1461" t="s">
        <v>5375</v>
      </c>
      <c r="D1593" s="1458">
        <v>1</v>
      </c>
      <c r="E1593" s="1458">
        <v>1</v>
      </c>
      <c r="F1593" s="1459">
        <v>2</v>
      </c>
      <c r="G1593" s="1470" t="s">
        <v>5375</v>
      </c>
      <c r="H1593" s="1456">
        <v>0</v>
      </c>
      <c r="I1593" s="1456">
        <v>1</v>
      </c>
      <c r="J1593" s="1471">
        <v>1</v>
      </c>
      <c r="K1593" s="1460"/>
      <c r="L1593" s="1454">
        <v>13135050731</v>
      </c>
      <c r="M1593" s="1455">
        <v>1</v>
      </c>
      <c r="N1593" s="1455">
        <v>1</v>
      </c>
      <c r="O1593" s="1456">
        <v>2</v>
      </c>
      <c r="AA1593"/>
      <c r="AB1593"/>
    </row>
    <row r="1594" spans="3:28">
      <c r="C1594" s="1461" t="s">
        <v>5376</v>
      </c>
      <c r="D1594" s="1458">
        <v>1</v>
      </c>
      <c r="E1594" s="1458">
        <v>1</v>
      </c>
      <c r="F1594" s="1459">
        <v>2</v>
      </c>
      <c r="G1594" s="1470" t="s">
        <v>5376</v>
      </c>
      <c r="H1594" s="1456">
        <v>0</v>
      </c>
      <c r="I1594" s="1456">
        <v>1</v>
      </c>
      <c r="J1594" s="1471">
        <v>1</v>
      </c>
      <c r="K1594" s="1460"/>
      <c r="L1594" s="1454">
        <v>13137000100</v>
      </c>
      <c r="M1594" s="1455">
        <v>1</v>
      </c>
      <c r="N1594" s="1455">
        <v>1</v>
      </c>
      <c r="O1594" s="1456">
        <v>2</v>
      </c>
      <c r="AA1594"/>
      <c r="AB1594"/>
    </row>
    <row r="1595" spans="3:28">
      <c r="C1595" s="1461" t="s">
        <v>5377</v>
      </c>
      <c r="D1595" s="1458">
        <v>1</v>
      </c>
      <c r="E1595" s="1458">
        <v>0</v>
      </c>
      <c r="F1595" s="1459">
        <v>1</v>
      </c>
      <c r="G1595" s="1470" t="s">
        <v>5377</v>
      </c>
      <c r="H1595" s="1456">
        <v>0</v>
      </c>
      <c r="I1595" s="1456">
        <v>0</v>
      </c>
      <c r="J1595" s="1471">
        <v>0</v>
      </c>
      <c r="K1595" s="1460"/>
      <c r="L1595" s="1454">
        <v>13137000201</v>
      </c>
      <c r="M1595" s="1455">
        <v>1</v>
      </c>
      <c r="N1595" s="1455">
        <v>0</v>
      </c>
      <c r="O1595" s="1456">
        <v>1</v>
      </c>
      <c r="AA1595"/>
      <c r="AB1595"/>
    </row>
    <row r="1596" spans="3:28">
      <c r="C1596" s="1461" t="s">
        <v>5378</v>
      </c>
      <c r="D1596" s="1458">
        <v>1</v>
      </c>
      <c r="E1596" s="1458">
        <v>1</v>
      </c>
      <c r="F1596" s="1459">
        <v>2</v>
      </c>
      <c r="G1596" s="1470" t="s">
        <v>5378</v>
      </c>
      <c r="H1596" s="1456">
        <v>1</v>
      </c>
      <c r="I1596" s="1456">
        <v>0</v>
      </c>
      <c r="J1596" s="1471">
        <v>1</v>
      </c>
      <c r="K1596" s="1460"/>
      <c r="L1596" s="1454">
        <v>13137000202</v>
      </c>
      <c r="M1596" s="1455">
        <v>1</v>
      </c>
      <c r="N1596" s="1455">
        <v>1</v>
      </c>
      <c r="O1596" s="1456">
        <v>2</v>
      </c>
      <c r="AA1596"/>
      <c r="AB1596"/>
    </row>
    <row r="1597" spans="3:28">
      <c r="C1597" s="1461" t="s">
        <v>5379</v>
      </c>
      <c r="D1597" s="1458">
        <v>0</v>
      </c>
      <c r="E1597" s="1458">
        <v>0</v>
      </c>
      <c r="F1597" s="1459">
        <v>0</v>
      </c>
      <c r="G1597" s="1470" t="s">
        <v>5379</v>
      </c>
      <c r="H1597" s="1456">
        <v>0</v>
      </c>
      <c r="I1597" s="1456">
        <v>0</v>
      </c>
      <c r="J1597" s="1471">
        <v>0</v>
      </c>
      <c r="K1597" s="1460"/>
      <c r="L1597" s="1454">
        <v>13137000300</v>
      </c>
      <c r="M1597" s="1455">
        <v>0</v>
      </c>
      <c r="N1597" s="1455">
        <v>0</v>
      </c>
      <c r="O1597" s="1456">
        <v>0</v>
      </c>
      <c r="AA1597"/>
      <c r="AB1597"/>
    </row>
    <row r="1598" spans="3:28">
      <c r="C1598" s="1461" t="s">
        <v>5380</v>
      </c>
      <c r="D1598" s="1458">
        <v>1</v>
      </c>
      <c r="E1598" s="1458">
        <v>0</v>
      </c>
      <c r="F1598" s="1459">
        <v>1</v>
      </c>
      <c r="G1598" s="1470" t="s">
        <v>5380</v>
      </c>
      <c r="H1598" s="1456">
        <v>0</v>
      </c>
      <c r="I1598" s="1456">
        <v>1</v>
      </c>
      <c r="J1598" s="1471">
        <v>1</v>
      </c>
      <c r="K1598" s="1460"/>
      <c r="L1598" s="1454">
        <v>13137000400</v>
      </c>
      <c r="M1598" s="1455">
        <v>1</v>
      </c>
      <c r="N1598" s="1455">
        <v>1</v>
      </c>
      <c r="O1598" s="1456">
        <v>1</v>
      </c>
      <c r="AA1598"/>
      <c r="AB1598"/>
    </row>
    <row r="1599" spans="3:28">
      <c r="C1599" s="1461" t="s">
        <v>5381</v>
      </c>
      <c r="D1599" s="1458">
        <v>0</v>
      </c>
      <c r="E1599" s="1458">
        <v>0</v>
      </c>
      <c r="F1599" s="1459">
        <v>0</v>
      </c>
      <c r="G1599" s="1470" t="s">
        <v>5381</v>
      </c>
      <c r="H1599" s="1456">
        <v>0</v>
      </c>
      <c r="I1599" s="1456">
        <v>1</v>
      </c>
      <c r="J1599" s="1471">
        <v>1</v>
      </c>
      <c r="K1599" s="1460"/>
      <c r="L1599" s="1454">
        <v>13137000500</v>
      </c>
      <c r="M1599" s="1455">
        <v>0</v>
      </c>
      <c r="N1599" s="1455">
        <v>1</v>
      </c>
      <c r="O1599" s="1456">
        <v>1</v>
      </c>
      <c r="AA1599"/>
      <c r="AB1599"/>
    </row>
    <row r="1600" spans="3:28">
      <c r="C1600" s="1461" t="s">
        <v>5382</v>
      </c>
      <c r="D1600" s="1458">
        <v>0</v>
      </c>
      <c r="E1600" s="1458">
        <v>0</v>
      </c>
      <c r="F1600" s="1459">
        <v>0</v>
      </c>
      <c r="G1600" s="1470" t="s">
        <v>5382</v>
      </c>
      <c r="H1600" s="1456">
        <v>0</v>
      </c>
      <c r="I1600" s="1456">
        <v>0</v>
      </c>
      <c r="J1600" s="1471">
        <v>0</v>
      </c>
      <c r="K1600" s="1460"/>
      <c r="L1600" s="1454">
        <v>13137000601</v>
      </c>
      <c r="M1600" s="1455">
        <v>0</v>
      </c>
      <c r="N1600" s="1455">
        <v>0</v>
      </c>
      <c r="O1600" s="1456">
        <v>0</v>
      </c>
      <c r="AA1600"/>
      <c r="AB1600"/>
    </row>
    <row r="1601" spans="3:28">
      <c r="C1601" s="1461" t="s">
        <v>5383</v>
      </c>
      <c r="D1601" s="1458">
        <v>0</v>
      </c>
      <c r="E1601" s="1458">
        <v>0</v>
      </c>
      <c r="F1601" s="1459">
        <v>0</v>
      </c>
      <c r="G1601" s="1470" t="s">
        <v>5383</v>
      </c>
      <c r="H1601" s="1456">
        <v>0</v>
      </c>
      <c r="I1601" s="1456">
        <v>0</v>
      </c>
      <c r="J1601" s="1471">
        <v>0</v>
      </c>
      <c r="K1601" s="1460"/>
      <c r="L1601" s="1454">
        <v>13137000602</v>
      </c>
      <c r="M1601" s="1455">
        <v>0</v>
      </c>
      <c r="N1601" s="1455">
        <v>0</v>
      </c>
      <c r="O1601" s="1456">
        <v>0</v>
      </c>
      <c r="AA1601"/>
      <c r="AB1601"/>
    </row>
    <row r="1602" spans="3:28">
      <c r="C1602" s="1461" t="s">
        <v>5384</v>
      </c>
      <c r="D1602" s="1458">
        <v>1</v>
      </c>
      <c r="E1602" s="1458">
        <v>0</v>
      </c>
      <c r="F1602" s="1459">
        <v>1</v>
      </c>
      <c r="G1602" s="1470" t="s">
        <v>5384</v>
      </c>
      <c r="H1602" s="1456">
        <v>0</v>
      </c>
      <c r="I1602" s="1456">
        <v>0</v>
      </c>
      <c r="J1602" s="1471">
        <v>0</v>
      </c>
      <c r="K1602" s="1460"/>
      <c r="L1602" s="1454">
        <v>13139000101</v>
      </c>
      <c r="M1602" s="1455">
        <v>1</v>
      </c>
      <c r="N1602" s="1455">
        <v>0</v>
      </c>
      <c r="O1602" s="1456">
        <v>1</v>
      </c>
      <c r="AA1602"/>
      <c r="AB1602"/>
    </row>
    <row r="1603" spans="3:28">
      <c r="C1603" s="1461" t="s">
        <v>5385</v>
      </c>
      <c r="D1603" s="1458">
        <v>1</v>
      </c>
      <c r="E1603" s="1458">
        <v>0</v>
      </c>
      <c r="F1603" s="1459">
        <v>1</v>
      </c>
      <c r="G1603" s="1470" t="s">
        <v>5385</v>
      </c>
      <c r="H1603" s="1456">
        <v>1</v>
      </c>
      <c r="I1603" s="1456">
        <v>0</v>
      </c>
      <c r="J1603" s="1471">
        <v>1</v>
      </c>
      <c r="K1603" s="1460"/>
      <c r="L1603" s="1454">
        <v>13139000102</v>
      </c>
      <c r="M1603" s="1455">
        <v>1</v>
      </c>
      <c r="N1603" s="1455">
        <v>0</v>
      </c>
      <c r="O1603" s="1456">
        <v>1</v>
      </c>
      <c r="AA1603"/>
      <c r="AB1603"/>
    </row>
    <row r="1604" spans="3:28">
      <c r="C1604" s="1461" t="s">
        <v>5386</v>
      </c>
      <c r="D1604" s="1458">
        <v>0</v>
      </c>
      <c r="E1604" s="1458">
        <v>0</v>
      </c>
      <c r="F1604" s="1459">
        <v>0</v>
      </c>
      <c r="G1604" s="1470" t="s">
        <v>5386</v>
      </c>
      <c r="H1604" s="1456">
        <v>1</v>
      </c>
      <c r="I1604" s="1456">
        <v>0</v>
      </c>
      <c r="J1604" s="1471">
        <v>1</v>
      </c>
      <c r="K1604" s="1460"/>
      <c r="L1604" s="1454">
        <v>13139000201</v>
      </c>
      <c r="M1604" s="1455">
        <v>1</v>
      </c>
      <c r="N1604" s="1455">
        <v>0</v>
      </c>
      <c r="O1604" s="1456">
        <v>1</v>
      </c>
      <c r="AA1604"/>
      <c r="AB1604"/>
    </row>
    <row r="1605" spans="3:28">
      <c r="C1605" s="1461" t="s">
        <v>5387</v>
      </c>
      <c r="D1605" s="1458">
        <v>1</v>
      </c>
      <c r="E1605" s="1458">
        <v>1</v>
      </c>
      <c r="F1605" s="1459">
        <v>2</v>
      </c>
      <c r="G1605" s="1470" t="s">
        <v>5387</v>
      </c>
      <c r="H1605" s="1456">
        <v>1</v>
      </c>
      <c r="I1605" s="1456">
        <v>1</v>
      </c>
      <c r="J1605" s="1471">
        <v>2</v>
      </c>
      <c r="K1605" s="1460"/>
      <c r="L1605" s="1454">
        <v>13139000203</v>
      </c>
      <c r="M1605" s="1455">
        <v>1</v>
      </c>
      <c r="N1605" s="1455">
        <v>1</v>
      </c>
      <c r="O1605" s="1456">
        <v>2</v>
      </c>
      <c r="AA1605"/>
      <c r="AB1605"/>
    </row>
    <row r="1606" spans="3:28">
      <c r="C1606" s="1461" t="s">
        <v>5388</v>
      </c>
      <c r="D1606" s="1458">
        <v>1</v>
      </c>
      <c r="E1606" s="1458">
        <v>1</v>
      </c>
      <c r="F1606" s="1459">
        <v>2</v>
      </c>
      <c r="G1606" s="1470" t="s">
        <v>5388</v>
      </c>
      <c r="H1606" s="1456">
        <v>1</v>
      </c>
      <c r="I1606" s="1456">
        <v>1</v>
      </c>
      <c r="J1606" s="1471">
        <v>2</v>
      </c>
      <c r="K1606" s="1460"/>
      <c r="L1606" s="1454">
        <v>13139000204</v>
      </c>
      <c r="M1606" s="1455">
        <v>1</v>
      </c>
      <c r="N1606" s="1455">
        <v>1</v>
      </c>
      <c r="O1606" s="1456">
        <v>2</v>
      </c>
      <c r="AA1606"/>
      <c r="AB1606"/>
    </row>
    <row r="1607" spans="3:28">
      <c r="C1607" s="1461" t="s">
        <v>5389</v>
      </c>
      <c r="D1607" s="1458">
        <v>1</v>
      </c>
      <c r="E1607" s="1458">
        <v>1</v>
      </c>
      <c r="F1607" s="1459">
        <v>2</v>
      </c>
      <c r="G1607" s="1470" t="s">
        <v>5389</v>
      </c>
      <c r="H1607" s="1456">
        <v>1</v>
      </c>
      <c r="I1607" s="1456">
        <v>0</v>
      </c>
      <c r="J1607" s="1471">
        <v>1</v>
      </c>
      <c r="K1607" s="1460"/>
      <c r="L1607" s="1454">
        <v>13139000302</v>
      </c>
      <c r="M1607" s="1455">
        <v>1</v>
      </c>
      <c r="N1607" s="1455">
        <v>1</v>
      </c>
      <c r="O1607" s="1456">
        <v>2</v>
      </c>
      <c r="AA1607"/>
      <c r="AB1607"/>
    </row>
    <row r="1608" spans="3:28">
      <c r="C1608" s="1461" t="s">
        <v>5390</v>
      </c>
      <c r="D1608" s="1458">
        <v>1</v>
      </c>
      <c r="E1608" s="1458">
        <v>1</v>
      </c>
      <c r="F1608" s="1459">
        <v>2</v>
      </c>
      <c r="G1608" s="1470" t="s">
        <v>5390</v>
      </c>
      <c r="H1608" s="1456">
        <v>1</v>
      </c>
      <c r="I1608" s="1456">
        <v>1</v>
      </c>
      <c r="J1608" s="1471">
        <v>2</v>
      </c>
      <c r="K1608" s="1460"/>
      <c r="L1608" s="1454">
        <v>13139000303</v>
      </c>
      <c r="M1608" s="1455">
        <v>1</v>
      </c>
      <c r="N1608" s="1455">
        <v>1</v>
      </c>
      <c r="O1608" s="1456">
        <v>2</v>
      </c>
      <c r="AA1608"/>
      <c r="AB1608"/>
    </row>
    <row r="1609" spans="3:28">
      <c r="C1609" s="1461" t="s">
        <v>5391</v>
      </c>
      <c r="D1609" s="1458">
        <v>1</v>
      </c>
      <c r="E1609" s="1458">
        <v>1</v>
      </c>
      <c r="F1609" s="1459">
        <v>2</v>
      </c>
      <c r="G1609" s="1470" t="s">
        <v>5391</v>
      </c>
      <c r="H1609" s="1456">
        <v>1</v>
      </c>
      <c r="I1609" s="1456">
        <v>1</v>
      </c>
      <c r="J1609" s="1471">
        <v>2</v>
      </c>
      <c r="K1609" s="1460"/>
      <c r="L1609" s="1454">
        <v>13139000304</v>
      </c>
      <c r="M1609" s="1455">
        <v>1</v>
      </c>
      <c r="N1609" s="1455">
        <v>1</v>
      </c>
      <c r="O1609" s="1456">
        <v>2</v>
      </c>
      <c r="AA1609"/>
      <c r="AB1609"/>
    </row>
    <row r="1610" spans="3:28">
      <c r="C1610" s="1461" t="s">
        <v>5392</v>
      </c>
      <c r="D1610" s="1458">
        <v>1</v>
      </c>
      <c r="E1610" s="1458">
        <v>1</v>
      </c>
      <c r="F1610" s="1459">
        <v>2</v>
      </c>
      <c r="G1610" s="1470" t="s">
        <v>5392</v>
      </c>
      <c r="H1610" s="1456">
        <v>1</v>
      </c>
      <c r="I1610" s="1456">
        <v>1</v>
      </c>
      <c r="J1610" s="1471">
        <v>2</v>
      </c>
      <c r="K1610" s="1460"/>
      <c r="L1610" s="1454">
        <v>13139000305</v>
      </c>
      <c r="M1610" s="1455">
        <v>1</v>
      </c>
      <c r="N1610" s="1455">
        <v>1</v>
      </c>
      <c r="O1610" s="1456">
        <v>2</v>
      </c>
      <c r="AA1610"/>
      <c r="AB1610"/>
    </row>
    <row r="1611" spans="3:28">
      <c r="C1611" s="1461" t="s">
        <v>5393</v>
      </c>
      <c r="D1611" s="1458">
        <v>1</v>
      </c>
      <c r="E1611" s="1458">
        <v>0</v>
      </c>
      <c r="F1611" s="1459">
        <v>1</v>
      </c>
      <c r="G1611" s="1470" t="s">
        <v>5393</v>
      </c>
      <c r="H1611" s="1456">
        <v>1</v>
      </c>
      <c r="I1611" s="1456">
        <v>1</v>
      </c>
      <c r="J1611" s="1471">
        <v>2</v>
      </c>
      <c r="K1611" s="1460"/>
      <c r="L1611" s="1454">
        <v>13139000400</v>
      </c>
      <c r="M1611" s="1455">
        <v>1</v>
      </c>
      <c r="N1611" s="1455">
        <v>1</v>
      </c>
      <c r="O1611" s="1456">
        <v>2</v>
      </c>
      <c r="AA1611"/>
      <c r="AB1611"/>
    </row>
    <row r="1612" spans="3:28">
      <c r="C1612" s="1461" t="s">
        <v>5394</v>
      </c>
      <c r="D1612" s="1458">
        <v>1</v>
      </c>
      <c r="E1612" s="1458">
        <v>1</v>
      </c>
      <c r="F1612" s="1459">
        <v>2</v>
      </c>
      <c r="G1612" s="1470" t="s">
        <v>5394</v>
      </c>
      <c r="H1612" s="1456">
        <v>1</v>
      </c>
      <c r="I1612" s="1456">
        <v>1</v>
      </c>
      <c r="J1612" s="1471">
        <v>2</v>
      </c>
      <c r="K1612" s="1460"/>
      <c r="L1612" s="1454">
        <v>13139000500</v>
      </c>
      <c r="M1612" s="1455">
        <v>1</v>
      </c>
      <c r="N1612" s="1455">
        <v>1</v>
      </c>
      <c r="O1612" s="1456">
        <v>2</v>
      </c>
      <c r="AA1612"/>
      <c r="AB1612"/>
    </row>
    <row r="1613" spans="3:28">
      <c r="C1613" s="1461" t="s">
        <v>5395</v>
      </c>
      <c r="D1613" s="1458">
        <v>0</v>
      </c>
      <c r="E1613" s="1458">
        <v>0</v>
      </c>
      <c r="F1613" s="1459">
        <v>0</v>
      </c>
      <c r="G1613" s="1470" t="s">
        <v>5395</v>
      </c>
      <c r="H1613" s="1456">
        <v>0</v>
      </c>
      <c r="I1613" s="1456">
        <v>0</v>
      </c>
      <c r="J1613" s="1471">
        <v>0</v>
      </c>
      <c r="K1613" s="1460"/>
      <c r="L1613" s="1454">
        <v>13139000600</v>
      </c>
      <c r="M1613" s="1455">
        <v>0</v>
      </c>
      <c r="N1613" s="1455">
        <v>0</v>
      </c>
      <c r="O1613" s="1456">
        <v>0</v>
      </c>
      <c r="AA1613"/>
      <c r="AB1613"/>
    </row>
    <row r="1614" spans="3:28">
      <c r="C1614" s="1461" t="s">
        <v>5396</v>
      </c>
      <c r="D1614" s="1458">
        <v>0</v>
      </c>
      <c r="E1614" s="1458">
        <v>0</v>
      </c>
      <c r="F1614" s="1459">
        <v>0</v>
      </c>
      <c r="G1614" s="1470" t="s">
        <v>5396</v>
      </c>
      <c r="H1614" s="1456">
        <v>0</v>
      </c>
      <c r="I1614" s="1456">
        <v>0</v>
      </c>
      <c r="J1614" s="1471">
        <v>0</v>
      </c>
      <c r="K1614" s="1460"/>
      <c r="L1614" s="1454">
        <v>13139000701</v>
      </c>
      <c r="M1614" s="1455">
        <v>0</v>
      </c>
      <c r="N1614" s="1455">
        <v>0</v>
      </c>
      <c r="O1614" s="1456">
        <v>0</v>
      </c>
      <c r="AA1614"/>
      <c r="AB1614"/>
    </row>
    <row r="1615" spans="3:28">
      <c r="C1615" s="1461" t="s">
        <v>5397</v>
      </c>
      <c r="D1615" s="1458">
        <v>0</v>
      </c>
      <c r="E1615" s="1458">
        <v>0</v>
      </c>
      <c r="F1615" s="1459">
        <v>0</v>
      </c>
      <c r="G1615" s="1470" t="s">
        <v>5397</v>
      </c>
      <c r="H1615" s="1456">
        <v>0</v>
      </c>
      <c r="I1615" s="1456">
        <v>0</v>
      </c>
      <c r="J1615" s="1471">
        <v>0</v>
      </c>
      <c r="K1615" s="1460"/>
      <c r="L1615" s="1454">
        <v>13139000702</v>
      </c>
      <c r="M1615" s="1455">
        <v>0</v>
      </c>
      <c r="N1615" s="1455">
        <v>0</v>
      </c>
      <c r="O1615" s="1456">
        <v>0</v>
      </c>
      <c r="AA1615"/>
      <c r="AB1615"/>
    </row>
    <row r="1616" spans="3:28">
      <c r="C1616" s="1461" t="s">
        <v>5398</v>
      </c>
      <c r="D1616" s="1458">
        <v>0</v>
      </c>
      <c r="E1616" s="1458">
        <v>0</v>
      </c>
      <c r="F1616" s="1459">
        <v>0</v>
      </c>
      <c r="G1616" s="1470" t="s">
        <v>5398</v>
      </c>
      <c r="H1616" s="1456">
        <v>0</v>
      </c>
      <c r="I1616" s="1456">
        <v>0</v>
      </c>
      <c r="J1616" s="1471">
        <v>0</v>
      </c>
      <c r="K1616" s="1460"/>
      <c r="L1616" s="1454">
        <v>13139000800</v>
      </c>
      <c r="M1616" s="1455">
        <v>0</v>
      </c>
      <c r="N1616" s="1455">
        <v>0</v>
      </c>
      <c r="O1616" s="1456">
        <v>0</v>
      </c>
      <c r="AA1616"/>
      <c r="AB1616"/>
    </row>
    <row r="1617" spans="3:28">
      <c r="C1617" s="1461" t="s">
        <v>5399</v>
      </c>
      <c r="D1617" s="1458">
        <v>1</v>
      </c>
      <c r="E1617" s="1458">
        <v>1</v>
      </c>
      <c r="F1617" s="1459">
        <v>2</v>
      </c>
      <c r="G1617" s="1470" t="s">
        <v>5399</v>
      </c>
      <c r="H1617" s="1456">
        <v>1</v>
      </c>
      <c r="I1617" s="1456">
        <v>1</v>
      </c>
      <c r="J1617" s="1471">
        <v>2</v>
      </c>
      <c r="K1617" s="1460"/>
      <c r="L1617" s="1454">
        <v>13139000900</v>
      </c>
      <c r="M1617" s="1455">
        <v>1</v>
      </c>
      <c r="N1617" s="1455">
        <v>1</v>
      </c>
      <c r="O1617" s="1456">
        <v>2</v>
      </c>
      <c r="AA1617"/>
      <c r="AB1617"/>
    </row>
    <row r="1618" spans="3:28">
      <c r="C1618" s="1461" t="s">
        <v>5400</v>
      </c>
      <c r="D1618" s="1458">
        <v>1</v>
      </c>
      <c r="E1618" s="1458">
        <v>0</v>
      </c>
      <c r="F1618" s="1459">
        <v>1</v>
      </c>
      <c r="G1618" s="1470" t="s">
        <v>5400</v>
      </c>
      <c r="H1618" s="1456">
        <v>0</v>
      </c>
      <c r="I1618" s="1456">
        <v>1</v>
      </c>
      <c r="J1618" s="1471">
        <v>1</v>
      </c>
      <c r="K1618" s="1460"/>
      <c r="L1618" s="1454">
        <v>13139001002</v>
      </c>
      <c r="M1618" s="1455">
        <v>1</v>
      </c>
      <c r="N1618" s="1455">
        <v>1</v>
      </c>
      <c r="O1618" s="1456">
        <v>1</v>
      </c>
      <c r="AA1618"/>
      <c r="AB1618"/>
    </row>
    <row r="1619" spans="3:28">
      <c r="C1619" s="1461" t="s">
        <v>5401</v>
      </c>
      <c r="D1619" s="1458">
        <v>0</v>
      </c>
      <c r="E1619" s="1458">
        <v>0</v>
      </c>
      <c r="F1619" s="1459">
        <v>0</v>
      </c>
      <c r="G1619" s="1470" t="s">
        <v>5401</v>
      </c>
      <c r="H1619" s="1456">
        <v>0</v>
      </c>
      <c r="I1619" s="1456">
        <v>0</v>
      </c>
      <c r="J1619" s="1471">
        <v>0</v>
      </c>
      <c r="K1619" s="1460"/>
      <c r="L1619" s="1454">
        <v>13139001003</v>
      </c>
      <c r="M1619" s="1455">
        <v>0</v>
      </c>
      <c r="N1619" s="1455">
        <v>0</v>
      </c>
      <c r="O1619" s="1456">
        <v>0</v>
      </c>
      <c r="AA1619"/>
      <c r="AB1619"/>
    </row>
    <row r="1620" spans="3:28">
      <c r="C1620" s="1461" t="s">
        <v>5402</v>
      </c>
      <c r="D1620" s="1458">
        <v>1</v>
      </c>
      <c r="E1620" s="1458">
        <v>1</v>
      </c>
      <c r="F1620" s="1459">
        <v>2</v>
      </c>
      <c r="G1620" s="1470" t="s">
        <v>5402</v>
      </c>
      <c r="H1620" s="1456">
        <v>0</v>
      </c>
      <c r="I1620" s="1456">
        <v>0</v>
      </c>
      <c r="J1620" s="1471">
        <v>0</v>
      </c>
      <c r="K1620" s="1460"/>
      <c r="L1620" s="1454">
        <v>13139001004</v>
      </c>
      <c r="M1620" s="1455">
        <v>1</v>
      </c>
      <c r="N1620" s="1455">
        <v>1</v>
      </c>
      <c r="O1620" s="1456">
        <v>2</v>
      </c>
      <c r="AA1620"/>
      <c r="AB1620"/>
    </row>
    <row r="1621" spans="3:28">
      <c r="C1621" s="1461" t="s">
        <v>5403</v>
      </c>
      <c r="D1621" s="1458">
        <v>0</v>
      </c>
      <c r="E1621" s="1458">
        <v>0</v>
      </c>
      <c r="F1621" s="1459">
        <v>0</v>
      </c>
      <c r="G1621" s="1470" t="s">
        <v>5403</v>
      </c>
      <c r="H1621" s="1456">
        <v>0</v>
      </c>
      <c r="I1621" s="1456" t="s">
        <v>3906</v>
      </c>
      <c r="J1621" s="1471">
        <v>0</v>
      </c>
      <c r="K1621" s="1460"/>
      <c r="L1621" s="1454">
        <v>13139001101</v>
      </c>
      <c r="M1621" s="1455">
        <v>0</v>
      </c>
      <c r="N1621" s="1455">
        <v>0</v>
      </c>
      <c r="O1621" s="1456">
        <v>0</v>
      </c>
      <c r="AA1621"/>
      <c r="AB1621"/>
    </row>
    <row r="1622" spans="3:28">
      <c r="C1622" s="1461" t="s">
        <v>5404</v>
      </c>
      <c r="D1622" s="1458">
        <v>0</v>
      </c>
      <c r="E1622" s="1458">
        <v>0</v>
      </c>
      <c r="F1622" s="1459">
        <v>0</v>
      </c>
      <c r="G1622" s="1470" t="s">
        <v>5404</v>
      </c>
      <c r="H1622" s="1456">
        <v>1</v>
      </c>
      <c r="I1622" s="1456">
        <v>0</v>
      </c>
      <c r="J1622" s="1471">
        <v>1</v>
      </c>
      <c r="K1622" s="1460"/>
      <c r="L1622" s="1454">
        <v>13139001102</v>
      </c>
      <c r="M1622" s="1455">
        <v>1</v>
      </c>
      <c r="N1622" s="1455">
        <v>0</v>
      </c>
      <c r="O1622" s="1456">
        <v>1</v>
      </c>
      <c r="AA1622"/>
      <c r="AB1622"/>
    </row>
    <row r="1623" spans="3:28">
      <c r="C1623" s="1461" t="s">
        <v>5405</v>
      </c>
      <c r="D1623" s="1458">
        <v>0</v>
      </c>
      <c r="E1623" s="1458">
        <v>0</v>
      </c>
      <c r="F1623" s="1459">
        <v>0</v>
      </c>
      <c r="G1623" s="1470" t="s">
        <v>5405</v>
      </c>
      <c r="H1623" s="1456">
        <v>0</v>
      </c>
      <c r="I1623" s="1456">
        <v>0</v>
      </c>
      <c r="J1623" s="1471">
        <v>0</v>
      </c>
      <c r="K1623" s="1460"/>
      <c r="L1623" s="1454">
        <v>13139001201</v>
      </c>
      <c r="M1623" s="1455">
        <v>0</v>
      </c>
      <c r="N1623" s="1455">
        <v>0</v>
      </c>
      <c r="O1623" s="1456">
        <v>0</v>
      </c>
      <c r="AA1623"/>
      <c r="AB1623"/>
    </row>
    <row r="1624" spans="3:28">
      <c r="C1624" s="1461" t="s">
        <v>5406</v>
      </c>
      <c r="D1624" s="1458">
        <v>1</v>
      </c>
      <c r="E1624" s="1458">
        <v>0</v>
      </c>
      <c r="F1624" s="1459">
        <v>1</v>
      </c>
      <c r="G1624" s="1470" t="s">
        <v>5406</v>
      </c>
      <c r="H1624" s="1456">
        <v>0</v>
      </c>
      <c r="I1624" s="1456">
        <v>0</v>
      </c>
      <c r="J1624" s="1471">
        <v>0</v>
      </c>
      <c r="K1624" s="1460"/>
      <c r="L1624" s="1454">
        <v>13139001202</v>
      </c>
      <c r="M1624" s="1455">
        <v>1</v>
      </c>
      <c r="N1624" s="1455">
        <v>0</v>
      </c>
      <c r="O1624" s="1456">
        <v>1</v>
      </c>
      <c r="AA1624"/>
      <c r="AB1624"/>
    </row>
    <row r="1625" spans="3:28">
      <c r="C1625" s="1461" t="s">
        <v>5407</v>
      </c>
      <c r="D1625" s="1458">
        <v>1</v>
      </c>
      <c r="E1625" s="1458">
        <v>1</v>
      </c>
      <c r="F1625" s="1459">
        <v>2</v>
      </c>
      <c r="G1625" s="1470" t="s">
        <v>5407</v>
      </c>
      <c r="H1625" s="1456">
        <v>1</v>
      </c>
      <c r="I1625" s="1456">
        <v>0</v>
      </c>
      <c r="J1625" s="1471">
        <v>1</v>
      </c>
      <c r="K1625" s="1460"/>
      <c r="L1625" s="1454">
        <v>13139001301</v>
      </c>
      <c r="M1625" s="1455">
        <v>1</v>
      </c>
      <c r="N1625" s="1455">
        <v>1</v>
      </c>
      <c r="O1625" s="1456">
        <v>2</v>
      </c>
      <c r="AA1625"/>
      <c r="AB1625"/>
    </row>
    <row r="1626" spans="3:28">
      <c r="C1626" s="1461" t="s">
        <v>5408</v>
      </c>
      <c r="D1626" s="1458">
        <v>1</v>
      </c>
      <c r="E1626" s="1458">
        <v>1</v>
      </c>
      <c r="F1626" s="1459">
        <v>2</v>
      </c>
      <c r="G1626" s="1470" t="s">
        <v>5408</v>
      </c>
      <c r="H1626" s="1456">
        <v>1</v>
      </c>
      <c r="I1626" s="1456">
        <v>1</v>
      </c>
      <c r="J1626" s="1471">
        <v>2</v>
      </c>
      <c r="K1626" s="1460"/>
      <c r="L1626" s="1454">
        <v>13139001302</v>
      </c>
      <c r="M1626" s="1455">
        <v>1</v>
      </c>
      <c r="N1626" s="1455">
        <v>1</v>
      </c>
      <c r="O1626" s="1456">
        <v>2</v>
      </c>
      <c r="AA1626"/>
      <c r="AB1626"/>
    </row>
    <row r="1627" spans="3:28">
      <c r="C1627" s="1461" t="s">
        <v>5409</v>
      </c>
      <c r="D1627" s="1458">
        <v>1</v>
      </c>
      <c r="E1627" s="1458">
        <v>1</v>
      </c>
      <c r="F1627" s="1459">
        <v>2</v>
      </c>
      <c r="G1627" s="1470" t="s">
        <v>5409</v>
      </c>
      <c r="H1627" s="1456">
        <v>1</v>
      </c>
      <c r="I1627" s="1456">
        <v>0</v>
      </c>
      <c r="J1627" s="1471">
        <v>1</v>
      </c>
      <c r="K1627" s="1460"/>
      <c r="L1627" s="1454">
        <v>13139001402</v>
      </c>
      <c r="M1627" s="1455">
        <v>1</v>
      </c>
      <c r="N1627" s="1455">
        <v>1</v>
      </c>
      <c r="O1627" s="1456">
        <v>2</v>
      </c>
      <c r="AA1627"/>
      <c r="AB1627"/>
    </row>
    <row r="1628" spans="3:28">
      <c r="C1628" s="1461" t="s">
        <v>5410</v>
      </c>
      <c r="D1628" s="1458">
        <v>0</v>
      </c>
      <c r="E1628" s="1458">
        <v>0</v>
      </c>
      <c r="F1628" s="1459">
        <v>0</v>
      </c>
      <c r="G1628" s="1470" t="s">
        <v>5410</v>
      </c>
      <c r="H1628" s="1456">
        <v>0</v>
      </c>
      <c r="I1628" s="1456">
        <v>0</v>
      </c>
      <c r="J1628" s="1471">
        <v>0</v>
      </c>
      <c r="K1628" s="1460"/>
      <c r="L1628" s="1454">
        <v>13139001403</v>
      </c>
      <c r="M1628" s="1455">
        <v>0</v>
      </c>
      <c r="N1628" s="1455">
        <v>0</v>
      </c>
      <c r="O1628" s="1456">
        <v>0</v>
      </c>
      <c r="AA1628"/>
      <c r="AB1628"/>
    </row>
    <row r="1629" spans="3:28">
      <c r="C1629" s="1461" t="s">
        <v>5411</v>
      </c>
      <c r="D1629" s="1458">
        <v>1</v>
      </c>
      <c r="E1629" s="1458">
        <v>0</v>
      </c>
      <c r="F1629" s="1459">
        <v>1</v>
      </c>
      <c r="G1629" s="1470" t="s">
        <v>5411</v>
      </c>
      <c r="H1629" s="1456">
        <v>1</v>
      </c>
      <c r="I1629" s="1456">
        <v>0</v>
      </c>
      <c r="J1629" s="1471">
        <v>1</v>
      </c>
      <c r="K1629" s="1460"/>
      <c r="L1629" s="1454">
        <v>13139001404</v>
      </c>
      <c r="M1629" s="1455">
        <v>1</v>
      </c>
      <c r="N1629" s="1455">
        <v>0</v>
      </c>
      <c r="O1629" s="1456">
        <v>1</v>
      </c>
      <c r="AA1629"/>
      <c r="AB1629"/>
    </row>
    <row r="1630" spans="3:28">
      <c r="C1630" s="1461" t="s">
        <v>5412</v>
      </c>
      <c r="D1630" s="1458">
        <v>1</v>
      </c>
      <c r="E1630" s="1458">
        <v>1</v>
      </c>
      <c r="F1630" s="1459">
        <v>2</v>
      </c>
      <c r="G1630" s="1470" t="s">
        <v>5412</v>
      </c>
      <c r="H1630" s="1456">
        <v>1</v>
      </c>
      <c r="I1630" s="1456">
        <v>1</v>
      </c>
      <c r="J1630" s="1471">
        <v>2</v>
      </c>
      <c r="K1630" s="1460"/>
      <c r="L1630" s="1454">
        <v>13139001501</v>
      </c>
      <c r="M1630" s="1455">
        <v>1</v>
      </c>
      <c r="N1630" s="1455">
        <v>1</v>
      </c>
      <c r="O1630" s="1456">
        <v>2</v>
      </c>
      <c r="AA1630"/>
      <c r="AB1630"/>
    </row>
    <row r="1631" spans="3:28">
      <c r="C1631" s="1461" t="s">
        <v>5413</v>
      </c>
      <c r="D1631" s="1458">
        <v>1</v>
      </c>
      <c r="E1631" s="1458">
        <v>1</v>
      </c>
      <c r="F1631" s="1459">
        <v>2</v>
      </c>
      <c r="G1631" s="1470" t="s">
        <v>5413</v>
      </c>
      <c r="H1631" s="1456">
        <v>1</v>
      </c>
      <c r="I1631" s="1456">
        <v>1</v>
      </c>
      <c r="J1631" s="1471">
        <v>2</v>
      </c>
      <c r="K1631" s="1460"/>
      <c r="L1631" s="1454">
        <v>13139001502</v>
      </c>
      <c r="M1631" s="1455">
        <v>1</v>
      </c>
      <c r="N1631" s="1455">
        <v>1</v>
      </c>
      <c r="O1631" s="1456">
        <v>2</v>
      </c>
      <c r="AA1631"/>
      <c r="AB1631"/>
    </row>
    <row r="1632" spans="3:28">
      <c r="C1632" s="1461" t="s">
        <v>5414</v>
      </c>
      <c r="D1632" s="1458">
        <v>1</v>
      </c>
      <c r="E1632" s="1458">
        <v>1</v>
      </c>
      <c r="F1632" s="1459">
        <v>2</v>
      </c>
      <c r="G1632" s="1470" t="s">
        <v>5414</v>
      </c>
      <c r="H1632" s="1456">
        <v>1</v>
      </c>
      <c r="I1632" s="1456">
        <v>0</v>
      </c>
      <c r="J1632" s="1471">
        <v>1</v>
      </c>
      <c r="K1632" s="1460"/>
      <c r="L1632" s="1454">
        <v>13139001603</v>
      </c>
      <c r="M1632" s="1455">
        <v>1</v>
      </c>
      <c r="N1632" s="1455">
        <v>1</v>
      </c>
      <c r="O1632" s="1456">
        <v>2</v>
      </c>
      <c r="AA1632"/>
      <c r="AB1632"/>
    </row>
    <row r="1633" spans="3:28">
      <c r="C1633" s="1461" t="s">
        <v>5415</v>
      </c>
      <c r="D1633" s="1458">
        <v>1</v>
      </c>
      <c r="E1633" s="1458">
        <v>1</v>
      </c>
      <c r="F1633" s="1459">
        <v>2</v>
      </c>
      <c r="G1633" s="1470" t="s">
        <v>5415</v>
      </c>
      <c r="H1633" s="1456">
        <v>1</v>
      </c>
      <c r="I1633" s="1456">
        <v>1</v>
      </c>
      <c r="J1633" s="1471">
        <v>2</v>
      </c>
      <c r="K1633" s="1460"/>
      <c r="L1633" s="1454">
        <v>13139001604</v>
      </c>
      <c r="M1633" s="1455">
        <v>1</v>
      </c>
      <c r="N1633" s="1455">
        <v>1</v>
      </c>
      <c r="O1633" s="1456">
        <v>2</v>
      </c>
      <c r="AA1633"/>
      <c r="AB1633"/>
    </row>
    <row r="1634" spans="3:28">
      <c r="C1634" s="1461" t="s">
        <v>5416</v>
      </c>
      <c r="D1634" s="1458">
        <v>1</v>
      </c>
      <c r="E1634" s="1458">
        <v>1</v>
      </c>
      <c r="F1634" s="1459">
        <v>2</v>
      </c>
      <c r="G1634" s="1470" t="s">
        <v>5416</v>
      </c>
      <c r="H1634" s="1456">
        <v>1</v>
      </c>
      <c r="I1634" s="1456" t="s">
        <v>3906</v>
      </c>
      <c r="J1634" s="1471">
        <v>1</v>
      </c>
      <c r="K1634" s="1460"/>
      <c r="L1634" s="1454">
        <v>13139001605</v>
      </c>
      <c r="M1634" s="1455">
        <v>1</v>
      </c>
      <c r="N1634" s="1455">
        <v>1</v>
      </c>
      <c r="O1634" s="1456">
        <v>2</v>
      </c>
      <c r="AA1634"/>
      <c r="AB1634"/>
    </row>
    <row r="1635" spans="3:28">
      <c r="C1635" s="1461" t="s">
        <v>5417</v>
      </c>
      <c r="D1635" s="1458">
        <v>1</v>
      </c>
      <c r="E1635" s="1458">
        <v>1</v>
      </c>
      <c r="F1635" s="1459">
        <v>2</v>
      </c>
      <c r="G1635" s="1470" t="s">
        <v>5417</v>
      </c>
      <c r="H1635" s="1456">
        <v>1</v>
      </c>
      <c r="I1635" s="1456">
        <v>1</v>
      </c>
      <c r="J1635" s="1471">
        <v>2</v>
      </c>
      <c r="K1635" s="1460"/>
      <c r="L1635" s="1454">
        <v>13139001606</v>
      </c>
      <c r="M1635" s="1455">
        <v>1</v>
      </c>
      <c r="N1635" s="1455">
        <v>1</v>
      </c>
      <c r="O1635" s="1456">
        <v>2</v>
      </c>
      <c r="AA1635"/>
      <c r="AB1635"/>
    </row>
    <row r="1636" spans="3:28">
      <c r="C1636" s="1461" t="s">
        <v>5418</v>
      </c>
      <c r="D1636" s="1458">
        <v>0</v>
      </c>
      <c r="E1636" s="1458">
        <v>1</v>
      </c>
      <c r="F1636" s="1459">
        <v>1</v>
      </c>
      <c r="G1636" s="1470" t="s">
        <v>5418</v>
      </c>
      <c r="H1636" s="1456">
        <v>1</v>
      </c>
      <c r="I1636" s="1456">
        <v>1</v>
      </c>
      <c r="J1636" s="1471">
        <v>2</v>
      </c>
      <c r="K1636" s="1460"/>
      <c r="L1636" s="1454">
        <v>13139001607</v>
      </c>
      <c r="M1636" s="1455">
        <v>1</v>
      </c>
      <c r="N1636" s="1455">
        <v>1</v>
      </c>
      <c r="O1636" s="1456">
        <v>2</v>
      </c>
      <c r="AA1636"/>
      <c r="AB1636"/>
    </row>
    <row r="1637" spans="3:28">
      <c r="C1637" s="1461" t="s">
        <v>5419</v>
      </c>
      <c r="D1637" s="1458">
        <v>1</v>
      </c>
      <c r="E1637" s="1458">
        <v>1</v>
      </c>
      <c r="F1637" s="1459">
        <v>2</v>
      </c>
      <c r="G1637" s="1470" t="s">
        <v>5419</v>
      </c>
      <c r="H1637" s="1456">
        <v>1</v>
      </c>
      <c r="I1637" s="1456">
        <v>1</v>
      </c>
      <c r="J1637" s="1471">
        <v>2</v>
      </c>
      <c r="K1637" s="1460"/>
      <c r="L1637" s="1454">
        <v>13139001608</v>
      </c>
      <c r="M1637" s="1455">
        <v>1</v>
      </c>
      <c r="N1637" s="1455">
        <v>1</v>
      </c>
      <c r="O1637" s="1456">
        <v>2</v>
      </c>
      <c r="AA1637"/>
      <c r="AB1637"/>
    </row>
    <row r="1638" spans="3:28">
      <c r="C1638" s="1461" t="s">
        <v>5420</v>
      </c>
      <c r="D1638" s="1458">
        <v>0</v>
      </c>
      <c r="E1638" s="1458">
        <v>0</v>
      </c>
      <c r="F1638" s="1459">
        <v>0</v>
      </c>
      <c r="G1638" s="1470" t="s">
        <v>5420</v>
      </c>
      <c r="H1638" s="1456">
        <v>0</v>
      </c>
      <c r="I1638" s="1456">
        <v>1</v>
      </c>
      <c r="J1638" s="1471">
        <v>1</v>
      </c>
      <c r="K1638" s="1460"/>
      <c r="L1638" s="1454">
        <v>13141480300</v>
      </c>
      <c r="M1638" s="1455">
        <v>0</v>
      </c>
      <c r="N1638" s="1455">
        <v>1</v>
      </c>
      <c r="O1638" s="1456">
        <v>1</v>
      </c>
      <c r="AA1638"/>
      <c r="AB1638"/>
    </row>
    <row r="1639" spans="3:28">
      <c r="C1639" s="1461" t="s">
        <v>5421</v>
      </c>
      <c r="D1639" s="1458">
        <v>0</v>
      </c>
      <c r="E1639" s="1458">
        <v>0</v>
      </c>
      <c r="F1639" s="1459">
        <v>0</v>
      </c>
      <c r="G1639" s="1470" t="s">
        <v>5421</v>
      </c>
      <c r="H1639" s="1456">
        <v>0</v>
      </c>
      <c r="I1639" s="1456">
        <v>1</v>
      </c>
      <c r="J1639" s="1471">
        <v>1</v>
      </c>
      <c r="K1639" s="1460"/>
      <c r="L1639" s="1454">
        <v>13141480400</v>
      </c>
      <c r="M1639" s="1455">
        <v>0</v>
      </c>
      <c r="N1639" s="1455">
        <v>1</v>
      </c>
      <c r="O1639" s="1456">
        <v>1</v>
      </c>
      <c r="AA1639"/>
      <c r="AB1639"/>
    </row>
    <row r="1640" spans="3:28">
      <c r="C1640" s="1461" t="s">
        <v>5422</v>
      </c>
      <c r="D1640" s="1458">
        <v>0</v>
      </c>
      <c r="E1640" s="1458">
        <v>0</v>
      </c>
      <c r="F1640" s="1459">
        <v>0</v>
      </c>
      <c r="G1640" s="1470" t="s">
        <v>5422</v>
      </c>
      <c r="H1640" s="1456">
        <v>0</v>
      </c>
      <c r="I1640" s="1456">
        <v>0</v>
      </c>
      <c r="J1640" s="1471">
        <v>0</v>
      </c>
      <c r="K1640" s="1460"/>
      <c r="L1640" s="1454">
        <v>13143010100</v>
      </c>
      <c r="M1640" s="1455">
        <v>0</v>
      </c>
      <c r="N1640" s="1455">
        <v>0</v>
      </c>
      <c r="O1640" s="1456">
        <v>0</v>
      </c>
      <c r="AA1640"/>
      <c r="AB1640"/>
    </row>
    <row r="1641" spans="3:28">
      <c r="C1641" s="1461" t="s">
        <v>5423</v>
      </c>
      <c r="D1641" s="1458">
        <v>0</v>
      </c>
      <c r="E1641" s="1458">
        <v>1</v>
      </c>
      <c r="F1641" s="1459">
        <v>1</v>
      </c>
      <c r="G1641" s="1470" t="s">
        <v>5423</v>
      </c>
      <c r="H1641" s="1456">
        <v>0</v>
      </c>
      <c r="I1641" s="1456">
        <v>0</v>
      </c>
      <c r="J1641" s="1471">
        <v>0</v>
      </c>
      <c r="K1641" s="1460"/>
      <c r="L1641" s="1454">
        <v>13143010200</v>
      </c>
      <c r="M1641" s="1455">
        <v>0</v>
      </c>
      <c r="N1641" s="1455">
        <v>1</v>
      </c>
      <c r="O1641" s="1456">
        <v>1</v>
      </c>
      <c r="AA1641"/>
      <c r="AB1641"/>
    </row>
    <row r="1642" spans="3:28">
      <c r="C1642" s="1461" t="s">
        <v>5424</v>
      </c>
      <c r="D1642" s="1458">
        <v>0</v>
      </c>
      <c r="E1642" s="1458">
        <v>0</v>
      </c>
      <c r="F1642" s="1459">
        <v>0</v>
      </c>
      <c r="G1642" s="1470" t="s">
        <v>5424</v>
      </c>
      <c r="H1642" s="1456">
        <v>0</v>
      </c>
      <c r="I1642" s="1456">
        <v>0</v>
      </c>
      <c r="J1642" s="1471">
        <v>0</v>
      </c>
      <c r="K1642" s="1460"/>
      <c r="L1642" s="1454">
        <v>13143010301</v>
      </c>
      <c r="M1642" s="1455">
        <v>0</v>
      </c>
      <c r="N1642" s="1455">
        <v>0</v>
      </c>
      <c r="O1642" s="1456">
        <v>0</v>
      </c>
      <c r="AA1642"/>
      <c r="AB1642"/>
    </row>
    <row r="1643" spans="3:28">
      <c r="C1643" s="1461" t="s">
        <v>5425</v>
      </c>
      <c r="D1643" s="1458">
        <v>0</v>
      </c>
      <c r="E1643" s="1458">
        <v>0</v>
      </c>
      <c r="F1643" s="1459">
        <v>0</v>
      </c>
      <c r="G1643" s="1470" t="s">
        <v>5425</v>
      </c>
      <c r="H1643" s="1456">
        <v>1</v>
      </c>
      <c r="I1643" s="1456">
        <v>0</v>
      </c>
      <c r="J1643" s="1471">
        <v>1</v>
      </c>
      <c r="K1643" s="1460"/>
      <c r="L1643" s="1454">
        <v>13143010302</v>
      </c>
      <c r="M1643" s="1455">
        <v>1</v>
      </c>
      <c r="N1643" s="1455">
        <v>0</v>
      </c>
      <c r="O1643" s="1456">
        <v>1</v>
      </c>
      <c r="AA1643"/>
      <c r="AB1643"/>
    </row>
    <row r="1644" spans="3:28">
      <c r="C1644" s="1461" t="s">
        <v>5426</v>
      </c>
      <c r="D1644" s="1458">
        <v>0</v>
      </c>
      <c r="E1644" s="1458">
        <v>0</v>
      </c>
      <c r="F1644" s="1459">
        <v>0</v>
      </c>
      <c r="G1644" s="1470" t="s">
        <v>5426</v>
      </c>
      <c r="H1644" s="1456">
        <v>0</v>
      </c>
      <c r="I1644" s="1456">
        <v>0</v>
      </c>
      <c r="J1644" s="1471">
        <v>0</v>
      </c>
      <c r="K1644" s="1460"/>
      <c r="L1644" s="1454">
        <v>13143010400</v>
      </c>
      <c r="M1644" s="1455">
        <v>0</v>
      </c>
      <c r="N1644" s="1455">
        <v>0</v>
      </c>
      <c r="O1644" s="1456">
        <v>0</v>
      </c>
      <c r="AA1644"/>
      <c r="AB1644"/>
    </row>
    <row r="1645" spans="3:28">
      <c r="C1645" s="1461" t="s">
        <v>5427</v>
      </c>
      <c r="D1645" s="1458">
        <v>0</v>
      </c>
      <c r="E1645" s="1458">
        <v>0</v>
      </c>
      <c r="F1645" s="1459">
        <v>0</v>
      </c>
      <c r="G1645" s="1470" t="s">
        <v>5427</v>
      </c>
      <c r="H1645" s="1456">
        <v>0</v>
      </c>
      <c r="I1645" s="1456">
        <v>1</v>
      </c>
      <c r="J1645" s="1471">
        <v>1</v>
      </c>
      <c r="K1645" s="1460"/>
      <c r="L1645" s="1454">
        <v>13145120198</v>
      </c>
      <c r="M1645" s="1455">
        <v>0</v>
      </c>
      <c r="N1645" s="1455">
        <v>1</v>
      </c>
      <c r="O1645" s="1456">
        <v>1</v>
      </c>
      <c r="AA1645"/>
      <c r="AB1645"/>
    </row>
    <row r="1646" spans="3:28">
      <c r="C1646" s="1461" t="s">
        <v>5428</v>
      </c>
      <c r="D1646" s="1458">
        <v>0</v>
      </c>
      <c r="E1646" s="1458">
        <v>1</v>
      </c>
      <c r="F1646" s="1459">
        <v>1</v>
      </c>
      <c r="G1646" s="1470" t="s">
        <v>5428</v>
      </c>
      <c r="H1646" s="1456">
        <v>0</v>
      </c>
      <c r="I1646" s="1456" t="s">
        <v>3906</v>
      </c>
      <c r="J1646" s="1471">
        <v>0</v>
      </c>
      <c r="K1646" s="1460"/>
      <c r="L1646" s="1454">
        <v>13145120200</v>
      </c>
      <c r="M1646" s="1455">
        <v>0</v>
      </c>
      <c r="N1646" s="1455">
        <v>1</v>
      </c>
      <c r="O1646" s="1456">
        <v>1</v>
      </c>
      <c r="AA1646"/>
      <c r="AB1646"/>
    </row>
    <row r="1647" spans="3:28">
      <c r="C1647" s="1461" t="s">
        <v>5429</v>
      </c>
      <c r="D1647" s="1458">
        <v>1</v>
      </c>
      <c r="E1647" s="1458">
        <v>1</v>
      </c>
      <c r="F1647" s="1459">
        <v>2</v>
      </c>
      <c r="G1647" s="1470" t="s">
        <v>5429</v>
      </c>
      <c r="H1647" s="1456">
        <v>1</v>
      </c>
      <c r="I1647" s="1456">
        <v>1</v>
      </c>
      <c r="J1647" s="1471">
        <v>2</v>
      </c>
      <c r="K1647" s="1460"/>
      <c r="L1647" s="1454">
        <v>13145120300</v>
      </c>
      <c r="M1647" s="1455">
        <v>1</v>
      </c>
      <c r="N1647" s="1455">
        <v>1</v>
      </c>
      <c r="O1647" s="1456">
        <v>2</v>
      </c>
      <c r="AA1647"/>
      <c r="AB1647"/>
    </row>
    <row r="1648" spans="3:28">
      <c r="C1648" s="1461" t="s">
        <v>5430</v>
      </c>
      <c r="D1648" s="1458">
        <v>1</v>
      </c>
      <c r="E1648" s="1458">
        <v>1</v>
      </c>
      <c r="F1648" s="1459">
        <v>2</v>
      </c>
      <c r="G1648" s="1470" t="s">
        <v>5430</v>
      </c>
      <c r="H1648" s="1456">
        <v>1</v>
      </c>
      <c r="I1648" s="1456">
        <v>1</v>
      </c>
      <c r="J1648" s="1471">
        <v>2</v>
      </c>
      <c r="K1648" s="1460"/>
      <c r="L1648" s="1454">
        <v>13145120401</v>
      </c>
      <c r="M1648" s="1455">
        <v>1</v>
      </c>
      <c r="N1648" s="1455">
        <v>1</v>
      </c>
      <c r="O1648" s="1456">
        <v>2</v>
      </c>
      <c r="AA1648"/>
      <c r="AB1648"/>
    </row>
    <row r="1649" spans="3:28">
      <c r="C1649" s="1461" t="s">
        <v>5431</v>
      </c>
      <c r="D1649" s="1458">
        <v>1</v>
      </c>
      <c r="E1649" s="1458">
        <v>1</v>
      </c>
      <c r="F1649" s="1459">
        <v>2</v>
      </c>
      <c r="G1649" s="1470" t="s">
        <v>5431</v>
      </c>
      <c r="H1649" s="1456">
        <v>0</v>
      </c>
      <c r="I1649" s="1456">
        <v>1</v>
      </c>
      <c r="J1649" s="1471">
        <v>1</v>
      </c>
      <c r="K1649" s="1460"/>
      <c r="L1649" s="1454">
        <v>13145120402</v>
      </c>
      <c r="M1649" s="1455">
        <v>1</v>
      </c>
      <c r="N1649" s="1455">
        <v>1</v>
      </c>
      <c r="O1649" s="1456">
        <v>2</v>
      </c>
      <c r="AA1649"/>
      <c r="AB1649"/>
    </row>
    <row r="1650" spans="3:28">
      <c r="C1650" s="1461" t="s">
        <v>5432</v>
      </c>
      <c r="D1650" s="1458">
        <v>0</v>
      </c>
      <c r="E1650" s="1458">
        <v>1</v>
      </c>
      <c r="F1650" s="1459">
        <v>1</v>
      </c>
      <c r="G1650" s="1470" t="s">
        <v>5432</v>
      </c>
      <c r="H1650" s="1456">
        <v>0</v>
      </c>
      <c r="I1650" s="1456">
        <v>1</v>
      </c>
      <c r="J1650" s="1471">
        <v>1</v>
      </c>
      <c r="K1650" s="1460"/>
      <c r="L1650" s="1454">
        <v>13147960100</v>
      </c>
      <c r="M1650" s="1455">
        <v>0</v>
      </c>
      <c r="N1650" s="1455">
        <v>1</v>
      </c>
      <c r="O1650" s="1456">
        <v>1</v>
      </c>
      <c r="AA1650"/>
      <c r="AB1650"/>
    </row>
    <row r="1651" spans="3:28">
      <c r="C1651" s="1461" t="s">
        <v>5433</v>
      </c>
      <c r="D1651" s="1458">
        <v>1</v>
      </c>
      <c r="E1651" s="1458">
        <v>1</v>
      </c>
      <c r="F1651" s="1459">
        <v>2</v>
      </c>
      <c r="G1651" s="1470" t="s">
        <v>5433</v>
      </c>
      <c r="H1651" s="1456">
        <v>0</v>
      </c>
      <c r="I1651" s="1456">
        <v>1</v>
      </c>
      <c r="J1651" s="1471">
        <v>1</v>
      </c>
      <c r="K1651" s="1460"/>
      <c r="L1651" s="1454">
        <v>13147960200</v>
      </c>
      <c r="M1651" s="1455">
        <v>1</v>
      </c>
      <c r="N1651" s="1455">
        <v>1</v>
      </c>
      <c r="O1651" s="1456">
        <v>2</v>
      </c>
      <c r="AA1651"/>
      <c r="AB1651"/>
    </row>
    <row r="1652" spans="3:28">
      <c r="C1652" s="1461" t="s">
        <v>5434</v>
      </c>
      <c r="D1652" s="1458">
        <v>0</v>
      </c>
      <c r="E1652" s="1458">
        <v>0</v>
      </c>
      <c r="F1652" s="1459">
        <v>0</v>
      </c>
      <c r="G1652" s="1470" t="s">
        <v>5434</v>
      </c>
      <c r="H1652" s="1456">
        <v>0</v>
      </c>
      <c r="I1652" s="1456">
        <v>0</v>
      </c>
      <c r="J1652" s="1471">
        <v>0</v>
      </c>
      <c r="K1652" s="1460"/>
      <c r="L1652" s="1454">
        <v>13147960300</v>
      </c>
      <c r="M1652" s="1455">
        <v>0</v>
      </c>
      <c r="N1652" s="1455">
        <v>0</v>
      </c>
      <c r="O1652" s="1456">
        <v>0</v>
      </c>
      <c r="AA1652"/>
      <c r="AB1652"/>
    </row>
    <row r="1653" spans="3:28">
      <c r="C1653" s="1461" t="s">
        <v>5435</v>
      </c>
      <c r="D1653" s="1458">
        <v>0</v>
      </c>
      <c r="E1653" s="1458">
        <v>0</v>
      </c>
      <c r="F1653" s="1459">
        <v>0</v>
      </c>
      <c r="G1653" s="1470" t="s">
        <v>5435</v>
      </c>
      <c r="H1653" s="1456">
        <v>0</v>
      </c>
      <c r="I1653" s="1456">
        <v>0</v>
      </c>
      <c r="J1653" s="1471">
        <v>0</v>
      </c>
      <c r="K1653" s="1460"/>
      <c r="L1653" s="1454">
        <v>13147960400</v>
      </c>
      <c r="M1653" s="1455">
        <v>0</v>
      </c>
      <c r="N1653" s="1455">
        <v>0</v>
      </c>
      <c r="O1653" s="1456">
        <v>0</v>
      </c>
      <c r="AA1653"/>
      <c r="AB1653"/>
    </row>
    <row r="1654" spans="3:28">
      <c r="C1654" s="1461" t="s">
        <v>5436</v>
      </c>
      <c r="D1654" s="1458">
        <v>0</v>
      </c>
      <c r="E1654" s="1458">
        <v>0</v>
      </c>
      <c r="F1654" s="1459">
        <v>0</v>
      </c>
      <c r="G1654" s="1470" t="s">
        <v>5436</v>
      </c>
      <c r="H1654" s="1456">
        <v>0</v>
      </c>
      <c r="I1654" s="1456">
        <v>1</v>
      </c>
      <c r="J1654" s="1471">
        <v>1</v>
      </c>
      <c r="K1654" s="1460"/>
      <c r="L1654" s="1454">
        <v>13147960500</v>
      </c>
      <c r="M1654" s="1455">
        <v>0</v>
      </c>
      <c r="N1654" s="1455">
        <v>1</v>
      </c>
      <c r="O1654" s="1456">
        <v>1</v>
      </c>
      <c r="AA1654"/>
      <c r="AB1654"/>
    </row>
    <row r="1655" spans="3:28">
      <c r="C1655" s="1461" t="s">
        <v>5437</v>
      </c>
      <c r="D1655" s="1458">
        <v>0</v>
      </c>
      <c r="E1655" s="1458">
        <v>0</v>
      </c>
      <c r="F1655" s="1459">
        <v>0</v>
      </c>
      <c r="G1655" s="1470" t="s">
        <v>5437</v>
      </c>
      <c r="H1655" s="1456">
        <v>0</v>
      </c>
      <c r="I1655" s="1456">
        <v>0</v>
      </c>
      <c r="J1655" s="1471">
        <v>0</v>
      </c>
      <c r="K1655" s="1460"/>
      <c r="L1655" s="1454">
        <v>13149970100</v>
      </c>
      <c r="M1655" s="1455">
        <v>0</v>
      </c>
      <c r="N1655" s="1455">
        <v>0</v>
      </c>
      <c r="O1655" s="1456">
        <v>0</v>
      </c>
      <c r="AA1655"/>
      <c r="AB1655"/>
    </row>
    <row r="1656" spans="3:28">
      <c r="C1656" s="1461" t="s">
        <v>5438</v>
      </c>
      <c r="D1656" s="1458">
        <v>0</v>
      </c>
      <c r="E1656" s="1458">
        <v>1</v>
      </c>
      <c r="F1656" s="1459">
        <v>1</v>
      </c>
      <c r="G1656" s="1470" t="s">
        <v>5438</v>
      </c>
      <c r="H1656" s="1456">
        <v>0</v>
      </c>
      <c r="I1656" s="1456">
        <v>1</v>
      </c>
      <c r="J1656" s="1471">
        <v>1</v>
      </c>
      <c r="K1656" s="1460"/>
      <c r="L1656" s="1454">
        <v>13149970200</v>
      </c>
      <c r="M1656" s="1455">
        <v>0</v>
      </c>
      <c r="N1656" s="1455">
        <v>1</v>
      </c>
      <c r="O1656" s="1456">
        <v>1</v>
      </c>
      <c r="AA1656"/>
      <c r="AB1656"/>
    </row>
    <row r="1657" spans="3:28">
      <c r="C1657" s="1461" t="s">
        <v>5439</v>
      </c>
      <c r="D1657" s="1458">
        <v>0</v>
      </c>
      <c r="E1657" s="1458">
        <v>0</v>
      </c>
      <c r="F1657" s="1459">
        <v>0</v>
      </c>
      <c r="G1657" s="1470" t="s">
        <v>5439</v>
      </c>
      <c r="H1657" s="1456">
        <v>1</v>
      </c>
      <c r="I1657" s="1456">
        <v>0</v>
      </c>
      <c r="J1657" s="1471">
        <v>1</v>
      </c>
      <c r="K1657" s="1460"/>
      <c r="L1657" s="1454">
        <v>13149970300</v>
      </c>
      <c r="M1657" s="1455">
        <v>1</v>
      </c>
      <c r="N1657" s="1455">
        <v>0</v>
      </c>
      <c r="O1657" s="1456">
        <v>1</v>
      </c>
      <c r="AA1657"/>
      <c r="AB1657"/>
    </row>
    <row r="1658" spans="3:28">
      <c r="C1658" s="1461" t="s">
        <v>5440</v>
      </c>
      <c r="D1658" s="1458">
        <v>1</v>
      </c>
      <c r="E1658" s="1458">
        <v>1</v>
      </c>
      <c r="F1658" s="1459">
        <v>2</v>
      </c>
      <c r="G1658" s="1470" t="s">
        <v>5440</v>
      </c>
      <c r="H1658" s="1456">
        <v>1</v>
      </c>
      <c r="I1658" s="1456">
        <v>1</v>
      </c>
      <c r="J1658" s="1471">
        <v>2</v>
      </c>
      <c r="K1658" s="1460"/>
      <c r="L1658" s="1454">
        <v>13151070104</v>
      </c>
      <c r="M1658" s="1455">
        <v>1</v>
      </c>
      <c r="N1658" s="1455">
        <v>1</v>
      </c>
      <c r="O1658" s="1456">
        <v>2</v>
      </c>
      <c r="AA1658"/>
      <c r="AB1658"/>
    </row>
    <row r="1659" spans="3:28">
      <c r="C1659" s="1461" t="s">
        <v>5441</v>
      </c>
      <c r="D1659" s="1458">
        <v>0</v>
      </c>
      <c r="E1659" s="1458">
        <v>0</v>
      </c>
      <c r="F1659" s="1459">
        <v>0</v>
      </c>
      <c r="G1659" s="1470" t="s">
        <v>5441</v>
      </c>
      <c r="H1659" s="1456">
        <v>0</v>
      </c>
      <c r="I1659" s="1456">
        <v>0</v>
      </c>
      <c r="J1659" s="1471">
        <v>0</v>
      </c>
      <c r="K1659" s="1460"/>
      <c r="L1659" s="1454">
        <v>13151070106</v>
      </c>
      <c r="M1659" s="1455">
        <v>0</v>
      </c>
      <c r="N1659" s="1455">
        <v>0</v>
      </c>
      <c r="O1659" s="1456">
        <v>0</v>
      </c>
      <c r="AA1659"/>
      <c r="AB1659"/>
    </row>
    <row r="1660" spans="3:28">
      <c r="C1660" s="1461" t="s">
        <v>5442</v>
      </c>
      <c r="D1660" s="1458">
        <v>1</v>
      </c>
      <c r="E1660" s="1458">
        <v>1</v>
      </c>
      <c r="F1660" s="1459">
        <v>2</v>
      </c>
      <c r="G1660" s="1470" t="s">
        <v>5442</v>
      </c>
      <c r="H1660" s="1456">
        <v>1</v>
      </c>
      <c r="I1660" s="1456">
        <v>1</v>
      </c>
      <c r="J1660" s="1471">
        <v>2</v>
      </c>
      <c r="K1660" s="1460"/>
      <c r="L1660" s="1454">
        <v>13151070107</v>
      </c>
      <c r="M1660" s="1455">
        <v>1</v>
      </c>
      <c r="N1660" s="1455">
        <v>1</v>
      </c>
      <c r="O1660" s="1456">
        <v>2</v>
      </c>
      <c r="AA1660"/>
      <c r="AB1660"/>
    </row>
    <row r="1661" spans="3:28">
      <c r="C1661" s="1461" t="s">
        <v>5443</v>
      </c>
      <c r="D1661" s="1458">
        <v>1</v>
      </c>
      <c r="E1661" s="1458">
        <v>1</v>
      </c>
      <c r="F1661" s="1459">
        <v>2</v>
      </c>
      <c r="G1661" s="1470" t="s">
        <v>5443</v>
      </c>
      <c r="H1661" s="1456">
        <v>1</v>
      </c>
      <c r="I1661" s="1456">
        <v>1</v>
      </c>
      <c r="J1661" s="1471">
        <v>2</v>
      </c>
      <c r="K1661" s="1460"/>
      <c r="L1661" s="1454">
        <v>13151070108</v>
      </c>
      <c r="M1661" s="1455">
        <v>1</v>
      </c>
      <c r="N1661" s="1455">
        <v>1</v>
      </c>
      <c r="O1661" s="1456">
        <v>2</v>
      </c>
      <c r="AA1661"/>
      <c r="AB1661"/>
    </row>
    <row r="1662" spans="3:28">
      <c r="C1662" s="1461" t="s">
        <v>5444</v>
      </c>
      <c r="D1662" s="1458">
        <v>1</v>
      </c>
      <c r="E1662" s="1458">
        <v>1</v>
      </c>
      <c r="F1662" s="1459">
        <v>2</v>
      </c>
      <c r="G1662" s="1470" t="s">
        <v>5444</v>
      </c>
      <c r="H1662" s="1456">
        <v>1</v>
      </c>
      <c r="I1662" s="1456">
        <v>1</v>
      </c>
      <c r="J1662" s="1471">
        <v>2</v>
      </c>
      <c r="K1662" s="1460"/>
      <c r="L1662" s="1454">
        <v>13151070109</v>
      </c>
      <c r="M1662" s="1455">
        <v>1</v>
      </c>
      <c r="N1662" s="1455">
        <v>1</v>
      </c>
      <c r="O1662" s="1456">
        <v>2</v>
      </c>
      <c r="AA1662"/>
      <c r="AB1662"/>
    </row>
    <row r="1663" spans="3:28">
      <c r="C1663" s="1461" t="s">
        <v>5445</v>
      </c>
      <c r="D1663" s="1458">
        <v>1</v>
      </c>
      <c r="E1663" s="1458">
        <v>1</v>
      </c>
      <c r="F1663" s="1459">
        <v>2</v>
      </c>
      <c r="G1663" s="1470" t="s">
        <v>5445</v>
      </c>
      <c r="H1663" s="1456">
        <v>1</v>
      </c>
      <c r="I1663" s="1456">
        <v>1</v>
      </c>
      <c r="J1663" s="1471">
        <v>2</v>
      </c>
      <c r="K1663" s="1460"/>
      <c r="L1663" s="1454">
        <v>13151070110</v>
      </c>
      <c r="M1663" s="1455">
        <v>1</v>
      </c>
      <c r="N1663" s="1455">
        <v>1</v>
      </c>
      <c r="O1663" s="1456">
        <v>2</v>
      </c>
      <c r="AA1663"/>
      <c r="AB1663"/>
    </row>
    <row r="1664" spans="3:28">
      <c r="C1664" s="1461" t="s">
        <v>5446</v>
      </c>
      <c r="D1664" s="1458">
        <v>0</v>
      </c>
      <c r="E1664" s="1458">
        <v>0</v>
      </c>
      <c r="F1664" s="1459">
        <v>0</v>
      </c>
      <c r="G1664" s="1470" t="s">
        <v>5446</v>
      </c>
      <c r="H1664" s="1456">
        <v>0</v>
      </c>
      <c r="I1664" s="1456">
        <v>0</v>
      </c>
      <c r="J1664" s="1471">
        <v>0</v>
      </c>
      <c r="K1664" s="1460"/>
      <c r="L1664" s="1454">
        <v>13151070111</v>
      </c>
      <c r="M1664" s="1455">
        <v>0</v>
      </c>
      <c r="N1664" s="1455">
        <v>0</v>
      </c>
      <c r="O1664" s="1456">
        <v>0</v>
      </c>
      <c r="AA1664"/>
      <c r="AB1664"/>
    </row>
    <row r="1665" spans="3:28">
      <c r="C1665" s="1461" t="s">
        <v>5447</v>
      </c>
      <c r="D1665" s="1458">
        <v>0</v>
      </c>
      <c r="E1665" s="1458">
        <v>0</v>
      </c>
      <c r="F1665" s="1459">
        <v>0</v>
      </c>
      <c r="G1665" s="1470" t="s">
        <v>5447</v>
      </c>
      <c r="H1665" s="1456">
        <v>0</v>
      </c>
      <c r="I1665" s="1456">
        <v>0</v>
      </c>
      <c r="J1665" s="1471">
        <v>0</v>
      </c>
      <c r="K1665" s="1460"/>
      <c r="L1665" s="1454">
        <v>13151070113</v>
      </c>
      <c r="M1665" s="1455">
        <v>0</v>
      </c>
      <c r="N1665" s="1455">
        <v>0</v>
      </c>
      <c r="O1665" s="1456">
        <v>0</v>
      </c>
      <c r="AA1665"/>
      <c r="AB1665"/>
    </row>
    <row r="1666" spans="3:28">
      <c r="C1666" s="1461" t="s">
        <v>5448</v>
      </c>
      <c r="D1666" s="1458">
        <v>0</v>
      </c>
      <c r="E1666" s="1458">
        <v>1</v>
      </c>
      <c r="F1666" s="1459">
        <v>1</v>
      </c>
      <c r="G1666" s="1470" t="s">
        <v>5448</v>
      </c>
      <c r="H1666" s="1456">
        <v>0</v>
      </c>
      <c r="I1666" s="1456">
        <v>1</v>
      </c>
      <c r="J1666" s="1471">
        <v>1</v>
      </c>
      <c r="K1666" s="1460"/>
      <c r="L1666" s="1454">
        <v>13151070114</v>
      </c>
      <c r="M1666" s="1455">
        <v>0</v>
      </c>
      <c r="N1666" s="1455">
        <v>1</v>
      </c>
      <c r="O1666" s="1456">
        <v>1</v>
      </c>
      <c r="AA1666"/>
      <c r="AB1666"/>
    </row>
    <row r="1667" spans="3:28">
      <c r="C1667" s="1461" t="s">
        <v>5449</v>
      </c>
      <c r="D1667" s="1458">
        <v>1</v>
      </c>
      <c r="E1667" s="1458">
        <v>1</v>
      </c>
      <c r="F1667" s="1459">
        <v>2</v>
      </c>
      <c r="G1667" s="1470" t="s">
        <v>5449</v>
      </c>
      <c r="H1667" s="1456">
        <v>1</v>
      </c>
      <c r="I1667" s="1456">
        <v>1</v>
      </c>
      <c r="J1667" s="1471">
        <v>2</v>
      </c>
      <c r="K1667" s="1460"/>
      <c r="L1667" s="1454">
        <v>13151070202</v>
      </c>
      <c r="M1667" s="1455">
        <v>1</v>
      </c>
      <c r="N1667" s="1455">
        <v>1</v>
      </c>
      <c r="O1667" s="1456">
        <v>2</v>
      </c>
      <c r="AA1667"/>
      <c r="AB1667"/>
    </row>
    <row r="1668" spans="3:28">
      <c r="C1668" s="1461" t="s">
        <v>5450</v>
      </c>
      <c r="D1668" s="1458">
        <v>1</v>
      </c>
      <c r="E1668" s="1458">
        <v>1</v>
      </c>
      <c r="F1668" s="1459">
        <v>2</v>
      </c>
      <c r="G1668" s="1470" t="s">
        <v>5450</v>
      </c>
      <c r="H1668" s="1456">
        <v>1</v>
      </c>
      <c r="I1668" s="1456">
        <v>1</v>
      </c>
      <c r="J1668" s="1471">
        <v>2</v>
      </c>
      <c r="K1668" s="1460"/>
      <c r="L1668" s="1454">
        <v>13151070203</v>
      </c>
      <c r="M1668" s="1455">
        <v>1</v>
      </c>
      <c r="N1668" s="1455">
        <v>1</v>
      </c>
      <c r="O1668" s="1456">
        <v>2</v>
      </c>
      <c r="AA1668"/>
      <c r="AB1668"/>
    </row>
    <row r="1669" spans="3:28">
      <c r="C1669" s="1461" t="s">
        <v>5451</v>
      </c>
      <c r="D1669" s="1458">
        <v>1</v>
      </c>
      <c r="E1669" s="1458">
        <v>1</v>
      </c>
      <c r="F1669" s="1459">
        <v>2</v>
      </c>
      <c r="G1669" s="1470" t="s">
        <v>5451</v>
      </c>
      <c r="H1669" s="1456">
        <v>1</v>
      </c>
      <c r="I1669" s="1456">
        <v>1</v>
      </c>
      <c r="J1669" s="1471">
        <v>2</v>
      </c>
      <c r="K1669" s="1460"/>
      <c r="L1669" s="1454">
        <v>13151070204</v>
      </c>
      <c r="M1669" s="1455">
        <v>1</v>
      </c>
      <c r="N1669" s="1455">
        <v>1</v>
      </c>
      <c r="O1669" s="1456">
        <v>2</v>
      </c>
      <c r="AA1669"/>
      <c r="AB1669"/>
    </row>
    <row r="1670" spans="3:28">
      <c r="C1670" s="1461" t="s">
        <v>5452</v>
      </c>
      <c r="D1670" s="1458">
        <v>0</v>
      </c>
      <c r="E1670" s="1458">
        <v>1</v>
      </c>
      <c r="F1670" s="1459">
        <v>1</v>
      </c>
      <c r="G1670" s="1470" t="s">
        <v>5452</v>
      </c>
      <c r="H1670" s="1456">
        <v>0</v>
      </c>
      <c r="I1670" s="1456">
        <v>1</v>
      </c>
      <c r="J1670" s="1471">
        <v>1</v>
      </c>
      <c r="K1670" s="1460"/>
      <c r="L1670" s="1454">
        <v>13151070205</v>
      </c>
      <c r="M1670" s="1455">
        <v>0</v>
      </c>
      <c r="N1670" s="1455">
        <v>1</v>
      </c>
      <c r="O1670" s="1456">
        <v>1</v>
      </c>
      <c r="AA1670"/>
      <c r="AB1670"/>
    </row>
    <row r="1671" spans="3:28">
      <c r="C1671" s="1461" t="s">
        <v>5453</v>
      </c>
      <c r="D1671" s="1458">
        <v>0</v>
      </c>
      <c r="E1671" s="1458">
        <v>0</v>
      </c>
      <c r="F1671" s="1459">
        <v>0</v>
      </c>
      <c r="G1671" s="1470" t="s">
        <v>5453</v>
      </c>
      <c r="H1671" s="1456">
        <v>0</v>
      </c>
      <c r="I1671" s="1456">
        <v>1</v>
      </c>
      <c r="J1671" s="1471">
        <v>1</v>
      </c>
      <c r="K1671" s="1460"/>
      <c r="L1671" s="1454">
        <v>13151070304</v>
      </c>
      <c r="M1671" s="1455">
        <v>0</v>
      </c>
      <c r="N1671" s="1455">
        <v>1</v>
      </c>
      <c r="O1671" s="1456">
        <v>1</v>
      </c>
      <c r="AA1671"/>
      <c r="AB1671"/>
    </row>
    <row r="1672" spans="3:28">
      <c r="C1672" s="1461" t="s">
        <v>5454</v>
      </c>
      <c r="D1672" s="1458">
        <v>1</v>
      </c>
      <c r="E1672" s="1458">
        <v>1</v>
      </c>
      <c r="F1672" s="1459">
        <v>2</v>
      </c>
      <c r="G1672" s="1470" t="s">
        <v>5454</v>
      </c>
      <c r="H1672" s="1456">
        <v>1</v>
      </c>
      <c r="I1672" s="1456" t="s">
        <v>3906</v>
      </c>
      <c r="J1672" s="1471">
        <v>1</v>
      </c>
      <c r="K1672" s="1460"/>
      <c r="L1672" s="1454">
        <v>13151070305</v>
      </c>
      <c r="M1672" s="1455">
        <v>1</v>
      </c>
      <c r="N1672" s="1455">
        <v>1</v>
      </c>
      <c r="O1672" s="1456">
        <v>2</v>
      </c>
      <c r="AA1672"/>
      <c r="AB1672"/>
    </row>
    <row r="1673" spans="3:28">
      <c r="C1673" s="1461" t="s">
        <v>5455</v>
      </c>
      <c r="D1673" s="1458">
        <v>1</v>
      </c>
      <c r="E1673" s="1458">
        <v>1</v>
      </c>
      <c r="F1673" s="1459">
        <v>2</v>
      </c>
      <c r="G1673" s="1470" t="s">
        <v>5455</v>
      </c>
      <c r="H1673" s="1456">
        <v>1</v>
      </c>
      <c r="I1673" s="1456">
        <v>1</v>
      </c>
      <c r="J1673" s="1471">
        <v>2</v>
      </c>
      <c r="K1673" s="1460"/>
      <c r="L1673" s="1454">
        <v>13151070306</v>
      </c>
      <c r="M1673" s="1455">
        <v>1</v>
      </c>
      <c r="N1673" s="1455">
        <v>1</v>
      </c>
      <c r="O1673" s="1456">
        <v>2</v>
      </c>
      <c r="AA1673"/>
      <c r="AB1673"/>
    </row>
    <row r="1674" spans="3:28">
      <c r="C1674" s="1461" t="s">
        <v>5456</v>
      </c>
      <c r="D1674" s="1458">
        <v>1</v>
      </c>
      <c r="E1674" s="1458">
        <v>1</v>
      </c>
      <c r="F1674" s="1459">
        <v>2</v>
      </c>
      <c r="G1674" s="1470" t="s">
        <v>5456</v>
      </c>
      <c r="H1674" s="1456">
        <v>1</v>
      </c>
      <c r="I1674" s="1456">
        <v>1</v>
      </c>
      <c r="J1674" s="1471">
        <v>2</v>
      </c>
      <c r="K1674" s="1460"/>
      <c r="L1674" s="1454">
        <v>13151070307</v>
      </c>
      <c r="M1674" s="1455">
        <v>1</v>
      </c>
      <c r="N1674" s="1455">
        <v>1</v>
      </c>
      <c r="O1674" s="1456">
        <v>2</v>
      </c>
      <c r="AA1674"/>
      <c r="AB1674"/>
    </row>
    <row r="1675" spans="3:28">
      <c r="C1675" s="1461" t="s">
        <v>5457</v>
      </c>
      <c r="D1675" s="1458">
        <v>1</v>
      </c>
      <c r="E1675" s="1458">
        <v>1</v>
      </c>
      <c r="F1675" s="1459">
        <v>2</v>
      </c>
      <c r="G1675" s="1470" t="s">
        <v>5457</v>
      </c>
      <c r="H1675" s="1456">
        <v>1</v>
      </c>
      <c r="I1675" s="1456">
        <v>1</v>
      </c>
      <c r="J1675" s="1471">
        <v>2</v>
      </c>
      <c r="K1675" s="1460"/>
      <c r="L1675" s="1454">
        <v>13151070309</v>
      </c>
      <c r="M1675" s="1455">
        <v>1</v>
      </c>
      <c r="N1675" s="1455">
        <v>1</v>
      </c>
      <c r="O1675" s="1456">
        <v>2</v>
      </c>
      <c r="AA1675"/>
      <c r="AB1675"/>
    </row>
    <row r="1676" spans="3:28">
      <c r="C1676" s="1461" t="s">
        <v>5458</v>
      </c>
      <c r="D1676" s="1458">
        <v>1</v>
      </c>
      <c r="E1676" s="1458">
        <v>1</v>
      </c>
      <c r="F1676" s="1459">
        <v>2</v>
      </c>
      <c r="G1676" s="1470" t="s">
        <v>5458</v>
      </c>
      <c r="H1676" s="1456">
        <v>1</v>
      </c>
      <c r="I1676" s="1456">
        <v>0</v>
      </c>
      <c r="J1676" s="1471">
        <v>1</v>
      </c>
      <c r="K1676" s="1460"/>
      <c r="L1676" s="1454">
        <v>13151070310</v>
      </c>
      <c r="M1676" s="1455">
        <v>1</v>
      </c>
      <c r="N1676" s="1455">
        <v>1</v>
      </c>
      <c r="O1676" s="1456">
        <v>2</v>
      </c>
      <c r="AA1676"/>
      <c r="AB1676"/>
    </row>
    <row r="1677" spans="3:28">
      <c r="C1677" s="1461" t="s">
        <v>5459</v>
      </c>
      <c r="D1677" s="1458">
        <v>0</v>
      </c>
      <c r="E1677" s="1458">
        <v>0</v>
      </c>
      <c r="F1677" s="1459">
        <v>0</v>
      </c>
      <c r="G1677" s="1470" t="s">
        <v>5459</v>
      </c>
      <c r="H1677" s="1456">
        <v>0</v>
      </c>
      <c r="I1677" s="1456" t="s">
        <v>3906</v>
      </c>
      <c r="J1677" s="1471">
        <v>0</v>
      </c>
      <c r="K1677" s="1460"/>
      <c r="L1677" s="1454">
        <v>13151070311</v>
      </c>
      <c r="M1677" s="1455">
        <v>0</v>
      </c>
      <c r="N1677" s="1455">
        <v>0</v>
      </c>
      <c r="O1677" s="1456">
        <v>0</v>
      </c>
      <c r="AA1677"/>
      <c r="AB1677"/>
    </row>
    <row r="1678" spans="3:28">
      <c r="C1678" s="1461" t="s">
        <v>5460</v>
      </c>
      <c r="D1678" s="1458">
        <v>1</v>
      </c>
      <c r="E1678" s="1458">
        <v>1</v>
      </c>
      <c r="F1678" s="1459">
        <v>2</v>
      </c>
      <c r="G1678" s="1470" t="s">
        <v>5460</v>
      </c>
      <c r="H1678" s="1456">
        <v>1</v>
      </c>
      <c r="I1678" s="1456">
        <v>1</v>
      </c>
      <c r="J1678" s="1471">
        <v>2</v>
      </c>
      <c r="K1678" s="1460"/>
      <c r="L1678" s="1454">
        <v>13151070402</v>
      </c>
      <c r="M1678" s="1455">
        <v>1</v>
      </c>
      <c r="N1678" s="1455">
        <v>1</v>
      </c>
      <c r="O1678" s="1456">
        <v>2</v>
      </c>
      <c r="AA1678"/>
      <c r="AB1678"/>
    </row>
    <row r="1679" spans="3:28">
      <c r="C1679" s="1461" t="s">
        <v>5461</v>
      </c>
      <c r="D1679" s="1458">
        <v>0</v>
      </c>
      <c r="E1679" s="1458">
        <v>1</v>
      </c>
      <c r="F1679" s="1459">
        <v>1</v>
      </c>
      <c r="G1679" s="1470" t="s">
        <v>5461</v>
      </c>
      <c r="H1679" s="1456">
        <v>0</v>
      </c>
      <c r="I1679" s="1456">
        <v>0</v>
      </c>
      <c r="J1679" s="1471">
        <v>0</v>
      </c>
      <c r="K1679" s="1460"/>
      <c r="L1679" s="1454">
        <v>13151070403</v>
      </c>
      <c r="M1679" s="1455">
        <v>0</v>
      </c>
      <c r="N1679" s="1455">
        <v>1</v>
      </c>
      <c r="O1679" s="1456">
        <v>1</v>
      </c>
      <c r="AA1679"/>
      <c r="AB1679"/>
    </row>
    <row r="1680" spans="3:28">
      <c r="C1680" s="1461" t="s">
        <v>5462</v>
      </c>
      <c r="D1680" s="1458">
        <v>1</v>
      </c>
      <c r="E1680" s="1458">
        <v>1</v>
      </c>
      <c r="F1680" s="1459">
        <v>2</v>
      </c>
      <c r="G1680" s="1470" t="s">
        <v>5462</v>
      </c>
      <c r="H1680" s="1456">
        <v>1</v>
      </c>
      <c r="I1680" s="1456">
        <v>1</v>
      </c>
      <c r="J1680" s="1471">
        <v>2</v>
      </c>
      <c r="K1680" s="1460"/>
      <c r="L1680" s="1454">
        <v>13151070404</v>
      </c>
      <c r="M1680" s="1455">
        <v>1</v>
      </c>
      <c r="N1680" s="1455">
        <v>1</v>
      </c>
      <c r="O1680" s="1456">
        <v>2</v>
      </c>
      <c r="AA1680"/>
      <c r="AB1680"/>
    </row>
    <row r="1681" spans="3:28">
      <c r="C1681" s="1461" t="s">
        <v>5463</v>
      </c>
      <c r="D1681" s="1458">
        <v>0</v>
      </c>
      <c r="E1681" s="1458">
        <v>0</v>
      </c>
      <c r="F1681" s="1459">
        <v>0</v>
      </c>
      <c r="G1681" s="1470" t="s">
        <v>5463</v>
      </c>
      <c r="H1681" s="1456">
        <v>1</v>
      </c>
      <c r="I1681" s="1456">
        <v>0</v>
      </c>
      <c r="J1681" s="1471">
        <v>1</v>
      </c>
      <c r="K1681" s="1460"/>
      <c r="L1681" s="1454">
        <v>13151070501</v>
      </c>
      <c r="M1681" s="1455">
        <v>1</v>
      </c>
      <c r="N1681" s="1455">
        <v>0</v>
      </c>
      <c r="O1681" s="1456">
        <v>1</v>
      </c>
      <c r="AA1681"/>
      <c r="AB1681"/>
    </row>
    <row r="1682" spans="3:28">
      <c r="C1682" s="1461" t="s">
        <v>5464</v>
      </c>
      <c r="D1682" s="1458">
        <v>1</v>
      </c>
      <c r="E1682" s="1458">
        <v>1</v>
      </c>
      <c r="F1682" s="1459">
        <v>2</v>
      </c>
      <c r="G1682" s="1470" t="s">
        <v>5464</v>
      </c>
      <c r="H1682" s="1456">
        <v>1</v>
      </c>
      <c r="I1682" s="1456">
        <v>1</v>
      </c>
      <c r="J1682" s="1471">
        <v>2</v>
      </c>
      <c r="K1682" s="1460"/>
      <c r="L1682" s="1454">
        <v>13151070502</v>
      </c>
      <c r="M1682" s="1455">
        <v>1</v>
      </c>
      <c r="N1682" s="1455">
        <v>1</v>
      </c>
      <c r="O1682" s="1456">
        <v>2</v>
      </c>
      <c r="AA1682"/>
      <c r="AB1682"/>
    </row>
    <row r="1683" spans="3:28">
      <c r="C1683" s="1461" t="s">
        <v>5465</v>
      </c>
      <c r="D1683" s="1458">
        <v>0</v>
      </c>
      <c r="E1683" s="1458">
        <v>0</v>
      </c>
      <c r="F1683" s="1459">
        <v>0</v>
      </c>
      <c r="G1683" s="1470" t="s">
        <v>5465</v>
      </c>
      <c r="H1683" s="1456">
        <v>0</v>
      </c>
      <c r="I1683" s="1456">
        <v>1</v>
      </c>
      <c r="J1683" s="1471">
        <v>0</v>
      </c>
      <c r="K1683" s="1460"/>
      <c r="L1683" s="1454">
        <v>13153020105</v>
      </c>
      <c r="M1683" s="1455">
        <v>0</v>
      </c>
      <c r="N1683" s="1455">
        <v>1</v>
      </c>
      <c r="O1683" s="1456">
        <v>0</v>
      </c>
      <c r="AA1683"/>
      <c r="AB1683"/>
    </row>
    <row r="1684" spans="3:28">
      <c r="C1684" s="1461" t="s">
        <v>5466</v>
      </c>
      <c r="D1684" s="1458">
        <v>0</v>
      </c>
      <c r="E1684" s="1458">
        <v>1</v>
      </c>
      <c r="F1684" s="1459">
        <v>1</v>
      </c>
      <c r="G1684" s="1470" t="s">
        <v>5466</v>
      </c>
      <c r="H1684" s="1456">
        <v>0</v>
      </c>
      <c r="I1684" s="1456">
        <v>0</v>
      </c>
      <c r="J1684" s="1471">
        <v>0</v>
      </c>
      <c r="K1684" s="1460"/>
      <c r="L1684" s="1454">
        <v>13153020106</v>
      </c>
      <c r="M1684" s="1455">
        <v>0</v>
      </c>
      <c r="N1684" s="1455">
        <v>1</v>
      </c>
      <c r="O1684" s="1456">
        <v>1</v>
      </c>
      <c r="AA1684"/>
      <c r="AB1684"/>
    </row>
    <row r="1685" spans="3:28">
      <c r="C1685" s="1461" t="s">
        <v>5467</v>
      </c>
      <c r="D1685" s="1458">
        <v>0</v>
      </c>
      <c r="E1685" s="1458">
        <v>1</v>
      </c>
      <c r="F1685" s="1459">
        <v>1</v>
      </c>
      <c r="G1685" s="1470" t="s">
        <v>5467</v>
      </c>
      <c r="H1685" s="1456">
        <v>0</v>
      </c>
      <c r="I1685" s="1456">
        <v>1</v>
      </c>
      <c r="J1685" s="1471">
        <v>1</v>
      </c>
      <c r="K1685" s="1460"/>
      <c r="L1685" s="1454">
        <v>13153020108</v>
      </c>
      <c r="M1685" s="1455">
        <v>0</v>
      </c>
      <c r="N1685" s="1455">
        <v>1</v>
      </c>
      <c r="O1685" s="1456">
        <v>1</v>
      </c>
      <c r="AA1685"/>
      <c r="AB1685"/>
    </row>
    <row r="1686" spans="3:28">
      <c r="C1686" s="1461" t="s">
        <v>5468</v>
      </c>
      <c r="D1686" s="1458">
        <v>1</v>
      </c>
      <c r="E1686" s="1458">
        <v>1</v>
      </c>
      <c r="F1686" s="1459">
        <v>2</v>
      </c>
      <c r="G1686" s="1470" t="s">
        <v>5468</v>
      </c>
      <c r="H1686" s="1456">
        <v>1</v>
      </c>
      <c r="I1686" s="1456">
        <v>1</v>
      </c>
      <c r="J1686" s="1471">
        <v>2</v>
      </c>
      <c r="K1686" s="1460"/>
      <c r="L1686" s="1454">
        <v>13153020109</v>
      </c>
      <c r="M1686" s="1455">
        <v>1</v>
      </c>
      <c r="N1686" s="1455">
        <v>1</v>
      </c>
      <c r="O1686" s="1456">
        <v>2</v>
      </c>
      <c r="AA1686"/>
      <c r="AB1686"/>
    </row>
    <row r="1687" spans="3:28">
      <c r="C1687" s="1461" t="s">
        <v>5469</v>
      </c>
      <c r="D1687" s="1458">
        <v>0</v>
      </c>
      <c r="E1687" s="1458">
        <v>0</v>
      </c>
      <c r="F1687" s="1459">
        <v>0</v>
      </c>
      <c r="G1687" s="1470" t="s">
        <v>5469</v>
      </c>
      <c r="H1687" s="1456">
        <v>0</v>
      </c>
      <c r="I1687" s="1456">
        <v>0</v>
      </c>
      <c r="J1687" s="1471">
        <v>0</v>
      </c>
      <c r="K1687" s="1460"/>
      <c r="L1687" s="1454">
        <v>13153020200</v>
      </c>
      <c r="M1687" s="1455">
        <v>0</v>
      </c>
      <c r="N1687" s="1455">
        <v>0</v>
      </c>
      <c r="O1687" s="1456">
        <v>0</v>
      </c>
      <c r="AA1687"/>
      <c r="AB1687"/>
    </row>
    <row r="1688" spans="3:28">
      <c r="C1688" s="1461" t="s">
        <v>5470</v>
      </c>
      <c r="D1688" s="1458">
        <v>0</v>
      </c>
      <c r="E1688" s="1458">
        <v>0</v>
      </c>
      <c r="F1688" s="1459">
        <v>0</v>
      </c>
      <c r="G1688" s="1470" t="s">
        <v>5470</v>
      </c>
      <c r="H1688" s="1456">
        <v>0</v>
      </c>
      <c r="I1688" s="1456">
        <v>0</v>
      </c>
      <c r="J1688" s="1471">
        <v>0</v>
      </c>
      <c r="K1688" s="1460"/>
      <c r="L1688" s="1454">
        <v>13153020300</v>
      </c>
      <c r="M1688" s="1455">
        <v>0</v>
      </c>
      <c r="N1688" s="1455">
        <v>0</v>
      </c>
      <c r="O1688" s="1456">
        <v>0</v>
      </c>
      <c r="AA1688"/>
      <c r="AB1688"/>
    </row>
    <row r="1689" spans="3:28">
      <c r="C1689" s="1461" t="s">
        <v>5471</v>
      </c>
      <c r="D1689" s="1458">
        <v>0</v>
      </c>
      <c r="E1689" s="1458">
        <v>0</v>
      </c>
      <c r="F1689" s="1459">
        <v>0</v>
      </c>
      <c r="G1689" s="1470" t="s">
        <v>5471</v>
      </c>
      <c r="H1689" s="1456">
        <v>0</v>
      </c>
      <c r="I1689" s="1456">
        <v>0</v>
      </c>
      <c r="J1689" s="1471">
        <v>0</v>
      </c>
      <c r="K1689" s="1460"/>
      <c r="L1689" s="1454">
        <v>13153020400</v>
      </c>
      <c r="M1689" s="1455">
        <v>0</v>
      </c>
      <c r="N1689" s="1455">
        <v>0</v>
      </c>
      <c r="O1689" s="1456">
        <v>0</v>
      </c>
      <c r="AA1689"/>
      <c r="AB1689"/>
    </row>
    <row r="1690" spans="3:28">
      <c r="C1690" s="1461" t="s">
        <v>5472</v>
      </c>
      <c r="D1690" s="1458">
        <v>0</v>
      </c>
      <c r="E1690" s="1458">
        <v>1</v>
      </c>
      <c r="F1690" s="1459">
        <v>1</v>
      </c>
      <c r="G1690" s="1470" t="s">
        <v>5472</v>
      </c>
      <c r="H1690" s="1456">
        <v>0</v>
      </c>
      <c r="I1690" s="1456" t="s">
        <v>3906</v>
      </c>
      <c r="J1690" s="1471">
        <v>0</v>
      </c>
      <c r="K1690" s="1460"/>
      <c r="L1690" s="1454">
        <v>13153020600</v>
      </c>
      <c r="M1690" s="1455">
        <v>0</v>
      </c>
      <c r="N1690" s="1455">
        <v>1</v>
      </c>
      <c r="O1690" s="1456">
        <v>1</v>
      </c>
      <c r="AA1690"/>
      <c r="AB1690"/>
    </row>
    <row r="1691" spans="3:28">
      <c r="C1691" s="1461" t="s">
        <v>5473</v>
      </c>
      <c r="D1691" s="1458">
        <v>0</v>
      </c>
      <c r="E1691" s="1458">
        <v>0</v>
      </c>
      <c r="F1691" s="1459">
        <v>0</v>
      </c>
      <c r="G1691" s="1470" t="s">
        <v>5473</v>
      </c>
      <c r="H1691" s="1456">
        <v>0</v>
      </c>
      <c r="I1691" s="1456">
        <v>0</v>
      </c>
      <c r="J1691" s="1471">
        <v>0</v>
      </c>
      <c r="K1691" s="1460"/>
      <c r="L1691" s="1454">
        <v>13153020700</v>
      </c>
      <c r="M1691" s="1455">
        <v>0</v>
      </c>
      <c r="N1691" s="1455">
        <v>0</v>
      </c>
      <c r="O1691" s="1456">
        <v>0</v>
      </c>
      <c r="AA1691"/>
      <c r="AB1691"/>
    </row>
    <row r="1692" spans="3:28">
      <c r="C1692" s="1461" t="s">
        <v>5474</v>
      </c>
      <c r="D1692" s="1458">
        <v>0</v>
      </c>
      <c r="E1692" s="1458">
        <v>0</v>
      </c>
      <c r="F1692" s="1459">
        <v>0</v>
      </c>
      <c r="G1692" s="1470" t="s">
        <v>5474</v>
      </c>
      <c r="H1692" s="1456">
        <v>1</v>
      </c>
      <c r="I1692" s="1456">
        <v>0</v>
      </c>
      <c r="J1692" s="1471">
        <v>1</v>
      </c>
      <c r="K1692" s="1460"/>
      <c r="L1692" s="1454">
        <v>13153020800</v>
      </c>
      <c r="M1692" s="1455">
        <v>1</v>
      </c>
      <c r="N1692" s="1455">
        <v>0</v>
      </c>
      <c r="O1692" s="1456">
        <v>1</v>
      </c>
      <c r="AA1692"/>
      <c r="AB1692"/>
    </row>
    <row r="1693" spans="3:28">
      <c r="C1693" s="1461" t="s">
        <v>5475</v>
      </c>
      <c r="D1693" s="1458">
        <v>0</v>
      </c>
      <c r="E1693" s="1458">
        <v>0</v>
      </c>
      <c r="F1693" s="1459">
        <v>0</v>
      </c>
      <c r="G1693" s="1470" t="s">
        <v>5475</v>
      </c>
      <c r="H1693" s="1456">
        <v>0</v>
      </c>
      <c r="I1693" s="1456">
        <v>0</v>
      </c>
      <c r="J1693" s="1471">
        <v>0</v>
      </c>
      <c r="K1693" s="1460"/>
      <c r="L1693" s="1454">
        <v>13153020900</v>
      </c>
      <c r="M1693" s="1455">
        <v>0</v>
      </c>
      <c r="N1693" s="1455">
        <v>0</v>
      </c>
      <c r="O1693" s="1456">
        <v>0</v>
      </c>
      <c r="AA1693"/>
      <c r="AB1693"/>
    </row>
    <row r="1694" spans="3:28">
      <c r="C1694" s="1461" t="s">
        <v>5476</v>
      </c>
      <c r="D1694" s="1458">
        <v>0</v>
      </c>
      <c r="E1694" s="1458">
        <v>0</v>
      </c>
      <c r="F1694" s="1459">
        <v>0</v>
      </c>
      <c r="G1694" s="1470" t="s">
        <v>5476</v>
      </c>
      <c r="H1694" s="1456">
        <v>0</v>
      </c>
      <c r="I1694" s="1456">
        <v>1</v>
      </c>
      <c r="J1694" s="1471">
        <v>1</v>
      </c>
      <c r="K1694" s="1460"/>
      <c r="L1694" s="1454">
        <v>13153021000</v>
      </c>
      <c r="M1694" s="1455">
        <v>0</v>
      </c>
      <c r="N1694" s="1455">
        <v>1</v>
      </c>
      <c r="O1694" s="1456">
        <v>1</v>
      </c>
      <c r="AA1694"/>
      <c r="AB1694"/>
    </row>
    <row r="1695" spans="3:28">
      <c r="C1695" s="1461" t="s">
        <v>5477</v>
      </c>
      <c r="D1695" s="1458">
        <v>1</v>
      </c>
      <c r="E1695" s="1458">
        <v>1</v>
      </c>
      <c r="F1695" s="1459">
        <v>2</v>
      </c>
      <c r="G1695" s="1470" t="s">
        <v>5477</v>
      </c>
      <c r="H1695" s="1456">
        <v>1</v>
      </c>
      <c r="I1695" s="1456">
        <v>1</v>
      </c>
      <c r="J1695" s="1471">
        <v>2</v>
      </c>
      <c r="K1695" s="1460"/>
      <c r="L1695" s="1454">
        <v>13153021103</v>
      </c>
      <c r="M1695" s="1455">
        <v>1</v>
      </c>
      <c r="N1695" s="1455">
        <v>1</v>
      </c>
      <c r="O1695" s="1456">
        <v>2</v>
      </c>
      <c r="AA1695"/>
      <c r="AB1695"/>
    </row>
    <row r="1696" spans="3:28">
      <c r="C1696" s="1461" t="s">
        <v>5478</v>
      </c>
      <c r="D1696" s="1458">
        <v>0</v>
      </c>
      <c r="E1696" s="1458">
        <v>0</v>
      </c>
      <c r="F1696" s="1459">
        <v>0</v>
      </c>
      <c r="G1696" s="1470" t="s">
        <v>5478</v>
      </c>
      <c r="H1696" s="1456">
        <v>0</v>
      </c>
      <c r="I1696" s="1456">
        <v>0</v>
      </c>
      <c r="J1696" s="1471">
        <v>0</v>
      </c>
      <c r="K1696" s="1460"/>
      <c r="L1696" s="1454">
        <v>13153021104</v>
      </c>
      <c r="M1696" s="1455">
        <v>0</v>
      </c>
      <c r="N1696" s="1455">
        <v>0</v>
      </c>
      <c r="O1696" s="1456">
        <v>0</v>
      </c>
      <c r="AA1696"/>
      <c r="AB1696"/>
    </row>
    <row r="1697" spans="3:28">
      <c r="C1697" s="1461" t="s">
        <v>5479</v>
      </c>
      <c r="D1697" s="1458">
        <v>0</v>
      </c>
      <c r="E1697" s="1458">
        <v>1</v>
      </c>
      <c r="F1697" s="1459">
        <v>1</v>
      </c>
      <c r="G1697" s="1470" t="s">
        <v>5479</v>
      </c>
      <c r="H1697" s="1456">
        <v>1</v>
      </c>
      <c r="I1697" s="1456">
        <v>0</v>
      </c>
      <c r="J1697" s="1471">
        <v>1</v>
      </c>
      <c r="K1697" s="1460"/>
      <c r="L1697" s="1454">
        <v>13153021105</v>
      </c>
      <c r="M1697" s="1455">
        <v>1</v>
      </c>
      <c r="N1697" s="1455">
        <v>1</v>
      </c>
      <c r="O1697" s="1456">
        <v>1</v>
      </c>
      <c r="AA1697"/>
      <c r="AB1697"/>
    </row>
    <row r="1698" spans="3:28">
      <c r="C1698" s="1461" t="s">
        <v>5480</v>
      </c>
      <c r="D1698" s="1458">
        <v>1</v>
      </c>
      <c r="E1698" s="1458">
        <v>1</v>
      </c>
      <c r="F1698" s="1459">
        <v>2</v>
      </c>
      <c r="G1698" s="1470" t="s">
        <v>5480</v>
      </c>
      <c r="H1698" s="1456">
        <v>0</v>
      </c>
      <c r="I1698" s="1456">
        <v>1</v>
      </c>
      <c r="J1698" s="1471">
        <v>1</v>
      </c>
      <c r="K1698" s="1460"/>
      <c r="L1698" s="1454">
        <v>13153021107</v>
      </c>
      <c r="M1698" s="1455">
        <v>1</v>
      </c>
      <c r="N1698" s="1455">
        <v>1</v>
      </c>
      <c r="O1698" s="1456">
        <v>2</v>
      </c>
      <c r="AA1698"/>
      <c r="AB1698"/>
    </row>
    <row r="1699" spans="3:28">
      <c r="C1699" s="1461" t="s">
        <v>5481</v>
      </c>
      <c r="D1699" s="1458">
        <v>1</v>
      </c>
      <c r="E1699" s="1458">
        <v>1</v>
      </c>
      <c r="F1699" s="1459">
        <v>2</v>
      </c>
      <c r="G1699" s="1470" t="s">
        <v>5481</v>
      </c>
      <c r="H1699" s="1456">
        <v>1</v>
      </c>
      <c r="I1699" s="1456">
        <v>1</v>
      </c>
      <c r="J1699" s="1471">
        <v>2</v>
      </c>
      <c r="K1699" s="1460"/>
      <c r="L1699" s="1454">
        <v>13153021108</v>
      </c>
      <c r="M1699" s="1455">
        <v>1</v>
      </c>
      <c r="N1699" s="1455">
        <v>1</v>
      </c>
      <c r="O1699" s="1456">
        <v>2</v>
      </c>
      <c r="AA1699"/>
      <c r="AB1699"/>
    </row>
    <row r="1700" spans="3:28">
      <c r="C1700" s="1461" t="s">
        <v>5482</v>
      </c>
      <c r="D1700" s="1458">
        <v>1</v>
      </c>
      <c r="E1700" s="1458">
        <v>1</v>
      </c>
      <c r="F1700" s="1459">
        <v>2</v>
      </c>
      <c r="G1700" s="1470" t="s">
        <v>5482</v>
      </c>
      <c r="H1700" s="1456">
        <v>1</v>
      </c>
      <c r="I1700" s="1456">
        <v>1</v>
      </c>
      <c r="J1700" s="1471">
        <v>2</v>
      </c>
      <c r="K1700" s="1460"/>
      <c r="L1700" s="1454">
        <v>13153021113</v>
      </c>
      <c r="M1700" s="1455">
        <v>1</v>
      </c>
      <c r="N1700" s="1455">
        <v>1</v>
      </c>
      <c r="O1700" s="1456">
        <v>2</v>
      </c>
      <c r="AA1700"/>
      <c r="AB1700"/>
    </row>
    <row r="1701" spans="3:28">
      <c r="C1701" s="1461" t="s">
        <v>5483</v>
      </c>
      <c r="D1701" s="1458">
        <v>1</v>
      </c>
      <c r="E1701" s="1458">
        <v>1</v>
      </c>
      <c r="F1701" s="1459">
        <v>2</v>
      </c>
      <c r="G1701" s="1470" t="s">
        <v>5483</v>
      </c>
      <c r="H1701" s="1456">
        <v>1</v>
      </c>
      <c r="I1701" s="1456">
        <v>1</v>
      </c>
      <c r="J1701" s="1471">
        <v>2</v>
      </c>
      <c r="K1701" s="1460"/>
      <c r="L1701" s="1454">
        <v>13153021201</v>
      </c>
      <c r="M1701" s="1455">
        <v>1</v>
      </c>
      <c r="N1701" s="1455">
        <v>1</v>
      </c>
      <c r="O1701" s="1456">
        <v>2</v>
      </c>
      <c r="AA1701"/>
      <c r="AB1701"/>
    </row>
    <row r="1702" spans="3:28">
      <c r="C1702" s="1461" t="s">
        <v>5484</v>
      </c>
      <c r="D1702" s="1458">
        <v>0</v>
      </c>
      <c r="E1702" s="1458">
        <v>1</v>
      </c>
      <c r="F1702" s="1459">
        <v>1</v>
      </c>
      <c r="G1702" s="1470" t="s">
        <v>5484</v>
      </c>
      <c r="H1702" s="1456">
        <v>0</v>
      </c>
      <c r="I1702" s="1456">
        <v>1</v>
      </c>
      <c r="J1702" s="1471">
        <v>1</v>
      </c>
      <c r="K1702" s="1460"/>
      <c r="L1702" s="1454">
        <v>13153021202</v>
      </c>
      <c r="M1702" s="1455">
        <v>0</v>
      </c>
      <c r="N1702" s="1455">
        <v>1</v>
      </c>
      <c r="O1702" s="1456">
        <v>1</v>
      </c>
      <c r="AA1702"/>
      <c r="AB1702"/>
    </row>
    <row r="1703" spans="3:28">
      <c r="C1703" s="1461" t="s">
        <v>5485</v>
      </c>
      <c r="D1703" s="1458">
        <v>0</v>
      </c>
      <c r="E1703" s="1458">
        <v>0</v>
      </c>
      <c r="F1703" s="1459">
        <v>0</v>
      </c>
      <c r="G1703" s="1470" t="s">
        <v>5485</v>
      </c>
      <c r="H1703" s="1456">
        <v>0</v>
      </c>
      <c r="I1703" s="1456">
        <v>0</v>
      </c>
      <c r="J1703" s="1471">
        <v>0</v>
      </c>
      <c r="K1703" s="1460"/>
      <c r="L1703" s="1454">
        <v>13153021300</v>
      </c>
      <c r="M1703" s="1455">
        <v>0</v>
      </c>
      <c r="N1703" s="1455">
        <v>0</v>
      </c>
      <c r="O1703" s="1456">
        <v>0</v>
      </c>
      <c r="AA1703"/>
      <c r="AB1703"/>
    </row>
    <row r="1704" spans="3:28">
      <c r="C1704" s="1461" t="s">
        <v>5486</v>
      </c>
      <c r="D1704" s="1458">
        <v>0</v>
      </c>
      <c r="E1704" s="1458">
        <v>1</v>
      </c>
      <c r="F1704" s="1459">
        <v>1</v>
      </c>
      <c r="G1704" s="1470" t="s">
        <v>5486</v>
      </c>
      <c r="H1704" s="1456">
        <v>0</v>
      </c>
      <c r="I1704" s="1456">
        <v>1</v>
      </c>
      <c r="J1704" s="1471">
        <v>1</v>
      </c>
      <c r="K1704" s="1460"/>
      <c r="L1704" s="1454">
        <v>13153021400</v>
      </c>
      <c r="M1704" s="1455">
        <v>0</v>
      </c>
      <c r="N1704" s="1455">
        <v>1</v>
      </c>
      <c r="O1704" s="1456">
        <v>1</v>
      </c>
      <c r="AA1704"/>
      <c r="AB1704"/>
    </row>
    <row r="1705" spans="3:28">
      <c r="C1705" s="1461" t="s">
        <v>5487</v>
      </c>
      <c r="D1705" s="1458">
        <v>1</v>
      </c>
      <c r="E1705" s="1458">
        <v>1</v>
      </c>
      <c r="F1705" s="1459">
        <v>2</v>
      </c>
      <c r="G1705" s="1470" t="s">
        <v>5487</v>
      </c>
      <c r="H1705" s="1456">
        <v>1</v>
      </c>
      <c r="I1705" s="1456">
        <v>1</v>
      </c>
      <c r="J1705" s="1471">
        <v>2</v>
      </c>
      <c r="K1705" s="1460"/>
      <c r="L1705" s="1454">
        <v>13153021500</v>
      </c>
      <c r="M1705" s="1455">
        <v>1</v>
      </c>
      <c r="N1705" s="1455">
        <v>1</v>
      </c>
      <c r="O1705" s="1456">
        <v>2</v>
      </c>
      <c r="AA1705"/>
      <c r="AB1705"/>
    </row>
    <row r="1706" spans="3:28">
      <c r="C1706" s="1461" t="s">
        <v>5488</v>
      </c>
      <c r="D1706" s="1458">
        <v>0</v>
      </c>
      <c r="E1706" s="1458">
        <v>0</v>
      </c>
      <c r="F1706" s="1459">
        <v>0</v>
      </c>
      <c r="G1706" s="1470" t="s">
        <v>5488</v>
      </c>
      <c r="H1706" s="1456">
        <v>0</v>
      </c>
      <c r="I1706" s="1456">
        <v>0</v>
      </c>
      <c r="J1706" s="1471">
        <v>0</v>
      </c>
      <c r="K1706" s="1460"/>
      <c r="L1706" s="1454">
        <v>13155950100</v>
      </c>
      <c r="M1706" s="1455">
        <v>0</v>
      </c>
      <c r="N1706" s="1455">
        <v>0</v>
      </c>
      <c r="O1706" s="1456">
        <v>0</v>
      </c>
      <c r="AA1706"/>
      <c r="AB1706"/>
    </row>
    <row r="1707" spans="3:28">
      <c r="C1707" s="1461" t="s">
        <v>5489</v>
      </c>
      <c r="D1707" s="1458">
        <v>0</v>
      </c>
      <c r="E1707" s="1458">
        <v>0</v>
      </c>
      <c r="F1707" s="1459">
        <v>0</v>
      </c>
      <c r="G1707" s="1470" t="s">
        <v>5489</v>
      </c>
      <c r="H1707" s="1456">
        <v>0</v>
      </c>
      <c r="I1707" s="1456">
        <v>0</v>
      </c>
      <c r="J1707" s="1471">
        <v>0</v>
      </c>
      <c r="K1707" s="1460"/>
      <c r="L1707" s="1454">
        <v>13155950200</v>
      </c>
      <c r="M1707" s="1455">
        <v>0</v>
      </c>
      <c r="N1707" s="1455">
        <v>0</v>
      </c>
      <c r="O1707" s="1456">
        <v>0</v>
      </c>
      <c r="AA1707"/>
      <c r="AB1707"/>
    </row>
    <row r="1708" spans="3:28">
      <c r="C1708" s="1461" t="s">
        <v>5490</v>
      </c>
      <c r="D1708" s="1458">
        <v>1</v>
      </c>
      <c r="E1708" s="1458">
        <v>1</v>
      </c>
      <c r="F1708" s="1459">
        <v>2</v>
      </c>
      <c r="G1708" s="1470" t="s">
        <v>5490</v>
      </c>
      <c r="H1708" s="1456">
        <v>1</v>
      </c>
      <c r="I1708" s="1456">
        <v>1</v>
      </c>
      <c r="J1708" s="1471">
        <v>1</v>
      </c>
      <c r="K1708" s="1460"/>
      <c r="L1708" s="1454">
        <v>13157010101</v>
      </c>
      <c r="M1708" s="1455">
        <v>1</v>
      </c>
      <c r="N1708" s="1455">
        <v>1</v>
      </c>
      <c r="O1708" s="1456">
        <v>2</v>
      </c>
      <c r="AA1708"/>
      <c r="AB1708"/>
    </row>
    <row r="1709" spans="3:28">
      <c r="C1709" s="1461" t="s">
        <v>5491</v>
      </c>
      <c r="D1709" s="1458">
        <v>1</v>
      </c>
      <c r="E1709" s="1458">
        <v>1</v>
      </c>
      <c r="F1709" s="1459">
        <v>2</v>
      </c>
      <c r="G1709" s="1470" t="s">
        <v>5491</v>
      </c>
      <c r="H1709" s="1456">
        <v>1</v>
      </c>
      <c r="I1709" s="1456">
        <v>1</v>
      </c>
      <c r="J1709" s="1471">
        <v>2</v>
      </c>
      <c r="K1709" s="1460"/>
      <c r="L1709" s="1454">
        <v>13157010102</v>
      </c>
      <c r="M1709" s="1455">
        <v>1</v>
      </c>
      <c r="N1709" s="1455">
        <v>1</v>
      </c>
      <c r="O1709" s="1456">
        <v>2</v>
      </c>
      <c r="AA1709"/>
      <c r="AB1709"/>
    </row>
    <row r="1710" spans="3:28">
      <c r="C1710" s="1461" t="s">
        <v>5492</v>
      </c>
      <c r="D1710" s="1458">
        <v>1</v>
      </c>
      <c r="E1710" s="1458">
        <v>1</v>
      </c>
      <c r="F1710" s="1459">
        <v>2</v>
      </c>
      <c r="G1710" s="1470" t="s">
        <v>5492</v>
      </c>
      <c r="H1710" s="1456">
        <v>0</v>
      </c>
      <c r="I1710" s="1456">
        <v>1</v>
      </c>
      <c r="J1710" s="1471">
        <v>1</v>
      </c>
      <c r="K1710" s="1460"/>
      <c r="L1710" s="1454">
        <v>13157010103</v>
      </c>
      <c r="M1710" s="1455">
        <v>1</v>
      </c>
      <c r="N1710" s="1455">
        <v>1</v>
      </c>
      <c r="O1710" s="1456">
        <v>2</v>
      </c>
      <c r="AA1710"/>
      <c r="AB1710"/>
    </row>
    <row r="1711" spans="3:28">
      <c r="C1711" s="1461" t="s">
        <v>5493</v>
      </c>
      <c r="D1711" s="1458">
        <v>0</v>
      </c>
      <c r="E1711" s="1458">
        <v>0</v>
      </c>
      <c r="F1711" s="1459">
        <v>0</v>
      </c>
      <c r="G1711" s="1470" t="s">
        <v>5493</v>
      </c>
      <c r="H1711" s="1456">
        <v>0</v>
      </c>
      <c r="I1711" s="1456">
        <v>0</v>
      </c>
      <c r="J1711" s="1471">
        <v>0</v>
      </c>
      <c r="K1711" s="1460"/>
      <c r="L1711" s="1454">
        <v>13157010200</v>
      </c>
      <c r="M1711" s="1455">
        <v>0</v>
      </c>
      <c r="N1711" s="1455">
        <v>0</v>
      </c>
      <c r="O1711" s="1456">
        <v>0</v>
      </c>
      <c r="AA1711"/>
      <c r="AB1711"/>
    </row>
    <row r="1712" spans="3:28">
      <c r="C1712" s="1461" t="s">
        <v>5494</v>
      </c>
      <c r="D1712" s="1458">
        <v>0</v>
      </c>
      <c r="E1712" s="1458">
        <v>0</v>
      </c>
      <c r="F1712" s="1459">
        <v>0</v>
      </c>
      <c r="G1712" s="1470" t="s">
        <v>5494</v>
      </c>
      <c r="H1712" s="1456">
        <v>0</v>
      </c>
      <c r="I1712" s="1456">
        <v>0</v>
      </c>
      <c r="J1712" s="1471">
        <v>0</v>
      </c>
      <c r="K1712" s="1460"/>
      <c r="L1712" s="1454">
        <v>13157010300</v>
      </c>
      <c r="M1712" s="1455">
        <v>0</v>
      </c>
      <c r="N1712" s="1455">
        <v>0</v>
      </c>
      <c r="O1712" s="1456">
        <v>0</v>
      </c>
      <c r="AA1712"/>
      <c r="AB1712"/>
    </row>
    <row r="1713" spans="3:28">
      <c r="C1713" s="1461" t="s">
        <v>5495</v>
      </c>
      <c r="D1713" s="1458">
        <v>0</v>
      </c>
      <c r="E1713" s="1458">
        <v>0</v>
      </c>
      <c r="F1713" s="1459">
        <v>0</v>
      </c>
      <c r="G1713" s="1470" t="s">
        <v>5495</v>
      </c>
      <c r="H1713" s="1456">
        <v>0</v>
      </c>
      <c r="I1713" s="1456">
        <v>0</v>
      </c>
      <c r="J1713" s="1471">
        <v>0</v>
      </c>
      <c r="K1713" s="1460"/>
      <c r="L1713" s="1454">
        <v>13157010400</v>
      </c>
      <c r="M1713" s="1455">
        <v>0</v>
      </c>
      <c r="N1713" s="1455">
        <v>0</v>
      </c>
      <c r="O1713" s="1456">
        <v>0</v>
      </c>
      <c r="AA1713"/>
      <c r="AB1713"/>
    </row>
    <row r="1714" spans="3:28">
      <c r="C1714" s="1461" t="s">
        <v>5496</v>
      </c>
      <c r="D1714" s="1458">
        <v>0</v>
      </c>
      <c r="E1714" s="1458">
        <v>0</v>
      </c>
      <c r="F1714" s="1459">
        <v>0</v>
      </c>
      <c r="G1714" s="1470" t="s">
        <v>5496</v>
      </c>
      <c r="H1714" s="1456">
        <v>0</v>
      </c>
      <c r="I1714" s="1456">
        <v>0</v>
      </c>
      <c r="J1714" s="1471">
        <v>0</v>
      </c>
      <c r="K1714" s="1460"/>
      <c r="L1714" s="1454">
        <v>13157010500</v>
      </c>
      <c r="M1714" s="1455">
        <v>0</v>
      </c>
      <c r="N1714" s="1455">
        <v>0</v>
      </c>
      <c r="O1714" s="1456">
        <v>0</v>
      </c>
      <c r="AA1714"/>
      <c r="AB1714"/>
    </row>
    <row r="1715" spans="3:28">
      <c r="C1715" s="1461" t="s">
        <v>5497</v>
      </c>
      <c r="D1715" s="1458">
        <v>0</v>
      </c>
      <c r="E1715" s="1458">
        <v>0</v>
      </c>
      <c r="F1715" s="1459">
        <v>0</v>
      </c>
      <c r="G1715" s="1470" t="s">
        <v>5497</v>
      </c>
      <c r="H1715" s="1456">
        <v>1</v>
      </c>
      <c r="I1715" s="1456">
        <v>0</v>
      </c>
      <c r="J1715" s="1471">
        <v>1</v>
      </c>
      <c r="K1715" s="1460"/>
      <c r="L1715" s="1454">
        <v>13157010600</v>
      </c>
      <c r="M1715" s="1455">
        <v>1</v>
      </c>
      <c r="N1715" s="1455">
        <v>0</v>
      </c>
      <c r="O1715" s="1456">
        <v>1</v>
      </c>
      <c r="AA1715"/>
      <c r="AB1715"/>
    </row>
    <row r="1716" spans="3:28">
      <c r="C1716" s="1461" t="s">
        <v>5498</v>
      </c>
      <c r="D1716" s="1458">
        <v>0</v>
      </c>
      <c r="E1716" s="1458">
        <v>1</v>
      </c>
      <c r="F1716" s="1459">
        <v>1</v>
      </c>
      <c r="G1716" s="1470" t="s">
        <v>5498</v>
      </c>
      <c r="H1716" s="1456">
        <v>1</v>
      </c>
      <c r="I1716" s="1456">
        <v>1</v>
      </c>
      <c r="J1716" s="1471">
        <v>1</v>
      </c>
      <c r="K1716" s="1460"/>
      <c r="L1716" s="1454">
        <v>13157010701</v>
      </c>
      <c r="M1716" s="1455">
        <v>1</v>
      </c>
      <c r="N1716" s="1455">
        <v>1</v>
      </c>
      <c r="O1716" s="1456">
        <v>1</v>
      </c>
      <c r="AA1716"/>
      <c r="AB1716"/>
    </row>
    <row r="1717" spans="3:28">
      <c r="C1717" s="1461" t="s">
        <v>5499</v>
      </c>
      <c r="D1717" s="1458">
        <v>1</v>
      </c>
      <c r="E1717" s="1458">
        <v>1</v>
      </c>
      <c r="F1717" s="1459">
        <v>2</v>
      </c>
      <c r="G1717" s="1470" t="s">
        <v>5499</v>
      </c>
      <c r="H1717" s="1456">
        <v>1</v>
      </c>
      <c r="I1717" s="1456">
        <v>1</v>
      </c>
      <c r="J1717" s="1471">
        <v>2</v>
      </c>
      <c r="K1717" s="1460"/>
      <c r="L1717" s="1454">
        <v>13157010702</v>
      </c>
      <c r="M1717" s="1455">
        <v>1</v>
      </c>
      <c r="N1717" s="1455">
        <v>1</v>
      </c>
      <c r="O1717" s="1456">
        <v>2</v>
      </c>
      <c r="AA1717"/>
      <c r="AB1717"/>
    </row>
    <row r="1718" spans="3:28">
      <c r="C1718" s="1461" t="s">
        <v>5500</v>
      </c>
      <c r="D1718" s="1458">
        <v>1</v>
      </c>
      <c r="E1718" s="1458">
        <v>1</v>
      </c>
      <c r="F1718" s="1459">
        <v>2</v>
      </c>
      <c r="G1718" s="1470" t="s">
        <v>5500</v>
      </c>
      <c r="H1718" s="1456">
        <v>1</v>
      </c>
      <c r="I1718" s="1456">
        <v>1</v>
      </c>
      <c r="J1718" s="1471">
        <v>2</v>
      </c>
      <c r="K1718" s="1460"/>
      <c r="L1718" s="1454">
        <v>13157010703</v>
      </c>
      <c r="M1718" s="1455">
        <v>1</v>
      </c>
      <c r="N1718" s="1455">
        <v>1</v>
      </c>
      <c r="O1718" s="1456">
        <v>2</v>
      </c>
      <c r="AA1718"/>
      <c r="AB1718"/>
    </row>
    <row r="1719" spans="3:28">
      <c r="C1719" s="1461" t="s">
        <v>5501</v>
      </c>
      <c r="D1719" s="1458">
        <v>0</v>
      </c>
      <c r="E1719" s="1458">
        <v>0</v>
      </c>
      <c r="F1719" s="1459">
        <v>0</v>
      </c>
      <c r="G1719" s="1470" t="s">
        <v>5501</v>
      </c>
      <c r="H1719" s="1456">
        <v>0</v>
      </c>
      <c r="I1719" s="1456">
        <v>0</v>
      </c>
      <c r="J1719" s="1471">
        <v>0</v>
      </c>
      <c r="K1719" s="1460"/>
      <c r="L1719" s="1454">
        <v>13159010100</v>
      </c>
      <c r="M1719" s="1455">
        <v>0</v>
      </c>
      <c r="N1719" s="1455">
        <v>0</v>
      </c>
      <c r="O1719" s="1456">
        <v>0</v>
      </c>
      <c r="AA1719"/>
      <c r="AB1719"/>
    </row>
    <row r="1720" spans="3:28">
      <c r="C1720" s="1461" t="s">
        <v>5502</v>
      </c>
      <c r="D1720" s="1458">
        <v>1</v>
      </c>
      <c r="E1720" s="1458">
        <v>1</v>
      </c>
      <c r="F1720" s="1459">
        <v>2</v>
      </c>
      <c r="G1720" s="1470" t="s">
        <v>5502</v>
      </c>
      <c r="H1720" s="1456">
        <v>0</v>
      </c>
      <c r="I1720" s="1456">
        <v>0</v>
      </c>
      <c r="J1720" s="1471">
        <v>0</v>
      </c>
      <c r="K1720" s="1460"/>
      <c r="L1720" s="1454">
        <v>13159010200</v>
      </c>
      <c r="M1720" s="1455">
        <v>1</v>
      </c>
      <c r="N1720" s="1455">
        <v>1</v>
      </c>
      <c r="O1720" s="1456">
        <v>2</v>
      </c>
      <c r="AA1720"/>
      <c r="AB1720"/>
    </row>
    <row r="1721" spans="3:28">
      <c r="C1721" s="1461" t="s">
        <v>5503</v>
      </c>
      <c r="D1721" s="1458">
        <v>0</v>
      </c>
      <c r="E1721" s="1458">
        <v>0</v>
      </c>
      <c r="F1721" s="1459">
        <v>0</v>
      </c>
      <c r="G1721" s="1470" t="s">
        <v>5503</v>
      </c>
      <c r="H1721" s="1456">
        <v>0</v>
      </c>
      <c r="I1721" s="1456">
        <v>0</v>
      </c>
      <c r="J1721" s="1471">
        <v>0</v>
      </c>
      <c r="K1721" s="1460"/>
      <c r="L1721" s="1454">
        <v>13159010500</v>
      </c>
      <c r="M1721" s="1455">
        <v>0</v>
      </c>
      <c r="N1721" s="1455">
        <v>0</v>
      </c>
      <c r="O1721" s="1456">
        <v>0</v>
      </c>
      <c r="AA1721"/>
      <c r="AB1721"/>
    </row>
    <row r="1722" spans="3:28">
      <c r="C1722" s="1461" t="s">
        <v>5504</v>
      </c>
      <c r="D1722" s="1458">
        <v>0</v>
      </c>
      <c r="E1722" s="1458">
        <v>0</v>
      </c>
      <c r="F1722" s="1459">
        <v>0</v>
      </c>
      <c r="G1722" s="1470" t="s">
        <v>5504</v>
      </c>
      <c r="H1722" s="1456">
        <v>0</v>
      </c>
      <c r="I1722" s="1456">
        <v>0</v>
      </c>
      <c r="J1722" s="1471">
        <v>0</v>
      </c>
      <c r="K1722" s="1460"/>
      <c r="L1722" s="1454">
        <v>13161960100</v>
      </c>
      <c r="M1722" s="1455">
        <v>0</v>
      </c>
      <c r="N1722" s="1455">
        <v>0</v>
      </c>
      <c r="O1722" s="1456">
        <v>0</v>
      </c>
      <c r="AA1722"/>
      <c r="AB1722"/>
    </row>
    <row r="1723" spans="3:28">
      <c r="C1723" s="1461" t="s">
        <v>5505</v>
      </c>
      <c r="D1723" s="1458">
        <v>0</v>
      </c>
      <c r="E1723" s="1458">
        <v>0</v>
      </c>
      <c r="F1723" s="1459">
        <v>0</v>
      </c>
      <c r="G1723" s="1470" t="s">
        <v>5505</v>
      </c>
      <c r="H1723" s="1456">
        <v>0</v>
      </c>
      <c r="I1723" s="1456">
        <v>0</v>
      </c>
      <c r="J1723" s="1471">
        <v>0</v>
      </c>
      <c r="K1723" s="1460"/>
      <c r="L1723" s="1454">
        <v>13161960200</v>
      </c>
      <c r="M1723" s="1455">
        <v>0</v>
      </c>
      <c r="N1723" s="1455">
        <v>0</v>
      </c>
      <c r="O1723" s="1456">
        <v>0</v>
      </c>
      <c r="AA1723"/>
      <c r="AB1723"/>
    </row>
    <row r="1724" spans="3:28">
      <c r="C1724" s="1461" t="s">
        <v>5506</v>
      </c>
      <c r="D1724" s="1458">
        <v>0</v>
      </c>
      <c r="E1724" s="1458">
        <v>0</v>
      </c>
      <c r="F1724" s="1459">
        <v>0</v>
      </c>
      <c r="G1724" s="1470" t="s">
        <v>5506</v>
      </c>
      <c r="H1724" s="1456">
        <v>0</v>
      </c>
      <c r="I1724" s="1456">
        <v>0</v>
      </c>
      <c r="J1724" s="1471">
        <v>0</v>
      </c>
      <c r="K1724" s="1460"/>
      <c r="L1724" s="1454">
        <v>13161960300</v>
      </c>
      <c r="M1724" s="1455">
        <v>0</v>
      </c>
      <c r="N1724" s="1455">
        <v>0</v>
      </c>
      <c r="O1724" s="1456">
        <v>0</v>
      </c>
      <c r="AA1724"/>
      <c r="AB1724"/>
    </row>
    <row r="1725" spans="3:28">
      <c r="C1725" s="1461" t="s">
        <v>5507</v>
      </c>
      <c r="D1725" s="1458">
        <v>0</v>
      </c>
      <c r="E1725" s="1458">
        <v>0</v>
      </c>
      <c r="F1725" s="1459">
        <v>0</v>
      </c>
      <c r="G1725" s="1470" t="s">
        <v>5507</v>
      </c>
      <c r="H1725" s="1456">
        <v>0</v>
      </c>
      <c r="I1725" s="1456">
        <v>0</v>
      </c>
      <c r="J1725" s="1471">
        <v>0</v>
      </c>
      <c r="K1725" s="1460"/>
      <c r="L1725" s="1454">
        <v>13163960100</v>
      </c>
      <c r="M1725" s="1455">
        <v>0</v>
      </c>
      <c r="N1725" s="1455">
        <v>0</v>
      </c>
      <c r="O1725" s="1456">
        <v>0</v>
      </c>
      <c r="AA1725"/>
      <c r="AB1725"/>
    </row>
    <row r="1726" spans="3:28">
      <c r="C1726" s="1461" t="s">
        <v>5508</v>
      </c>
      <c r="D1726" s="1458">
        <v>0</v>
      </c>
      <c r="E1726" s="1458">
        <v>0</v>
      </c>
      <c r="F1726" s="1459">
        <v>0</v>
      </c>
      <c r="G1726" s="1470" t="s">
        <v>5508</v>
      </c>
      <c r="H1726" s="1456">
        <v>0</v>
      </c>
      <c r="I1726" s="1456">
        <v>0</v>
      </c>
      <c r="J1726" s="1471">
        <v>0</v>
      </c>
      <c r="K1726" s="1460"/>
      <c r="L1726" s="1454">
        <v>13163960200</v>
      </c>
      <c r="M1726" s="1455">
        <v>0</v>
      </c>
      <c r="N1726" s="1455">
        <v>0</v>
      </c>
      <c r="O1726" s="1456">
        <v>0</v>
      </c>
      <c r="AA1726"/>
      <c r="AB1726"/>
    </row>
    <row r="1727" spans="3:28">
      <c r="C1727" s="1461" t="s">
        <v>5509</v>
      </c>
      <c r="D1727" s="1458">
        <v>0</v>
      </c>
      <c r="E1727" s="1458">
        <v>0</v>
      </c>
      <c r="F1727" s="1459">
        <v>0</v>
      </c>
      <c r="G1727" s="1470" t="s">
        <v>5509</v>
      </c>
      <c r="H1727" s="1456">
        <v>0</v>
      </c>
      <c r="I1727" s="1456">
        <v>0</v>
      </c>
      <c r="J1727" s="1471">
        <v>0</v>
      </c>
      <c r="K1727" s="1460"/>
      <c r="L1727" s="1454">
        <v>13163960300</v>
      </c>
      <c r="M1727" s="1455">
        <v>0</v>
      </c>
      <c r="N1727" s="1455">
        <v>0</v>
      </c>
      <c r="O1727" s="1456">
        <v>0</v>
      </c>
      <c r="AA1727"/>
      <c r="AB1727"/>
    </row>
    <row r="1728" spans="3:28">
      <c r="C1728" s="1461" t="s">
        <v>5510</v>
      </c>
      <c r="D1728" s="1458">
        <v>0</v>
      </c>
      <c r="E1728" s="1458">
        <v>0</v>
      </c>
      <c r="F1728" s="1459">
        <v>0</v>
      </c>
      <c r="G1728" s="1470" t="s">
        <v>5510</v>
      </c>
      <c r="H1728" s="1456">
        <v>0</v>
      </c>
      <c r="I1728" s="1456" t="s">
        <v>3906</v>
      </c>
      <c r="J1728" s="1471">
        <v>0</v>
      </c>
      <c r="K1728" s="1460"/>
      <c r="L1728" s="1454">
        <v>13163960400</v>
      </c>
      <c r="M1728" s="1455">
        <v>0</v>
      </c>
      <c r="N1728" s="1455">
        <v>0</v>
      </c>
      <c r="O1728" s="1456">
        <v>0</v>
      </c>
      <c r="AA1728"/>
      <c r="AB1728"/>
    </row>
    <row r="1729" spans="3:28">
      <c r="C1729" s="1461" t="s">
        <v>5511</v>
      </c>
      <c r="D1729" s="1458">
        <v>0</v>
      </c>
      <c r="E1729" s="1458">
        <v>0</v>
      </c>
      <c r="F1729" s="1459">
        <v>0</v>
      </c>
      <c r="G1729" s="1470" t="s">
        <v>5511</v>
      </c>
      <c r="H1729" s="1456">
        <v>0</v>
      </c>
      <c r="I1729" s="1456">
        <v>0</v>
      </c>
      <c r="J1729" s="1471">
        <v>0</v>
      </c>
      <c r="K1729" s="1460"/>
      <c r="L1729" s="1454">
        <v>13165960100</v>
      </c>
      <c r="M1729" s="1455">
        <v>0</v>
      </c>
      <c r="N1729" s="1455">
        <v>0</v>
      </c>
      <c r="O1729" s="1456">
        <v>0</v>
      </c>
      <c r="AA1729"/>
      <c r="AB1729"/>
    </row>
    <row r="1730" spans="3:28">
      <c r="C1730" s="1461" t="s">
        <v>5512</v>
      </c>
      <c r="D1730" s="1458">
        <v>0</v>
      </c>
      <c r="E1730" s="1458">
        <v>0</v>
      </c>
      <c r="F1730" s="1459">
        <v>0</v>
      </c>
      <c r="G1730" s="1470" t="s">
        <v>5512</v>
      </c>
      <c r="H1730" s="1456">
        <v>0</v>
      </c>
      <c r="I1730" s="1456">
        <v>0</v>
      </c>
      <c r="J1730" s="1471">
        <v>0</v>
      </c>
      <c r="K1730" s="1460"/>
      <c r="L1730" s="1454">
        <v>13165960200</v>
      </c>
      <c r="M1730" s="1455">
        <v>0</v>
      </c>
      <c r="N1730" s="1455">
        <v>0</v>
      </c>
      <c r="O1730" s="1456">
        <v>0</v>
      </c>
      <c r="AA1730"/>
      <c r="AB1730"/>
    </row>
    <row r="1731" spans="3:28">
      <c r="C1731" s="1461" t="s">
        <v>5513</v>
      </c>
      <c r="D1731" s="1458">
        <v>0</v>
      </c>
      <c r="E1731" s="1458">
        <v>0</v>
      </c>
      <c r="F1731" s="1459">
        <v>0</v>
      </c>
      <c r="G1731" s="1470" t="s">
        <v>5513</v>
      </c>
      <c r="H1731" s="1456">
        <v>0</v>
      </c>
      <c r="I1731" s="1456">
        <v>1</v>
      </c>
      <c r="J1731" s="1471">
        <v>0</v>
      </c>
      <c r="K1731" s="1460"/>
      <c r="L1731" s="1454">
        <v>13167960100</v>
      </c>
      <c r="M1731" s="1455">
        <v>0</v>
      </c>
      <c r="N1731" s="1455">
        <v>1</v>
      </c>
      <c r="O1731" s="1456">
        <v>0</v>
      </c>
      <c r="AA1731"/>
      <c r="AB1731"/>
    </row>
    <row r="1732" spans="3:28">
      <c r="C1732" s="1461" t="s">
        <v>5514</v>
      </c>
      <c r="D1732" s="1458">
        <v>0</v>
      </c>
      <c r="E1732" s="1458">
        <v>0</v>
      </c>
      <c r="F1732" s="1459">
        <v>0</v>
      </c>
      <c r="G1732" s="1470" t="s">
        <v>5514</v>
      </c>
      <c r="H1732" s="1456">
        <v>0</v>
      </c>
      <c r="I1732" s="1456">
        <v>0</v>
      </c>
      <c r="J1732" s="1471">
        <v>0</v>
      </c>
      <c r="K1732" s="1460"/>
      <c r="L1732" s="1454">
        <v>13167960200</v>
      </c>
      <c r="M1732" s="1455">
        <v>0</v>
      </c>
      <c r="N1732" s="1455">
        <v>0</v>
      </c>
      <c r="O1732" s="1456">
        <v>0</v>
      </c>
      <c r="AA1732"/>
      <c r="AB1732"/>
    </row>
    <row r="1733" spans="3:28">
      <c r="C1733" s="1461" t="s">
        <v>5515</v>
      </c>
      <c r="D1733" s="1458">
        <v>0</v>
      </c>
      <c r="E1733" s="1458">
        <v>0</v>
      </c>
      <c r="F1733" s="1459">
        <v>0</v>
      </c>
      <c r="G1733" s="1470" t="s">
        <v>5515</v>
      </c>
      <c r="H1733" s="1456">
        <v>1</v>
      </c>
      <c r="I1733" s="1456">
        <v>1</v>
      </c>
      <c r="J1733" s="1471">
        <v>2</v>
      </c>
      <c r="K1733" s="1460"/>
      <c r="L1733" s="1454">
        <v>13167960300</v>
      </c>
      <c r="M1733" s="1455">
        <v>1</v>
      </c>
      <c r="N1733" s="1455">
        <v>1</v>
      </c>
      <c r="O1733" s="1456">
        <v>2</v>
      </c>
      <c r="AA1733"/>
      <c r="AB1733"/>
    </row>
    <row r="1734" spans="3:28">
      <c r="C1734" s="1461" t="s">
        <v>5516</v>
      </c>
      <c r="D1734" s="1458">
        <v>1</v>
      </c>
      <c r="E1734" s="1458">
        <v>1</v>
      </c>
      <c r="F1734" s="1459">
        <v>2</v>
      </c>
      <c r="G1734" s="1470" t="s">
        <v>5516</v>
      </c>
      <c r="H1734" s="1456">
        <v>1</v>
      </c>
      <c r="I1734" s="1456">
        <v>1</v>
      </c>
      <c r="J1734" s="1471">
        <v>2</v>
      </c>
      <c r="K1734" s="1460"/>
      <c r="L1734" s="1454">
        <v>13169030101</v>
      </c>
      <c r="M1734" s="1455">
        <v>1</v>
      </c>
      <c r="N1734" s="1455">
        <v>1</v>
      </c>
      <c r="O1734" s="1456">
        <v>2</v>
      </c>
      <c r="AA1734"/>
      <c r="AB1734"/>
    </row>
    <row r="1735" spans="3:28">
      <c r="C1735" s="1461" t="s">
        <v>5517</v>
      </c>
      <c r="D1735" s="1458">
        <v>1</v>
      </c>
      <c r="E1735" s="1458">
        <v>1</v>
      </c>
      <c r="F1735" s="1459">
        <v>2</v>
      </c>
      <c r="G1735" s="1470" t="s">
        <v>5517</v>
      </c>
      <c r="H1735" s="1456">
        <v>1</v>
      </c>
      <c r="I1735" s="1456">
        <v>0</v>
      </c>
      <c r="J1735" s="1471">
        <v>1</v>
      </c>
      <c r="K1735" s="1460"/>
      <c r="L1735" s="1454">
        <v>13169030103</v>
      </c>
      <c r="M1735" s="1455">
        <v>1</v>
      </c>
      <c r="N1735" s="1455">
        <v>1</v>
      </c>
      <c r="O1735" s="1456">
        <v>2</v>
      </c>
      <c r="AA1735"/>
      <c r="AB1735"/>
    </row>
    <row r="1736" spans="3:28">
      <c r="C1736" s="1461" t="s">
        <v>5518</v>
      </c>
      <c r="D1736" s="1458">
        <v>0</v>
      </c>
      <c r="E1736" s="1458">
        <v>0</v>
      </c>
      <c r="F1736" s="1459">
        <v>0</v>
      </c>
      <c r="G1736" s="1470" t="s">
        <v>5518</v>
      </c>
      <c r="H1736" s="1456">
        <v>0</v>
      </c>
      <c r="I1736" s="1456">
        <v>0</v>
      </c>
      <c r="J1736" s="1471">
        <v>0</v>
      </c>
      <c r="K1736" s="1460"/>
      <c r="L1736" s="1454">
        <v>13169030104</v>
      </c>
      <c r="M1736" s="1455">
        <v>0</v>
      </c>
      <c r="N1736" s="1455">
        <v>0</v>
      </c>
      <c r="O1736" s="1456">
        <v>0</v>
      </c>
      <c r="AA1736"/>
      <c r="AB1736"/>
    </row>
    <row r="1737" spans="3:28">
      <c r="C1737" s="1461" t="s">
        <v>5519</v>
      </c>
      <c r="D1737" s="1458">
        <v>0</v>
      </c>
      <c r="E1737" s="1458">
        <v>0</v>
      </c>
      <c r="F1737" s="1459">
        <v>0</v>
      </c>
      <c r="G1737" s="1470" t="s">
        <v>5519</v>
      </c>
      <c r="H1737" s="1456">
        <v>0</v>
      </c>
      <c r="I1737" s="1456">
        <v>0</v>
      </c>
      <c r="J1737" s="1471">
        <v>0</v>
      </c>
      <c r="K1737" s="1460"/>
      <c r="L1737" s="1454">
        <v>13169030200</v>
      </c>
      <c r="M1737" s="1455">
        <v>0</v>
      </c>
      <c r="N1737" s="1455">
        <v>0</v>
      </c>
      <c r="O1737" s="1456">
        <v>0</v>
      </c>
      <c r="AA1737"/>
      <c r="AB1737"/>
    </row>
    <row r="1738" spans="3:28">
      <c r="C1738" s="1461" t="s">
        <v>5520</v>
      </c>
      <c r="D1738" s="1458">
        <v>1</v>
      </c>
      <c r="E1738" s="1458">
        <v>1</v>
      </c>
      <c r="F1738" s="1459">
        <v>2</v>
      </c>
      <c r="G1738" s="1470" t="s">
        <v>5520</v>
      </c>
      <c r="H1738" s="1456">
        <v>1</v>
      </c>
      <c r="I1738" s="1456">
        <v>1</v>
      </c>
      <c r="J1738" s="1471">
        <v>2</v>
      </c>
      <c r="K1738" s="1460"/>
      <c r="L1738" s="1454">
        <v>13169030301</v>
      </c>
      <c r="M1738" s="1455">
        <v>1</v>
      </c>
      <c r="N1738" s="1455">
        <v>1</v>
      </c>
      <c r="O1738" s="1456">
        <v>2</v>
      </c>
      <c r="AA1738"/>
      <c r="AB1738"/>
    </row>
    <row r="1739" spans="3:28">
      <c r="C1739" s="1461" t="s">
        <v>5521</v>
      </c>
      <c r="D1739" s="1458">
        <v>0</v>
      </c>
      <c r="E1739" s="1458">
        <v>1</v>
      </c>
      <c r="F1739" s="1459">
        <v>1</v>
      </c>
      <c r="G1739" s="1470" t="s">
        <v>5521</v>
      </c>
      <c r="H1739" s="1456">
        <v>0</v>
      </c>
      <c r="I1739" s="1456">
        <v>0</v>
      </c>
      <c r="J1739" s="1471">
        <v>0</v>
      </c>
      <c r="K1739" s="1460"/>
      <c r="L1739" s="1454">
        <v>13169030302</v>
      </c>
      <c r="M1739" s="1455">
        <v>0</v>
      </c>
      <c r="N1739" s="1455">
        <v>1</v>
      </c>
      <c r="O1739" s="1456">
        <v>1</v>
      </c>
      <c r="AA1739"/>
      <c r="AB1739"/>
    </row>
    <row r="1740" spans="3:28">
      <c r="C1740" s="1461" t="s">
        <v>5522</v>
      </c>
      <c r="D1740" s="1458">
        <v>0</v>
      </c>
      <c r="E1740" s="1458">
        <v>0</v>
      </c>
      <c r="F1740" s="1459">
        <v>0</v>
      </c>
      <c r="G1740" s="1470" t="s">
        <v>5522</v>
      </c>
      <c r="H1740" s="1456">
        <v>0</v>
      </c>
      <c r="I1740" s="1456">
        <v>0</v>
      </c>
      <c r="J1740" s="1471">
        <v>0</v>
      </c>
      <c r="K1740" s="1460"/>
      <c r="L1740" s="1454">
        <v>13171970100</v>
      </c>
      <c r="M1740" s="1455">
        <v>0</v>
      </c>
      <c r="N1740" s="1455">
        <v>0</v>
      </c>
      <c r="O1740" s="1456">
        <v>0</v>
      </c>
      <c r="AA1740"/>
      <c r="AB1740"/>
    </row>
    <row r="1741" spans="3:28">
      <c r="C1741" s="1461" t="s">
        <v>5523</v>
      </c>
      <c r="D1741" s="1458">
        <v>0</v>
      </c>
      <c r="E1741" s="1458">
        <v>0</v>
      </c>
      <c r="F1741" s="1459">
        <v>0</v>
      </c>
      <c r="G1741" s="1470" t="s">
        <v>5523</v>
      </c>
      <c r="H1741" s="1456">
        <v>0</v>
      </c>
      <c r="I1741" s="1456">
        <v>0</v>
      </c>
      <c r="J1741" s="1471">
        <v>0</v>
      </c>
      <c r="K1741" s="1460"/>
      <c r="L1741" s="1454">
        <v>13171970200</v>
      </c>
      <c r="M1741" s="1455">
        <v>0</v>
      </c>
      <c r="N1741" s="1455">
        <v>0</v>
      </c>
      <c r="O1741" s="1456">
        <v>0</v>
      </c>
      <c r="AA1741"/>
      <c r="AB1741"/>
    </row>
    <row r="1742" spans="3:28">
      <c r="C1742" s="1461" t="s">
        <v>5524</v>
      </c>
      <c r="D1742" s="1458">
        <v>0</v>
      </c>
      <c r="E1742" s="1458">
        <v>0</v>
      </c>
      <c r="F1742" s="1459">
        <v>0</v>
      </c>
      <c r="G1742" s="1470" t="s">
        <v>5524</v>
      </c>
      <c r="H1742" s="1456">
        <v>0</v>
      </c>
      <c r="I1742" s="1456">
        <v>0</v>
      </c>
      <c r="J1742" s="1471">
        <v>0</v>
      </c>
      <c r="K1742" s="1460"/>
      <c r="L1742" s="1454">
        <v>13171970300</v>
      </c>
      <c r="M1742" s="1455">
        <v>0</v>
      </c>
      <c r="N1742" s="1455">
        <v>0</v>
      </c>
      <c r="O1742" s="1456">
        <v>0</v>
      </c>
      <c r="AA1742"/>
      <c r="AB1742"/>
    </row>
    <row r="1743" spans="3:28">
      <c r="C1743" s="1461" t="s">
        <v>5525</v>
      </c>
      <c r="D1743" s="1458">
        <v>0</v>
      </c>
      <c r="E1743" s="1458">
        <v>0</v>
      </c>
      <c r="F1743" s="1459">
        <v>0</v>
      </c>
      <c r="G1743" s="1470" t="s">
        <v>5525</v>
      </c>
      <c r="H1743" s="1456">
        <v>0</v>
      </c>
      <c r="I1743" s="1456">
        <v>0</v>
      </c>
      <c r="J1743" s="1471">
        <v>0</v>
      </c>
      <c r="K1743" s="1460"/>
      <c r="L1743" s="1454">
        <v>13173950100</v>
      </c>
      <c r="M1743" s="1455">
        <v>0</v>
      </c>
      <c r="N1743" s="1455">
        <v>0</v>
      </c>
      <c r="O1743" s="1456">
        <v>0</v>
      </c>
      <c r="AA1743"/>
      <c r="AB1743"/>
    </row>
    <row r="1744" spans="3:28">
      <c r="C1744" s="1461" t="s">
        <v>5526</v>
      </c>
      <c r="D1744" s="1458">
        <v>0</v>
      </c>
      <c r="E1744" s="1458">
        <v>0</v>
      </c>
      <c r="F1744" s="1459">
        <v>0</v>
      </c>
      <c r="G1744" s="1470" t="s">
        <v>5526</v>
      </c>
      <c r="H1744" s="1456">
        <v>0</v>
      </c>
      <c r="I1744" s="1456">
        <v>0</v>
      </c>
      <c r="J1744" s="1471">
        <v>0</v>
      </c>
      <c r="K1744" s="1460"/>
      <c r="L1744" s="1454">
        <v>13173950200</v>
      </c>
      <c r="M1744" s="1455">
        <v>0</v>
      </c>
      <c r="N1744" s="1455">
        <v>0</v>
      </c>
      <c r="O1744" s="1456">
        <v>0</v>
      </c>
      <c r="AA1744"/>
      <c r="AB1744"/>
    </row>
    <row r="1745" spans="3:28">
      <c r="C1745" s="1461" t="s">
        <v>5527</v>
      </c>
      <c r="D1745" s="1458">
        <v>0</v>
      </c>
      <c r="E1745" s="1458">
        <v>0</v>
      </c>
      <c r="F1745" s="1459">
        <v>0</v>
      </c>
      <c r="G1745" s="1470" t="s">
        <v>5527</v>
      </c>
      <c r="H1745" s="1456">
        <v>0</v>
      </c>
      <c r="I1745" s="1456">
        <v>0</v>
      </c>
      <c r="J1745" s="1471">
        <v>0</v>
      </c>
      <c r="K1745" s="1460"/>
      <c r="L1745" s="1454">
        <v>13175950100</v>
      </c>
      <c r="M1745" s="1455">
        <v>0</v>
      </c>
      <c r="N1745" s="1455">
        <v>0</v>
      </c>
      <c r="O1745" s="1456">
        <v>0</v>
      </c>
      <c r="AA1745"/>
      <c r="AB1745"/>
    </row>
    <row r="1746" spans="3:28">
      <c r="C1746" s="1461" t="s">
        <v>5528</v>
      </c>
      <c r="D1746" s="1458">
        <v>0</v>
      </c>
      <c r="E1746" s="1458">
        <v>1</v>
      </c>
      <c r="F1746" s="1459">
        <v>1</v>
      </c>
      <c r="G1746" s="1470" t="s">
        <v>5528</v>
      </c>
      <c r="H1746" s="1456">
        <v>1</v>
      </c>
      <c r="I1746" s="1456">
        <v>1</v>
      </c>
      <c r="J1746" s="1471">
        <v>2</v>
      </c>
      <c r="K1746" s="1460"/>
      <c r="L1746" s="1454">
        <v>13175950201</v>
      </c>
      <c r="M1746" s="1455">
        <v>1</v>
      </c>
      <c r="N1746" s="1455">
        <v>1</v>
      </c>
      <c r="O1746" s="1456">
        <v>2</v>
      </c>
      <c r="AA1746"/>
      <c r="AB1746"/>
    </row>
    <row r="1747" spans="3:28">
      <c r="C1747" s="1461" t="s">
        <v>5529</v>
      </c>
      <c r="D1747" s="1458">
        <v>1</v>
      </c>
      <c r="E1747" s="1458">
        <v>1</v>
      </c>
      <c r="F1747" s="1459">
        <v>2</v>
      </c>
      <c r="G1747" s="1470" t="s">
        <v>5529</v>
      </c>
      <c r="H1747" s="1456">
        <v>1</v>
      </c>
      <c r="I1747" s="1456">
        <v>1</v>
      </c>
      <c r="J1747" s="1471">
        <v>2</v>
      </c>
      <c r="K1747" s="1460"/>
      <c r="L1747" s="1454">
        <v>13175950202</v>
      </c>
      <c r="M1747" s="1455">
        <v>1</v>
      </c>
      <c r="N1747" s="1455">
        <v>1</v>
      </c>
      <c r="O1747" s="1456">
        <v>2</v>
      </c>
      <c r="AA1747"/>
      <c r="AB1747"/>
    </row>
    <row r="1748" spans="3:28">
      <c r="C1748" s="1461" t="s">
        <v>5530</v>
      </c>
      <c r="D1748" s="1458">
        <v>0</v>
      </c>
      <c r="E1748" s="1458">
        <v>0</v>
      </c>
      <c r="F1748" s="1459">
        <v>0</v>
      </c>
      <c r="G1748" s="1470" t="s">
        <v>5530</v>
      </c>
      <c r="H1748" s="1456">
        <v>0</v>
      </c>
      <c r="I1748" s="1456">
        <v>0</v>
      </c>
      <c r="J1748" s="1471">
        <v>0</v>
      </c>
      <c r="K1748" s="1460"/>
      <c r="L1748" s="1454">
        <v>13175950300</v>
      </c>
      <c r="M1748" s="1455">
        <v>0</v>
      </c>
      <c r="N1748" s="1455">
        <v>0</v>
      </c>
      <c r="O1748" s="1456">
        <v>0</v>
      </c>
      <c r="AA1748"/>
      <c r="AB1748"/>
    </row>
    <row r="1749" spans="3:28">
      <c r="C1749" s="1461" t="s">
        <v>5531</v>
      </c>
      <c r="D1749" s="1458">
        <v>0</v>
      </c>
      <c r="E1749" s="1458">
        <v>0</v>
      </c>
      <c r="F1749" s="1459">
        <v>0</v>
      </c>
      <c r="G1749" s="1470" t="s">
        <v>5531</v>
      </c>
      <c r="H1749" s="1456">
        <v>0</v>
      </c>
      <c r="I1749" s="1456">
        <v>0</v>
      </c>
      <c r="J1749" s="1471">
        <v>0</v>
      </c>
      <c r="K1749" s="1460"/>
      <c r="L1749" s="1454">
        <v>13175950400</v>
      </c>
      <c r="M1749" s="1455">
        <v>0</v>
      </c>
      <c r="N1749" s="1455">
        <v>0</v>
      </c>
      <c r="O1749" s="1456">
        <v>0</v>
      </c>
      <c r="AA1749"/>
      <c r="AB1749"/>
    </row>
    <row r="1750" spans="3:28">
      <c r="C1750" s="1461" t="s">
        <v>5532</v>
      </c>
      <c r="D1750" s="1458">
        <v>0</v>
      </c>
      <c r="E1750" s="1458">
        <v>0</v>
      </c>
      <c r="F1750" s="1459">
        <v>0</v>
      </c>
      <c r="G1750" s="1470" t="s">
        <v>5532</v>
      </c>
      <c r="H1750" s="1456">
        <v>0</v>
      </c>
      <c r="I1750" s="1456">
        <v>0</v>
      </c>
      <c r="J1750" s="1471">
        <v>0</v>
      </c>
      <c r="K1750" s="1460"/>
      <c r="L1750" s="1454">
        <v>13175950500</v>
      </c>
      <c r="M1750" s="1455">
        <v>0</v>
      </c>
      <c r="N1750" s="1455">
        <v>0</v>
      </c>
      <c r="O1750" s="1456">
        <v>0</v>
      </c>
      <c r="AA1750"/>
      <c r="AB1750"/>
    </row>
    <row r="1751" spans="3:28">
      <c r="C1751" s="1461" t="s">
        <v>5533</v>
      </c>
      <c r="D1751" s="1458">
        <v>1</v>
      </c>
      <c r="E1751" s="1458">
        <v>0</v>
      </c>
      <c r="F1751" s="1459">
        <v>1</v>
      </c>
      <c r="G1751" s="1470" t="s">
        <v>5533</v>
      </c>
      <c r="H1751" s="1456">
        <v>0</v>
      </c>
      <c r="I1751" s="1456">
        <v>1</v>
      </c>
      <c r="J1751" s="1471">
        <v>1</v>
      </c>
      <c r="K1751" s="1460"/>
      <c r="L1751" s="1454">
        <v>13175950600</v>
      </c>
      <c r="M1751" s="1455">
        <v>1</v>
      </c>
      <c r="N1751" s="1455">
        <v>1</v>
      </c>
      <c r="O1751" s="1456">
        <v>1</v>
      </c>
      <c r="AA1751"/>
      <c r="AB1751"/>
    </row>
    <row r="1752" spans="3:28">
      <c r="C1752" s="1461" t="s">
        <v>5534</v>
      </c>
      <c r="D1752" s="1458">
        <v>0</v>
      </c>
      <c r="E1752" s="1458">
        <v>0</v>
      </c>
      <c r="F1752" s="1459">
        <v>0</v>
      </c>
      <c r="G1752" s="1470" t="s">
        <v>5534</v>
      </c>
      <c r="H1752" s="1456">
        <v>0</v>
      </c>
      <c r="I1752" s="1456">
        <v>1</v>
      </c>
      <c r="J1752" s="1471">
        <v>1</v>
      </c>
      <c r="K1752" s="1460"/>
      <c r="L1752" s="1454">
        <v>13175950700</v>
      </c>
      <c r="M1752" s="1455">
        <v>0</v>
      </c>
      <c r="N1752" s="1455">
        <v>1</v>
      </c>
      <c r="O1752" s="1456">
        <v>1</v>
      </c>
      <c r="AA1752"/>
      <c r="AB1752"/>
    </row>
    <row r="1753" spans="3:28">
      <c r="C1753" s="1461" t="s">
        <v>5535</v>
      </c>
      <c r="D1753" s="1458">
        <v>0</v>
      </c>
      <c r="E1753" s="1458">
        <v>0</v>
      </c>
      <c r="F1753" s="1459">
        <v>0</v>
      </c>
      <c r="G1753" s="1470" t="s">
        <v>5535</v>
      </c>
      <c r="H1753" s="1456">
        <v>0</v>
      </c>
      <c r="I1753" s="1456">
        <v>0</v>
      </c>
      <c r="J1753" s="1471">
        <v>0</v>
      </c>
      <c r="K1753" s="1460"/>
      <c r="L1753" s="1454">
        <v>13175950800</v>
      </c>
      <c r="M1753" s="1455">
        <v>0</v>
      </c>
      <c r="N1753" s="1455">
        <v>0</v>
      </c>
      <c r="O1753" s="1456">
        <v>0</v>
      </c>
      <c r="AA1753"/>
      <c r="AB1753"/>
    </row>
    <row r="1754" spans="3:28">
      <c r="C1754" s="1461" t="s">
        <v>5536</v>
      </c>
      <c r="D1754" s="1458">
        <v>0</v>
      </c>
      <c r="E1754" s="1458">
        <v>0</v>
      </c>
      <c r="F1754" s="1459">
        <v>0</v>
      </c>
      <c r="G1754" s="1470" t="s">
        <v>5536</v>
      </c>
      <c r="H1754" s="1456">
        <v>0</v>
      </c>
      <c r="I1754" s="1456">
        <v>0</v>
      </c>
      <c r="J1754" s="1471">
        <v>0</v>
      </c>
      <c r="K1754" s="1460"/>
      <c r="L1754" s="1454">
        <v>13175950900</v>
      </c>
      <c r="M1754" s="1455">
        <v>0</v>
      </c>
      <c r="N1754" s="1455">
        <v>0</v>
      </c>
      <c r="O1754" s="1456">
        <v>0</v>
      </c>
      <c r="AA1754"/>
      <c r="AB1754"/>
    </row>
    <row r="1755" spans="3:28">
      <c r="C1755" s="1461" t="s">
        <v>5537</v>
      </c>
      <c r="D1755" s="1458">
        <v>0</v>
      </c>
      <c r="E1755" s="1458">
        <v>0</v>
      </c>
      <c r="F1755" s="1459">
        <v>0</v>
      </c>
      <c r="G1755" s="1470" t="s">
        <v>5537</v>
      </c>
      <c r="H1755" s="1456">
        <v>0</v>
      </c>
      <c r="I1755" s="1456">
        <v>0</v>
      </c>
      <c r="J1755" s="1471">
        <v>0</v>
      </c>
      <c r="K1755" s="1460"/>
      <c r="L1755" s="1454">
        <v>13175951000</v>
      </c>
      <c r="M1755" s="1455">
        <v>0</v>
      </c>
      <c r="N1755" s="1455">
        <v>0</v>
      </c>
      <c r="O1755" s="1456">
        <v>0</v>
      </c>
      <c r="AA1755"/>
      <c r="AB1755"/>
    </row>
    <row r="1756" spans="3:28">
      <c r="C1756" s="1461" t="s">
        <v>5538</v>
      </c>
      <c r="D1756" s="1458">
        <v>0</v>
      </c>
      <c r="E1756" s="1458">
        <v>0</v>
      </c>
      <c r="F1756" s="1459">
        <v>0</v>
      </c>
      <c r="G1756" s="1470" t="s">
        <v>5538</v>
      </c>
      <c r="H1756" s="1456">
        <v>0</v>
      </c>
      <c r="I1756" s="1456">
        <v>0</v>
      </c>
      <c r="J1756" s="1471">
        <v>0</v>
      </c>
      <c r="K1756" s="1460"/>
      <c r="L1756" s="1454">
        <v>13175951100</v>
      </c>
      <c r="M1756" s="1455">
        <v>0</v>
      </c>
      <c r="N1756" s="1455">
        <v>0</v>
      </c>
      <c r="O1756" s="1456">
        <v>0</v>
      </c>
      <c r="AA1756"/>
      <c r="AB1756"/>
    </row>
    <row r="1757" spans="3:28">
      <c r="C1757" s="1461" t="s">
        <v>5539</v>
      </c>
      <c r="D1757" s="1458">
        <v>0</v>
      </c>
      <c r="E1757" s="1458">
        <v>0</v>
      </c>
      <c r="F1757" s="1459">
        <v>0</v>
      </c>
      <c r="G1757" s="1470" t="s">
        <v>5539</v>
      </c>
      <c r="H1757" s="1456">
        <v>0</v>
      </c>
      <c r="I1757" s="1456" t="s">
        <v>3906</v>
      </c>
      <c r="J1757" s="1471">
        <v>0</v>
      </c>
      <c r="K1757" s="1460"/>
      <c r="L1757" s="1454">
        <v>13175951400</v>
      </c>
      <c r="M1757" s="1455">
        <v>0</v>
      </c>
      <c r="N1757" s="1455">
        <v>0</v>
      </c>
      <c r="O1757" s="1456">
        <v>0</v>
      </c>
      <c r="AA1757"/>
      <c r="AB1757"/>
    </row>
    <row r="1758" spans="3:28">
      <c r="C1758" s="1461" t="s">
        <v>5540</v>
      </c>
      <c r="D1758" s="1458">
        <v>1</v>
      </c>
      <c r="E1758" s="1458">
        <v>1</v>
      </c>
      <c r="F1758" s="1459">
        <v>2</v>
      </c>
      <c r="G1758" s="1470" t="s">
        <v>5540</v>
      </c>
      <c r="H1758" s="1456">
        <v>0</v>
      </c>
      <c r="I1758" s="1456">
        <v>1</v>
      </c>
      <c r="J1758" s="1471">
        <v>1</v>
      </c>
      <c r="K1758" s="1460"/>
      <c r="L1758" s="1454">
        <v>13177020100</v>
      </c>
      <c r="M1758" s="1455">
        <v>1</v>
      </c>
      <c r="N1758" s="1455">
        <v>1</v>
      </c>
      <c r="O1758" s="1456">
        <v>2</v>
      </c>
      <c r="AA1758"/>
      <c r="AB1758"/>
    </row>
    <row r="1759" spans="3:28">
      <c r="C1759" s="1461" t="s">
        <v>5541</v>
      </c>
      <c r="D1759" s="1458">
        <v>0</v>
      </c>
      <c r="E1759" s="1458">
        <v>0</v>
      </c>
      <c r="F1759" s="1459">
        <v>0</v>
      </c>
      <c r="G1759" s="1470" t="s">
        <v>5541</v>
      </c>
      <c r="H1759" s="1456">
        <v>0</v>
      </c>
      <c r="I1759" s="1456" t="s">
        <v>3906</v>
      </c>
      <c r="J1759" s="1471">
        <v>0</v>
      </c>
      <c r="K1759" s="1460"/>
      <c r="L1759" s="1454">
        <v>13177020200</v>
      </c>
      <c r="M1759" s="1455">
        <v>0</v>
      </c>
      <c r="N1759" s="1455">
        <v>0</v>
      </c>
      <c r="O1759" s="1456">
        <v>0</v>
      </c>
      <c r="AA1759"/>
      <c r="AB1759"/>
    </row>
    <row r="1760" spans="3:28">
      <c r="C1760" s="1461" t="s">
        <v>5542</v>
      </c>
      <c r="D1760" s="1458">
        <v>0</v>
      </c>
      <c r="E1760" s="1458">
        <v>1</v>
      </c>
      <c r="F1760" s="1459">
        <v>1</v>
      </c>
      <c r="G1760" s="1470" t="s">
        <v>5542</v>
      </c>
      <c r="H1760" s="1456">
        <v>0</v>
      </c>
      <c r="I1760" s="1456">
        <v>0</v>
      </c>
      <c r="J1760" s="1471">
        <v>0</v>
      </c>
      <c r="K1760" s="1460"/>
      <c r="L1760" s="1454">
        <v>13177020300</v>
      </c>
      <c r="M1760" s="1455">
        <v>0</v>
      </c>
      <c r="N1760" s="1455">
        <v>1</v>
      </c>
      <c r="O1760" s="1456">
        <v>1</v>
      </c>
      <c r="AA1760"/>
      <c r="AB1760"/>
    </row>
    <row r="1761" spans="3:28">
      <c r="C1761" s="1461" t="s">
        <v>5543</v>
      </c>
      <c r="D1761" s="1458">
        <v>1</v>
      </c>
      <c r="E1761" s="1458">
        <v>1</v>
      </c>
      <c r="F1761" s="1459">
        <v>2</v>
      </c>
      <c r="G1761" s="1470" t="s">
        <v>5543</v>
      </c>
      <c r="H1761" s="1456">
        <v>1</v>
      </c>
      <c r="I1761" s="1456">
        <v>0</v>
      </c>
      <c r="J1761" s="1471">
        <v>1</v>
      </c>
      <c r="K1761" s="1460"/>
      <c r="L1761" s="1454">
        <v>13177020402</v>
      </c>
      <c r="M1761" s="1455">
        <v>1</v>
      </c>
      <c r="N1761" s="1455">
        <v>1</v>
      </c>
      <c r="O1761" s="1456">
        <v>2</v>
      </c>
      <c r="AA1761"/>
      <c r="AB1761"/>
    </row>
    <row r="1762" spans="3:28">
      <c r="C1762" s="1461" t="s">
        <v>5544</v>
      </c>
      <c r="D1762" s="1458">
        <v>1</v>
      </c>
      <c r="E1762" s="1458">
        <v>1</v>
      </c>
      <c r="F1762" s="1459">
        <v>2</v>
      </c>
      <c r="G1762" s="1470" t="s">
        <v>5544</v>
      </c>
      <c r="H1762" s="1456">
        <v>1</v>
      </c>
      <c r="I1762" s="1456">
        <v>1</v>
      </c>
      <c r="J1762" s="1471">
        <v>2</v>
      </c>
      <c r="K1762" s="1460"/>
      <c r="L1762" s="1454">
        <v>13177020403</v>
      </c>
      <c r="M1762" s="1455">
        <v>1</v>
      </c>
      <c r="N1762" s="1455">
        <v>1</v>
      </c>
      <c r="O1762" s="1456">
        <v>2</v>
      </c>
      <c r="AA1762"/>
      <c r="AB1762"/>
    </row>
    <row r="1763" spans="3:28">
      <c r="C1763" s="1461" t="s">
        <v>5545</v>
      </c>
      <c r="D1763" s="1458">
        <v>0</v>
      </c>
      <c r="E1763" s="1458">
        <v>1</v>
      </c>
      <c r="F1763" s="1459">
        <v>1</v>
      </c>
      <c r="G1763" s="1470" t="s">
        <v>5545</v>
      </c>
      <c r="H1763" s="1456">
        <v>0</v>
      </c>
      <c r="I1763" s="1456" t="s">
        <v>3906</v>
      </c>
      <c r="J1763" s="1471">
        <v>0</v>
      </c>
      <c r="K1763" s="1460"/>
      <c r="L1763" s="1454">
        <v>13179010101</v>
      </c>
      <c r="M1763" s="1455">
        <v>0</v>
      </c>
      <c r="N1763" s="1455">
        <v>1</v>
      </c>
      <c r="O1763" s="1456">
        <v>1</v>
      </c>
      <c r="AA1763"/>
      <c r="AB1763"/>
    </row>
    <row r="1764" spans="3:28">
      <c r="C1764" s="1461" t="s">
        <v>5546</v>
      </c>
      <c r="D1764" s="1458">
        <v>1</v>
      </c>
      <c r="E1764" s="1458">
        <v>1</v>
      </c>
      <c r="F1764" s="1459">
        <v>2</v>
      </c>
      <c r="G1764" s="1470" t="s">
        <v>5546</v>
      </c>
      <c r="H1764" s="1456">
        <v>1</v>
      </c>
      <c r="I1764" s="1456" t="s">
        <v>3906</v>
      </c>
      <c r="J1764" s="1471">
        <v>1</v>
      </c>
      <c r="K1764" s="1460"/>
      <c r="L1764" s="1454">
        <v>13179010102</v>
      </c>
      <c r="M1764" s="1455">
        <v>1</v>
      </c>
      <c r="N1764" s="1455">
        <v>1</v>
      </c>
      <c r="O1764" s="1456">
        <v>2</v>
      </c>
      <c r="AA1764"/>
      <c r="AB1764"/>
    </row>
    <row r="1765" spans="3:28">
      <c r="C1765" s="1461" t="s">
        <v>5547</v>
      </c>
      <c r="D1765" s="1458">
        <v>0</v>
      </c>
      <c r="E1765" s="1458">
        <v>1</v>
      </c>
      <c r="F1765" s="1459">
        <v>1</v>
      </c>
      <c r="G1765" s="1470" t="s">
        <v>5547</v>
      </c>
      <c r="H1765" s="1456">
        <v>0</v>
      </c>
      <c r="I1765" s="1456" t="s">
        <v>3906</v>
      </c>
      <c r="J1765" s="1471">
        <v>0</v>
      </c>
      <c r="K1765" s="1460"/>
      <c r="L1765" s="1454">
        <v>13179010103</v>
      </c>
      <c r="M1765" s="1455">
        <v>0</v>
      </c>
      <c r="N1765" s="1455">
        <v>1</v>
      </c>
      <c r="O1765" s="1456">
        <v>1</v>
      </c>
      <c r="AA1765"/>
      <c r="AB1765"/>
    </row>
    <row r="1766" spans="3:28">
      <c r="C1766" s="1461" t="s">
        <v>5548</v>
      </c>
      <c r="D1766" s="1458">
        <v>0</v>
      </c>
      <c r="E1766" s="1458">
        <v>1</v>
      </c>
      <c r="F1766" s="1459">
        <v>1</v>
      </c>
      <c r="G1766" s="1470" t="s">
        <v>5548</v>
      </c>
      <c r="H1766" s="1456">
        <v>0</v>
      </c>
      <c r="I1766" s="1456">
        <v>1</v>
      </c>
      <c r="J1766" s="1471">
        <v>1</v>
      </c>
      <c r="K1766" s="1460"/>
      <c r="L1766" s="1454">
        <v>13179010202</v>
      </c>
      <c r="M1766" s="1455">
        <v>0</v>
      </c>
      <c r="N1766" s="1455">
        <v>1</v>
      </c>
      <c r="O1766" s="1456">
        <v>1</v>
      </c>
      <c r="AA1766"/>
      <c r="AB1766"/>
    </row>
    <row r="1767" spans="3:28">
      <c r="C1767" s="1461" t="s">
        <v>5549</v>
      </c>
      <c r="D1767" s="1458">
        <v>0</v>
      </c>
      <c r="E1767" s="1458">
        <v>0</v>
      </c>
      <c r="F1767" s="1459">
        <v>0</v>
      </c>
      <c r="G1767" s="1470" t="s">
        <v>5549</v>
      </c>
      <c r="H1767" s="1456">
        <v>0</v>
      </c>
      <c r="I1767" s="1456">
        <v>0</v>
      </c>
      <c r="J1767" s="1471">
        <v>0</v>
      </c>
      <c r="K1767" s="1460"/>
      <c r="L1767" s="1454">
        <v>13179010204</v>
      </c>
      <c r="M1767" s="1455">
        <v>0</v>
      </c>
      <c r="N1767" s="1455">
        <v>0</v>
      </c>
      <c r="O1767" s="1456">
        <v>0</v>
      </c>
      <c r="AA1767"/>
      <c r="AB1767"/>
    </row>
    <row r="1768" spans="3:28">
      <c r="C1768" s="1461" t="s">
        <v>5550</v>
      </c>
      <c r="D1768" s="1458">
        <v>0</v>
      </c>
      <c r="E1768" s="1458">
        <v>1</v>
      </c>
      <c r="F1768" s="1459">
        <v>1</v>
      </c>
      <c r="G1768" s="1470" t="s">
        <v>5550</v>
      </c>
      <c r="H1768" s="1456">
        <v>0</v>
      </c>
      <c r="I1768" s="1456">
        <v>0</v>
      </c>
      <c r="J1768" s="1471">
        <v>0</v>
      </c>
      <c r="K1768" s="1460"/>
      <c r="L1768" s="1454">
        <v>13179010205</v>
      </c>
      <c r="M1768" s="1455">
        <v>0</v>
      </c>
      <c r="N1768" s="1455">
        <v>1</v>
      </c>
      <c r="O1768" s="1456">
        <v>1</v>
      </c>
      <c r="AA1768"/>
      <c r="AB1768"/>
    </row>
    <row r="1769" spans="3:28">
      <c r="C1769" s="1461" t="s">
        <v>5551</v>
      </c>
      <c r="D1769" s="1458">
        <v>0</v>
      </c>
      <c r="E1769" s="1458">
        <v>1</v>
      </c>
      <c r="F1769" s="1459">
        <v>1</v>
      </c>
      <c r="G1769" s="1470" t="s">
        <v>5551</v>
      </c>
      <c r="H1769" s="1456">
        <v>0</v>
      </c>
      <c r="I1769" s="1456">
        <v>1</v>
      </c>
      <c r="J1769" s="1471">
        <v>1</v>
      </c>
      <c r="K1769" s="1460"/>
      <c r="L1769" s="1454">
        <v>13179010206</v>
      </c>
      <c r="M1769" s="1455">
        <v>0</v>
      </c>
      <c r="N1769" s="1455">
        <v>1</v>
      </c>
      <c r="O1769" s="1456">
        <v>1</v>
      </c>
      <c r="AA1769"/>
      <c r="AB1769"/>
    </row>
    <row r="1770" spans="3:28">
      <c r="C1770" s="1461" t="s">
        <v>5552</v>
      </c>
      <c r="D1770" s="1458">
        <v>0</v>
      </c>
      <c r="E1770" s="1458">
        <v>0</v>
      </c>
      <c r="F1770" s="1459">
        <v>0</v>
      </c>
      <c r="G1770" s="1470" t="s">
        <v>5552</v>
      </c>
      <c r="H1770" s="1456">
        <v>0</v>
      </c>
      <c r="I1770" s="1456">
        <v>0</v>
      </c>
      <c r="J1770" s="1471">
        <v>0</v>
      </c>
      <c r="K1770" s="1460"/>
      <c r="L1770" s="1454">
        <v>13179010207</v>
      </c>
      <c r="M1770" s="1455">
        <v>0</v>
      </c>
      <c r="N1770" s="1455">
        <v>0</v>
      </c>
      <c r="O1770" s="1456">
        <v>0</v>
      </c>
      <c r="AA1770"/>
      <c r="AB1770"/>
    </row>
    <row r="1771" spans="3:28">
      <c r="C1771" s="1461" t="s">
        <v>5553</v>
      </c>
      <c r="D1771" s="1458">
        <v>0</v>
      </c>
      <c r="E1771" s="1458">
        <v>1</v>
      </c>
      <c r="F1771" s="1459">
        <v>1</v>
      </c>
      <c r="G1771" s="1470" t="s">
        <v>5553</v>
      </c>
      <c r="H1771" s="1456">
        <v>0</v>
      </c>
      <c r="I1771" s="1456" t="s">
        <v>3906</v>
      </c>
      <c r="J1771" s="1471">
        <v>0</v>
      </c>
      <c r="K1771" s="1460"/>
      <c r="L1771" s="1454">
        <v>13179010208</v>
      </c>
      <c r="M1771" s="1455">
        <v>0</v>
      </c>
      <c r="N1771" s="1455">
        <v>1</v>
      </c>
      <c r="O1771" s="1456">
        <v>1</v>
      </c>
      <c r="AA1771"/>
      <c r="AB1771"/>
    </row>
    <row r="1772" spans="3:28">
      <c r="C1772" s="1461" t="s">
        <v>5554</v>
      </c>
      <c r="D1772" s="1458">
        <v>0</v>
      </c>
      <c r="E1772" s="1458">
        <v>1</v>
      </c>
      <c r="F1772" s="1459">
        <v>1</v>
      </c>
      <c r="G1772" s="1470" t="s">
        <v>5554</v>
      </c>
      <c r="H1772" s="1456">
        <v>0</v>
      </c>
      <c r="I1772" s="1456">
        <v>1</v>
      </c>
      <c r="J1772" s="1471">
        <v>1</v>
      </c>
      <c r="K1772" s="1460"/>
      <c r="L1772" s="1454">
        <v>13179010300</v>
      </c>
      <c r="M1772" s="1455">
        <v>0</v>
      </c>
      <c r="N1772" s="1455">
        <v>1</v>
      </c>
      <c r="O1772" s="1456">
        <v>1</v>
      </c>
      <c r="AA1772"/>
      <c r="AB1772"/>
    </row>
    <row r="1773" spans="3:28">
      <c r="C1773" s="1461" t="s">
        <v>5555</v>
      </c>
      <c r="D1773" s="1458">
        <v>0</v>
      </c>
      <c r="E1773" s="1458">
        <v>0</v>
      </c>
      <c r="F1773" s="1459">
        <v>0</v>
      </c>
      <c r="G1773" s="1470" t="s">
        <v>5555</v>
      </c>
      <c r="H1773" s="1456">
        <v>0</v>
      </c>
      <c r="I1773" s="1456">
        <v>0</v>
      </c>
      <c r="J1773" s="1471">
        <v>0</v>
      </c>
      <c r="K1773" s="1460"/>
      <c r="L1773" s="1454">
        <v>13179010400</v>
      </c>
      <c r="M1773" s="1455">
        <v>0</v>
      </c>
      <c r="N1773" s="1455">
        <v>0</v>
      </c>
      <c r="O1773" s="1456">
        <v>0</v>
      </c>
      <c r="AA1773"/>
      <c r="AB1773"/>
    </row>
    <row r="1774" spans="3:28">
      <c r="C1774" s="1461" t="s">
        <v>5556</v>
      </c>
      <c r="D1774" s="1458">
        <v>1</v>
      </c>
      <c r="E1774" s="1458">
        <v>1</v>
      </c>
      <c r="F1774" s="1459">
        <v>2</v>
      </c>
      <c r="G1774" s="1470" t="s">
        <v>5556</v>
      </c>
      <c r="H1774" s="1456">
        <v>0</v>
      </c>
      <c r="I1774" s="1456">
        <v>0</v>
      </c>
      <c r="J1774" s="1471">
        <v>0</v>
      </c>
      <c r="K1774" s="1460"/>
      <c r="L1774" s="1454">
        <v>13179010501</v>
      </c>
      <c r="M1774" s="1455">
        <v>1</v>
      </c>
      <c r="N1774" s="1455">
        <v>1</v>
      </c>
      <c r="O1774" s="1456">
        <v>2</v>
      </c>
      <c r="AA1774"/>
      <c r="AB1774"/>
    </row>
    <row r="1775" spans="3:28">
      <c r="C1775" s="1461" t="s">
        <v>5557</v>
      </c>
      <c r="D1775" s="1458">
        <v>0</v>
      </c>
      <c r="E1775" s="1458">
        <v>0</v>
      </c>
      <c r="F1775" s="1459">
        <v>0</v>
      </c>
      <c r="G1775" s="1470" t="s">
        <v>5557</v>
      </c>
      <c r="H1775" s="1456">
        <v>0</v>
      </c>
      <c r="I1775" s="1456">
        <v>0</v>
      </c>
      <c r="J1775" s="1471">
        <v>0</v>
      </c>
      <c r="K1775" s="1460"/>
      <c r="L1775" s="1454">
        <v>13179010502</v>
      </c>
      <c r="M1775" s="1455">
        <v>0</v>
      </c>
      <c r="N1775" s="1455">
        <v>0</v>
      </c>
      <c r="O1775" s="1456">
        <v>0</v>
      </c>
      <c r="AA1775"/>
      <c r="AB1775"/>
    </row>
    <row r="1776" spans="3:28">
      <c r="C1776" s="1461" t="s">
        <v>5558</v>
      </c>
      <c r="D1776" s="1458">
        <v>0</v>
      </c>
      <c r="E1776" s="1458">
        <v>0</v>
      </c>
      <c r="F1776" s="1459">
        <v>0</v>
      </c>
      <c r="G1776" s="1470" t="s">
        <v>5558</v>
      </c>
      <c r="H1776" s="1456">
        <v>0</v>
      </c>
      <c r="I1776" s="1456">
        <v>0</v>
      </c>
      <c r="J1776" s="1471">
        <v>0</v>
      </c>
      <c r="K1776" s="1460"/>
      <c r="L1776" s="1454">
        <v>13179010600</v>
      </c>
      <c r="M1776" s="1455">
        <v>0</v>
      </c>
      <c r="N1776" s="1455">
        <v>0</v>
      </c>
      <c r="O1776" s="1456">
        <v>0</v>
      </c>
      <c r="AA1776"/>
      <c r="AB1776"/>
    </row>
    <row r="1777" spans="3:28">
      <c r="C1777" s="1461" t="s">
        <v>5559</v>
      </c>
      <c r="D1777" s="1458" t="s">
        <v>3906</v>
      </c>
      <c r="E1777" s="1458" t="s">
        <v>3906</v>
      </c>
      <c r="F1777" s="1459">
        <v>0</v>
      </c>
      <c r="G1777" s="1470" t="s">
        <v>5559</v>
      </c>
      <c r="H1777" s="1456" t="s">
        <v>3906</v>
      </c>
      <c r="I1777" s="1456" t="s">
        <v>3906</v>
      </c>
      <c r="J1777" s="1471">
        <v>0</v>
      </c>
      <c r="K1777" s="1460"/>
      <c r="L1777" s="1454">
        <v>13179990000</v>
      </c>
      <c r="M1777" s="1455">
        <v>0</v>
      </c>
      <c r="N1777" s="1455">
        <v>0</v>
      </c>
      <c r="O1777" s="1456">
        <v>0</v>
      </c>
      <c r="AA1777"/>
      <c r="AB1777"/>
    </row>
    <row r="1778" spans="3:28">
      <c r="C1778" s="1461" t="s">
        <v>5560</v>
      </c>
      <c r="D1778" s="1458">
        <v>0</v>
      </c>
      <c r="E1778" s="1458">
        <v>0</v>
      </c>
      <c r="F1778" s="1459">
        <v>0</v>
      </c>
      <c r="G1778" s="1470" t="s">
        <v>5560</v>
      </c>
      <c r="H1778" s="1456">
        <v>0</v>
      </c>
      <c r="I1778" s="1456">
        <v>1</v>
      </c>
      <c r="J1778" s="1471">
        <v>1</v>
      </c>
      <c r="K1778" s="1460"/>
      <c r="L1778" s="1454">
        <v>13181970100</v>
      </c>
      <c r="M1778" s="1455">
        <v>0</v>
      </c>
      <c r="N1778" s="1455">
        <v>1</v>
      </c>
      <c r="O1778" s="1456">
        <v>1</v>
      </c>
      <c r="AA1778"/>
      <c r="AB1778"/>
    </row>
    <row r="1779" spans="3:28">
      <c r="C1779" s="1461" t="s">
        <v>5561</v>
      </c>
      <c r="D1779" s="1458">
        <v>0</v>
      </c>
      <c r="E1779" s="1458">
        <v>0</v>
      </c>
      <c r="F1779" s="1459">
        <v>0</v>
      </c>
      <c r="G1779" s="1470" t="s">
        <v>5561</v>
      </c>
      <c r="H1779" s="1456">
        <v>0</v>
      </c>
      <c r="I1779" s="1456">
        <v>0</v>
      </c>
      <c r="J1779" s="1471">
        <v>0</v>
      </c>
      <c r="K1779" s="1460"/>
      <c r="L1779" s="1454">
        <v>13181970200</v>
      </c>
      <c r="M1779" s="1455">
        <v>0</v>
      </c>
      <c r="N1779" s="1455">
        <v>0</v>
      </c>
      <c r="O1779" s="1456">
        <v>0</v>
      </c>
      <c r="AA1779"/>
      <c r="AB1779"/>
    </row>
    <row r="1780" spans="3:28">
      <c r="C1780" s="1461" t="s">
        <v>5562</v>
      </c>
      <c r="D1780" s="1458">
        <v>0</v>
      </c>
      <c r="E1780" s="1458">
        <v>0</v>
      </c>
      <c r="F1780" s="1459">
        <v>0</v>
      </c>
      <c r="G1780" s="1470" t="s">
        <v>5562</v>
      </c>
      <c r="H1780" s="1456">
        <v>0</v>
      </c>
      <c r="I1780" s="1456">
        <v>0</v>
      </c>
      <c r="J1780" s="1471">
        <v>0</v>
      </c>
      <c r="K1780" s="1460"/>
      <c r="L1780" s="1454">
        <v>13183970100</v>
      </c>
      <c r="M1780" s="1455">
        <v>0</v>
      </c>
      <c r="N1780" s="1455">
        <v>0</v>
      </c>
      <c r="O1780" s="1456">
        <v>0</v>
      </c>
      <c r="AA1780"/>
      <c r="AB1780"/>
    </row>
    <row r="1781" spans="3:28">
      <c r="C1781" s="1461" t="s">
        <v>5563</v>
      </c>
      <c r="D1781" s="1458">
        <v>0</v>
      </c>
      <c r="E1781" s="1458">
        <v>0</v>
      </c>
      <c r="F1781" s="1459">
        <v>0</v>
      </c>
      <c r="G1781" s="1470" t="s">
        <v>5563</v>
      </c>
      <c r="H1781" s="1456">
        <v>0</v>
      </c>
      <c r="I1781" s="1456">
        <v>1</v>
      </c>
      <c r="J1781" s="1471">
        <v>1</v>
      </c>
      <c r="K1781" s="1460"/>
      <c r="L1781" s="1454">
        <v>13183970200</v>
      </c>
      <c r="M1781" s="1455">
        <v>0</v>
      </c>
      <c r="N1781" s="1455">
        <v>1</v>
      </c>
      <c r="O1781" s="1456">
        <v>1</v>
      </c>
      <c r="AA1781"/>
      <c r="AB1781"/>
    </row>
    <row r="1782" spans="3:28">
      <c r="C1782" s="1461" t="s">
        <v>5564</v>
      </c>
      <c r="D1782" s="1458" t="s">
        <v>3906</v>
      </c>
      <c r="E1782" s="1458" t="s">
        <v>3906</v>
      </c>
      <c r="F1782" s="1459">
        <v>0</v>
      </c>
      <c r="G1782" s="1470" t="s">
        <v>5564</v>
      </c>
      <c r="H1782" s="1456" t="s">
        <v>3906</v>
      </c>
      <c r="I1782" s="1456" t="s">
        <v>3906</v>
      </c>
      <c r="J1782" s="1471">
        <v>0</v>
      </c>
      <c r="K1782" s="1460"/>
      <c r="L1782" s="1454">
        <v>13183980000</v>
      </c>
      <c r="M1782" s="1455">
        <v>0</v>
      </c>
      <c r="N1782" s="1455">
        <v>0</v>
      </c>
      <c r="O1782" s="1456">
        <v>0</v>
      </c>
      <c r="AA1782"/>
      <c r="AB1782"/>
    </row>
    <row r="1783" spans="3:28">
      <c r="C1783" s="1461" t="s">
        <v>5565</v>
      </c>
      <c r="D1783" s="1458">
        <v>0</v>
      </c>
      <c r="E1783" s="1458">
        <v>1</v>
      </c>
      <c r="F1783" s="1459">
        <v>1</v>
      </c>
      <c r="G1783" s="1470" t="s">
        <v>5565</v>
      </c>
      <c r="H1783" s="1456">
        <v>0</v>
      </c>
      <c r="I1783" s="1456">
        <v>0</v>
      </c>
      <c r="J1783" s="1471">
        <v>0</v>
      </c>
      <c r="K1783" s="1460"/>
      <c r="L1783" s="1454">
        <v>13185010101</v>
      </c>
      <c r="M1783" s="1455">
        <v>0</v>
      </c>
      <c r="N1783" s="1455">
        <v>1</v>
      </c>
      <c r="O1783" s="1456">
        <v>1</v>
      </c>
      <c r="AA1783"/>
      <c r="AB1783"/>
    </row>
    <row r="1784" spans="3:28">
      <c r="C1784" s="1461" t="s">
        <v>5566</v>
      </c>
      <c r="D1784" s="1458">
        <v>0</v>
      </c>
      <c r="E1784" s="1458">
        <v>1</v>
      </c>
      <c r="F1784" s="1459">
        <v>1</v>
      </c>
      <c r="G1784" s="1470" t="s">
        <v>5566</v>
      </c>
      <c r="H1784" s="1456">
        <v>0</v>
      </c>
      <c r="I1784" s="1456">
        <v>1</v>
      </c>
      <c r="J1784" s="1471">
        <v>1</v>
      </c>
      <c r="K1784" s="1460"/>
      <c r="L1784" s="1454">
        <v>13185010102</v>
      </c>
      <c r="M1784" s="1455">
        <v>0</v>
      </c>
      <c r="N1784" s="1455">
        <v>1</v>
      </c>
      <c r="O1784" s="1456">
        <v>1</v>
      </c>
      <c r="AA1784"/>
      <c r="AB1784"/>
    </row>
    <row r="1785" spans="3:28">
      <c r="C1785" s="1461" t="s">
        <v>5567</v>
      </c>
      <c r="D1785" s="1458">
        <v>1</v>
      </c>
      <c r="E1785" s="1458">
        <v>1</v>
      </c>
      <c r="F1785" s="1459">
        <v>2</v>
      </c>
      <c r="G1785" s="1470" t="s">
        <v>5567</v>
      </c>
      <c r="H1785" s="1456">
        <v>1</v>
      </c>
      <c r="I1785" s="1456">
        <v>1</v>
      </c>
      <c r="J1785" s="1471">
        <v>2</v>
      </c>
      <c r="K1785" s="1460"/>
      <c r="L1785" s="1454">
        <v>13185010103</v>
      </c>
      <c r="M1785" s="1455">
        <v>1</v>
      </c>
      <c r="N1785" s="1455">
        <v>1</v>
      </c>
      <c r="O1785" s="1456">
        <v>2</v>
      </c>
      <c r="AA1785"/>
      <c r="AB1785"/>
    </row>
    <row r="1786" spans="3:28">
      <c r="C1786" s="1461" t="s">
        <v>5568</v>
      </c>
      <c r="D1786" s="1458">
        <v>0</v>
      </c>
      <c r="E1786" s="1458">
        <v>1</v>
      </c>
      <c r="F1786" s="1459">
        <v>1</v>
      </c>
      <c r="G1786" s="1470" t="s">
        <v>5568</v>
      </c>
      <c r="H1786" s="1456">
        <v>0</v>
      </c>
      <c r="I1786" s="1456">
        <v>1</v>
      </c>
      <c r="J1786" s="1471">
        <v>1</v>
      </c>
      <c r="K1786" s="1460"/>
      <c r="L1786" s="1454">
        <v>13185010201</v>
      </c>
      <c r="M1786" s="1455">
        <v>0</v>
      </c>
      <c r="N1786" s="1455">
        <v>1</v>
      </c>
      <c r="O1786" s="1456">
        <v>1</v>
      </c>
      <c r="AA1786"/>
      <c r="AB1786"/>
    </row>
    <row r="1787" spans="3:28">
      <c r="C1787" s="1461" t="s">
        <v>5569</v>
      </c>
      <c r="D1787" s="1458">
        <v>1</v>
      </c>
      <c r="E1787" s="1458">
        <v>1</v>
      </c>
      <c r="F1787" s="1459">
        <v>2</v>
      </c>
      <c r="G1787" s="1470" t="s">
        <v>5569</v>
      </c>
      <c r="H1787" s="1456">
        <v>1</v>
      </c>
      <c r="I1787" s="1456">
        <v>1</v>
      </c>
      <c r="J1787" s="1471">
        <v>2</v>
      </c>
      <c r="K1787" s="1460"/>
      <c r="L1787" s="1454">
        <v>13185010202</v>
      </c>
      <c r="M1787" s="1455">
        <v>1</v>
      </c>
      <c r="N1787" s="1455">
        <v>1</v>
      </c>
      <c r="O1787" s="1456">
        <v>2</v>
      </c>
      <c r="AA1787"/>
      <c r="AB1787"/>
    </row>
    <row r="1788" spans="3:28">
      <c r="C1788" s="1461" t="s">
        <v>5570</v>
      </c>
      <c r="D1788" s="1458">
        <v>1</v>
      </c>
      <c r="E1788" s="1458">
        <v>1</v>
      </c>
      <c r="F1788" s="1459">
        <v>2</v>
      </c>
      <c r="G1788" s="1470" t="s">
        <v>5570</v>
      </c>
      <c r="H1788" s="1456">
        <v>1</v>
      </c>
      <c r="I1788" s="1456">
        <v>1</v>
      </c>
      <c r="J1788" s="1471">
        <v>2</v>
      </c>
      <c r="K1788" s="1460"/>
      <c r="L1788" s="1454">
        <v>13185010301</v>
      </c>
      <c r="M1788" s="1455">
        <v>1</v>
      </c>
      <c r="N1788" s="1455">
        <v>1</v>
      </c>
      <c r="O1788" s="1456">
        <v>2</v>
      </c>
      <c r="AA1788"/>
      <c r="AB1788"/>
    </row>
    <row r="1789" spans="3:28">
      <c r="C1789" s="1461" t="s">
        <v>5571</v>
      </c>
      <c r="D1789" s="1458">
        <v>1</v>
      </c>
      <c r="E1789" s="1458">
        <v>1</v>
      </c>
      <c r="F1789" s="1459">
        <v>2</v>
      </c>
      <c r="G1789" s="1470" t="s">
        <v>5571</v>
      </c>
      <c r="H1789" s="1456">
        <v>1</v>
      </c>
      <c r="I1789" s="1456">
        <v>1</v>
      </c>
      <c r="J1789" s="1471">
        <v>2</v>
      </c>
      <c r="K1789" s="1460"/>
      <c r="L1789" s="1454">
        <v>13185010302</v>
      </c>
      <c r="M1789" s="1455">
        <v>1</v>
      </c>
      <c r="N1789" s="1455">
        <v>1</v>
      </c>
      <c r="O1789" s="1456">
        <v>2</v>
      </c>
      <c r="AA1789"/>
      <c r="AB1789"/>
    </row>
    <row r="1790" spans="3:28">
      <c r="C1790" s="1461" t="s">
        <v>5572</v>
      </c>
      <c r="D1790" s="1458">
        <v>1</v>
      </c>
      <c r="E1790" s="1458">
        <v>1</v>
      </c>
      <c r="F1790" s="1459">
        <v>2</v>
      </c>
      <c r="G1790" s="1470" t="s">
        <v>5572</v>
      </c>
      <c r="H1790" s="1456">
        <v>1</v>
      </c>
      <c r="I1790" s="1456">
        <v>1</v>
      </c>
      <c r="J1790" s="1471">
        <v>2</v>
      </c>
      <c r="K1790" s="1460"/>
      <c r="L1790" s="1454">
        <v>13185010401</v>
      </c>
      <c r="M1790" s="1455">
        <v>1</v>
      </c>
      <c r="N1790" s="1455">
        <v>1</v>
      </c>
      <c r="O1790" s="1456">
        <v>2</v>
      </c>
      <c r="AA1790"/>
      <c r="AB1790"/>
    </row>
    <row r="1791" spans="3:28">
      <c r="C1791" s="1461" t="s">
        <v>5573</v>
      </c>
      <c r="D1791" s="1458">
        <v>0</v>
      </c>
      <c r="E1791" s="1458">
        <v>0</v>
      </c>
      <c r="F1791" s="1459">
        <v>0</v>
      </c>
      <c r="G1791" s="1470" t="s">
        <v>5573</v>
      </c>
      <c r="H1791" s="1456">
        <v>0</v>
      </c>
      <c r="I1791" s="1456">
        <v>0</v>
      </c>
      <c r="J1791" s="1471">
        <v>0</v>
      </c>
      <c r="K1791" s="1460"/>
      <c r="L1791" s="1454">
        <v>13185010402</v>
      </c>
      <c r="M1791" s="1455">
        <v>0</v>
      </c>
      <c r="N1791" s="1455">
        <v>0</v>
      </c>
      <c r="O1791" s="1456">
        <v>0</v>
      </c>
      <c r="AA1791"/>
      <c r="AB1791"/>
    </row>
    <row r="1792" spans="3:28">
      <c r="C1792" s="1461" t="s">
        <v>5574</v>
      </c>
      <c r="D1792" s="1458">
        <v>0</v>
      </c>
      <c r="E1792" s="1458">
        <v>0</v>
      </c>
      <c r="F1792" s="1459">
        <v>0</v>
      </c>
      <c r="G1792" s="1470" t="s">
        <v>5574</v>
      </c>
      <c r="H1792" s="1456">
        <v>0</v>
      </c>
      <c r="I1792" s="1456">
        <v>0</v>
      </c>
      <c r="J1792" s="1471">
        <v>0</v>
      </c>
      <c r="K1792" s="1460"/>
      <c r="L1792" s="1454">
        <v>13185010500</v>
      </c>
      <c r="M1792" s="1455">
        <v>0</v>
      </c>
      <c r="N1792" s="1455">
        <v>0</v>
      </c>
      <c r="O1792" s="1456">
        <v>0</v>
      </c>
      <c r="AA1792"/>
      <c r="AB1792"/>
    </row>
    <row r="1793" spans="3:28">
      <c r="C1793" s="1461" t="s">
        <v>5575</v>
      </c>
      <c r="D1793" s="1458">
        <v>0</v>
      </c>
      <c r="E1793" s="1458">
        <v>0</v>
      </c>
      <c r="F1793" s="1459">
        <v>0</v>
      </c>
      <c r="G1793" s="1470" t="s">
        <v>5575</v>
      </c>
      <c r="H1793" s="1456">
        <v>0</v>
      </c>
      <c r="I1793" s="1456">
        <v>1</v>
      </c>
      <c r="J1793" s="1471">
        <v>1</v>
      </c>
      <c r="K1793" s="1460"/>
      <c r="L1793" s="1454">
        <v>13185010601</v>
      </c>
      <c r="M1793" s="1455">
        <v>0</v>
      </c>
      <c r="N1793" s="1455">
        <v>1</v>
      </c>
      <c r="O1793" s="1456">
        <v>1</v>
      </c>
      <c r="AA1793"/>
      <c r="AB1793"/>
    </row>
    <row r="1794" spans="3:28">
      <c r="C1794" s="1461" t="s">
        <v>5576</v>
      </c>
      <c r="D1794" s="1458">
        <v>1</v>
      </c>
      <c r="E1794" s="1458">
        <v>1</v>
      </c>
      <c r="F1794" s="1459">
        <v>2</v>
      </c>
      <c r="G1794" s="1470" t="s">
        <v>5576</v>
      </c>
      <c r="H1794" s="1456">
        <v>1</v>
      </c>
      <c r="I1794" s="1456">
        <v>1</v>
      </c>
      <c r="J1794" s="1471">
        <v>2</v>
      </c>
      <c r="K1794" s="1460"/>
      <c r="L1794" s="1454">
        <v>13185010604</v>
      </c>
      <c r="M1794" s="1455">
        <v>1</v>
      </c>
      <c r="N1794" s="1455">
        <v>1</v>
      </c>
      <c r="O1794" s="1456">
        <v>2</v>
      </c>
      <c r="AA1794"/>
      <c r="AB1794"/>
    </row>
    <row r="1795" spans="3:28">
      <c r="C1795" s="1461" t="s">
        <v>5577</v>
      </c>
      <c r="D1795" s="1458">
        <v>0</v>
      </c>
      <c r="E1795" s="1458">
        <v>0</v>
      </c>
      <c r="F1795" s="1459">
        <v>0</v>
      </c>
      <c r="G1795" s="1470" t="s">
        <v>5577</v>
      </c>
      <c r="H1795" s="1456">
        <v>0</v>
      </c>
      <c r="I1795" s="1456">
        <v>0</v>
      </c>
      <c r="J1795" s="1471">
        <v>0</v>
      </c>
      <c r="K1795" s="1460"/>
      <c r="L1795" s="1454">
        <v>13185010700</v>
      </c>
      <c r="M1795" s="1455">
        <v>0</v>
      </c>
      <c r="N1795" s="1455">
        <v>0</v>
      </c>
      <c r="O1795" s="1456">
        <v>0</v>
      </c>
      <c r="AA1795"/>
      <c r="AB1795"/>
    </row>
    <row r="1796" spans="3:28">
      <c r="C1796" s="1461" t="s">
        <v>5578</v>
      </c>
      <c r="D1796" s="1458">
        <v>0</v>
      </c>
      <c r="E1796" s="1458">
        <v>0</v>
      </c>
      <c r="F1796" s="1459">
        <v>0</v>
      </c>
      <c r="G1796" s="1470" t="s">
        <v>5578</v>
      </c>
      <c r="H1796" s="1456">
        <v>0</v>
      </c>
      <c r="I1796" s="1456">
        <v>0</v>
      </c>
      <c r="J1796" s="1471">
        <v>0</v>
      </c>
      <c r="K1796" s="1460"/>
      <c r="L1796" s="1454">
        <v>13185010800</v>
      </c>
      <c r="M1796" s="1455">
        <v>0</v>
      </c>
      <c r="N1796" s="1455">
        <v>0</v>
      </c>
      <c r="O1796" s="1456">
        <v>0</v>
      </c>
      <c r="AA1796"/>
      <c r="AB1796"/>
    </row>
    <row r="1797" spans="3:28">
      <c r="C1797" s="1461" t="s">
        <v>5579</v>
      </c>
      <c r="D1797" s="1458">
        <v>0</v>
      </c>
      <c r="E1797" s="1458">
        <v>0</v>
      </c>
      <c r="F1797" s="1459">
        <v>0</v>
      </c>
      <c r="G1797" s="1470" t="s">
        <v>5579</v>
      </c>
      <c r="H1797" s="1456">
        <v>0</v>
      </c>
      <c r="I1797" s="1456">
        <v>0</v>
      </c>
      <c r="J1797" s="1471">
        <v>0</v>
      </c>
      <c r="K1797" s="1460"/>
      <c r="L1797" s="1454">
        <v>13185010900</v>
      </c>
      <c r="M1797" s="1455">
        <v>0</v>
      </c>
      <c r="N1797" s="1455">
        <v>0</v>
      </c>
      <c r="O1797" s="1456">
        <v>0</v>
      </c>
      <c r="AA1797"/>
      <c r="AB1797"/>
    </row>
    <row r="1798" spans="3:28">
      <c r="C1798" s="1461" t="s">
        <v>5580</v>
      </c>
      <c r="D1798" s="1458">
        <v>0</v>
      </c>
      <c r="E1798" s="1458">
        <v>0</v>
      </c>
      <c r="F1798" s="1459">
        <v>0</v>
      </c>
      <c r="G1798" s="1470" t="s">
        <v>5580</v>
      </c>
      <c r="H1798" s="1456">
        <v>0</v>
      </c>
      <c r="I1798" s="1456">
        <v>0</v>
      </c>
      <c r="J1798" s="1471">
        <v>0</v>
      </c>
      <c r="K1798" s="1460"/>
      <c r="L1798" s="1454">
        <v>13185011000</v>
      </c>
      <c r="M1798" s="1455">
        <v>0</v>
      </c>
      <c r="N1798" s="1455">
        <v>0</v>
      </c>
      <c r="O1798" s="1456">
        <v>0</v>
      </c>
      <c r="AA1798"/>
      <c r="AB1798"/>
    </row>
    <row r="1799" spans="3:28">
      <c r="C1799" s="1461" t="s">
        <v>5581</v>
      </c>
      <c r="D1799" s="1458">
        <v>0</v>
      </c>
      <c r="E1799" s="1458">
        <v>0</v>
      </c>
      <c r="F1799" s="1459">
        <v>0</v>
      </c>
      <c r="G1799" s="1470" t="s">
        <v>5581</v>
      </c>
      <c r="H1799" s="1456">
        <v>0</v>
      </c>
      <c r="I1799" s="1456">
        <v>1</v>
      </c>
      <c r="J1799" s="1471">
        <v>1</v>
      </c>
      <c r="K1799" s="1460"/>
      <c r="L1799" s="1454">
        <v>13185011100</v>
      </c>
      <c r="M1799" s="1455">
        <v>0</v>
      </c>
      <c r="N1799" s="1455">
        <v>1</v>
      </c>
      <c r="O1799" s="1456">
        <v>1</v>
      </c>
      <c r="AA1799"/>
      <c r="AB1799"/>
    </row>
    <row r="1800" spans="3:28">
      <c r="C1800" s="1461" t="s">
        <v>5582</v>
      </c>
      <c r="D1800" s="1458">
        <v>0</v>
      </c>
      <c r="E1800" s="1458">
        <v>0</v>
      </c>
      <c r="F1800" s="1459">
        <v>0</v>
      </c>
      <c r="G1800" s="1470" t="s">
        <v>5582</v>
      </c>
      <c r="H1800" s="1456">
        <v>0</v>
      </c>
      <c r="I1800" s="1456">
        <v>0</v>
      </c>
      <c r="J1800" s="1471">
        <v>0</v>
      </c>
      <c r="K1800" s="1460"/>
      <c r="L1800" s="1454">
        <v>13185011200</v>
      </c>
      <c r="M1800" s="1455">
        <v>0</v>
      </c>
      <c r="N1800" s="1455">
        <v>0</v>
      </c>
      <c r="O1800" s="1456">
        <v>0</v>
      </c>
      <c r="AA1800"/>
      <c r="AB1800"/>
    </row>
    <row r="1801" spans="3:28">
      <c r="C1801" s="1461" t="s">
        <v>5583</v>
      </c>
      <c r="D1801" s="1458">
        <v>0</v>
      </c>
      <c r="E1801" s="1458">
        <v>0</v>
      </c>
      <c r="F1801" s="1459">
        <v>0</v>
      </c>
      <c r="G1801" s="1470" t="s">
        <v>5583</v>
      </c>
      <c r="H1801" s="1456">
        <v>0</v>
      </c>
      <c r="I1801" s="1456">
        <v>0</v>
      </c>
      <c r="J1801" s="1471">
        <v>0</v>
      </c>
      <c r="K1801" s="1460"/>
      <c r="L1801" s="1454">
        <v>13185011301</v>
      </c>
      <c r="M1801" s="1455">
        <v>0</v>
      </c>
      <c r="N1801" s="1455">
        <v>0</v>
      </c>
      <c r="O1801" s="1456">
        <v>0</v>
      </c>
      <c r="AA1801"/>
      <c r="AB1801"/>
    </row>
    <row r="1802" spans="3:28">
      <c r="C1802" s="1461" t="s">
        <v>5584</v>
      </c>
      <c r="D1802" s="1458">
        <v>0</v>
      </c>
      <c r="E1802" s="1458">
        <v>0</v>
      </c>
      <c r="F1802" s="1459">
        <v>0</v>
      </c>
      <c r="G1802" s="1470" t="s">
        <v>5584</v>
      </c>
      <c r="H1802" s="1456">
        <v>0</v>
      </c>
      <c r="I1802" s="1456">
        <v>0</v>
      </c>
      <c r="J1802" s="1471">
        <v>0</v>
      </c>
      <c r="K1802" s="1460"/>
      <c r="L1802" s="1454">
        <v>13185011302</v>
      </c>
      <c r="M1802" s="1455">
        <v>0</v>
      </c>
      <c r="N1802" s="1455">
        <v>0</v>
      </c>
      <c r="O1802" s="1456">
        <v>0</v>
      </c>
      <c r="AA1802"/>
      <c r="AB1802"/>
    </row>
    <row r="1803" spans="3:28">
      <c r="C1803" s="1461" t="s">
        <v>5585</v>
      </c>
      <c r="D1803" s="1458">
        <v>0</v>
      </c>
      <c r="E1803" s="1458">
        <v>0</v>
      </c>
      <c r="F1803" s="1459">
        <v>0</v>
      </c>
      <c r="G1803" s="1470" t="s">
        <v>5585</v>
      </c>
      <c r="H1803" s="1456">
        <v>0</v>
      </c>
      <c r="I1803" s="1456">
        <v>1</v>
      </c>
      <c r="J1803" s="1471">
        <v>1</v>
      </c>
      <c r="K1803" s="1460"/>
      <c r="L1803" s="1454">
        <v>13185011401</v>
      </c>
      <c r="M1803" s="1455">
        <v>0</v>
      </c>
      <c r="N1803" s="1455">
        <v>1</v>
      </c>
      <c r="O1803" s="1456">
        <v>1</v>
      </c>
      <c r="AA1803"/>
      <c r="AB1803"/>
    </row>
    <row r="1804" spans="3:28">
      <c r="C1804" s="1461" t="s">
        <v>5586</v>
      </c>
      <c r="D1804" s="1458">
        <v>0</v>
      </c>
      <c r="E1804" s="1458">
        <v>0</v>
      </c>
      <c r="F1804" s="1459">
        <v>0</v>
      </c>
      <c r="G1804" s="1470" t="s">
        <v>5586</v>
      </c>
      <c r="H1804" s="1456">
        <v>0</v>
      </c>
      <c r="I1804" s="1456">
        <v>0</v>
      </c>
      <c r="J1804" s="1471">
        <v>0</v>
      </c>
      <c r="K1804" s="1460"/>
      <c r="L1804" s="1454">
        <v>13185011402</v>
      </c>
      <c r="M1804" s="1455">
        <v>0</v>
      </c>
      <c r="N1804" s="1455">
        <v>0</v>
      </c>
      <c r="O1804" s="1456">
        <v>0</v>
      </c>
      <c r="AA1804"/>
      <c r="AB1804"/>
    </row>
    <row r="1805" spans="3:28">
      <c r="C1805" s="1461" t="s">
        <v>5587</v>
      </c>
      <c r="D1805" s="1458">
        <v>0</v>
      </c>
      <c r="E1805" s="1458">
        <v>0</v>
      </c>
      <c r="F1805" s="1459">
        <v>0</v>
      </c>
      <c r="G1805" s="1470" t="s">
        <v>5587</v>
      </c>
      <c r="H1805" s="1456">
        <v>0</v>
      </c>
      <c r="I1805" s="1456">
        <v>0</v>
      </c>
      <c r="J1805" s="1471">
        <v>0</v>
      </c>
      <c r="K1805" s="1460"/>
      <c r="L1805" s="1454">
        <v>13185011403</v>
      </c>
      <c r="M1805" s="1455">
        <v>0</v>
      </c>
      <c r="N1805" s="1455">
        <v>0</v>
      </c>
      <c r="O1805" s="1456">
        <v>0</v>
      </c>
      <c r="AA1805"/>
      <c r="AB1805"/>
    </row>
    <row r="1806" spans="3:28">
      <c r="C1806" s="1461" t="s">
        <v>5588</v>
      </c>
      <c r="D1806" s="1458">
        <v>0</v>
      </c>
      <c r="E1806" s="1458">
        <v>0</v>
      </c>
      <c r="F1806" s="1459">
        <v>0</v>
      </c>
      <c r="G1806" s="1470" t="s">
        <v>5588</v>
      </c>
      <c r="H1806" s="1456">
        <v>0</v>
      </c>
      <c r="I1806" s="1456">
        <v>0</v>
      </c>
      <c r="J1806" s="1471">
        <v>0</v>
      </c>
      <c r="K1806" s="1460"/>
      <c r="L1806" s="1454">
        <v>13185011500</v>
      </c>
      <c r="M1806" s="1455">
        <v>0</v>
      </c>
      <c r="N1806" s="1455">
        <v>0</v>
      </c>
      <c r="O1806" s="1456">
        <v>0</v>
      </c>
      <c r="AA1806"/>
      <c r="AB1806"/>
    </row>
    <row r="1807" spans="3:28">
      <c r="C1807" s="1461" t="s">
        <v>5589</v>
      </c>
      <c r="D1807" s="1458">
        <v>0</v>
      </c>
      <c r="E1807" s="1458">
        <v>1</v>
      </c>
      <c r="F1807" s="1459">
        <v>1</v>
      </c>
      <c r="G1807" s="1470" t="s">
        <v>5589</v>
      </c>
      <c r="H1807" s="1456">
        <v>0</v>
      </c>
      <c r="I1807" s="1456">
        <v>0</v>
      </c>
      <c r="J1807" s="1471">
        <v>0</v>
      </c>
      <c r="K1807" s="1460"/>
      <c r="L1807" s="1454">
        <v>13185011600</v>
      </c>
      <c r="M1807" s="1455">
        <v>0</v>
      </c>
      <c r="N1807" s="1455">
        <v>1</v>
      </c>
      <c r="O1807" s="1456">
        <v>1</v>
      </c>
      <c r="AA1807"/>
      <c r="AB1807"/>
    </row>
    <row r="1808" spans="3:28">
      <c r="C1808" s="1461" t="s">
        <v>5590</v>
      </c>
      <c r="D1808" s="1458">
        <v>0</v>
      </c>
      <c r="E1808" s="1458">
        <v>0</v>
      </c>
      <c r="F1808" s="1459">
        <v>0</v>
      </c>
      <c r="G1808" s="1470" t="s">
        <v>5590</v>
      </c>
      <c r="H1808" s="1456">
        <v>1</v>
      </c>
      <c r="I1808" s="1456">
        <v>0</v>
      </c>
      <c r="J1808" s="1471">
        <v>1</v>
      </c>
      <c r="K1808" s="1460"/>
      <c r="L1808" s="1454">
        <v>13187960101</v>
      </c>
      <c r="M1808" s="1455">
        <v>1</v>
      </c>
      <c r="N1808" s="1455">
        <v>0</v>
      </c>
      <c r="O1808" s="1456">
        <v>1</v>
      </c>
      <c r="AA1808"/>
      <c r="AB1808"/>
    </row>
    <row r="1809" spans="3:28">
      <c r="C1809" s="1461" t="s">
        <v>5591</v>
      </c>
      <c r="D1809" s="1458">
        <v>1</v>
      </c>
      <c r="E1809" s="1458">
        <v>1</v>
      </c>
      <c r="F1809" s="1459">
        <v>2</v>
      </c>
      <c r="G1809" s="1470" t="s">
        <v>5591</v>
      </c>
      <c r="H1809" s="1456">
        <v>1</v>
      </c>
      <c r="I1809" s="1456">
        <v>1</v>
      </c>
      <c r="J1809" s="1471">
        <v>2</v>
      </c>
      <c r="K1809" s="1460"/>
      <c r="L1809" s="1454">
        <v>13187960102</v>
      </c>
      <c r="M1809" s="1455">
        <v>1</v>
      </c>
      <c r="N1809" s="1455">
        <v>1</v>
      </c>
      <c r="O1809" s="1456">
        <v>2</v>
      </c>
      <c r="AA1809"/>
      <c r="AB1809"/>
    </row>
    <row r="1810" spans="3:28">
      <c r="C1810" s="1461" t="s">
        <v>5592</v>
      </c>
      <c r="D1810" s="1458">
        <v>0</v>
      </c>
      <c r="E1810" s="1458">
        <v>1</v>
      </c>
      <c r="F1810" s="1459">
        <v>1</v>
      </c>
      <c r="G1810" s="1470" t="s">
        <v>5592</v>
      </c>
      <c r="H1810" s="1456">
        <v>0</v>
      </c>
      <c r="I1810" s="1456">
        <v>1</v>
      </c>
      <c r="J1810" s="1471">
        <v>1</v>
      </c>
      <c r="K1810" s="1460"/>
      <c r="L1810" s="1454">
        <v>13187960201</v>
      </c>
      <c r="M1810" s="1455">
        <v>0</v>
      </c>
      <c r="N1810" s="1455">
        <v>1</v>
      </c>
      <c r="O1810" s="1456">
        <v>1</v>
      </c>
      <c r="AA1810"/>
      <c r="AB1810"/>
    </row>
    <row r="1811" spans="3:28">
      <c r="C1811" s="1461" t="s">
        <v>5593</v>
      </c>
      <c r="D1811" s="1458">
        <v>0</v>
      </c>
      <c r="E1811" s="1458">
        <v>0</v>
      </c>
      <c r="F1811" s="1459">
        <v>0</v>
      </c>
      <c r="G1811" s="1470" t="s">
        <v>5593</v>
      </c>
      <c r="H1811" s="1456">
        <v>0</v>
      </c>
      <c r="I1811" s="1456">
        <v>0</v>
      </c>
      <c r="J1811" s="1471">
        <v>0</v>
      </c>
      <c r="K1811" s="1460"/>
      <c r="L1811" s="1454">
        <v>13187960202</v>
      </c>
      <c r="M1811" s="1455">
        <v>0</v>
      </c>
      <c r="N1811" s="1455">
        <v>0</v>
      </c>
      <c r="O1811" s="1456">
        <v>0</v>
      </c>
      <c r="AA1811"/>
      <c r="AB1811"/>
    </row>
    <row r="1812" spans="3:28">
      <c r="C1812" s="1461" t="s">
        <v>5594</v>
      </c>
      <c r="D1812" s="1458">
        <v>1</v>
      </c>
      <c r="E1812" s="1458">
        <v>1</v>
      </c>
      <c r="F1812" s="1459">
        <v>2</v>
      </c>
      <c r="G1812" s="1470" t="s">
        <v>5594</v>
      </c>
      <c r="H1812" s="1456">
        <v>1</v>
      </c>
      <c r="I1812" s="1456">
        <v>0</v>
      </c>
      <c r="J1812" s="1471">
        <v>1</v>
      </c>
      <c r="K1812" s="1460"/>
      <c r="L1812" s="1454">
        <v>13189950100</v>
      </c>
      <c r="M1812" s="1455">
        <v>1</v>
      </c>
      <c r="N1812" s="1455">
        <v>1</v>
      </c>
      <c r="O1812" s="1456">
        <v>2</v>
      </c>
      <c r="AA1812"/>
      <c r="AB1812"/>
    </row>
    <row r="1813" spans="3:28">
      <c r="C1813" s="1461" t="s">
        <v>5595</v>
      </c>
      <c r="D1813" s="1458">
        <v>0</v>
      </c>
      <c r="E1813" s="1458">
        <v>0</v>
      </c>
      <c r="F1813" s="1459">
        <v>0</v>
      </c>
      <c r="G1813" s="1470" t="s">
        <v>5595</v>
      </c>
      <c r="H1813" s="1456">
        <v>0</v>
      </c>
      <c r="I1813" s="1456">
        <v>0</v>
      </c>
      <c r="J1813" s="1471">
        <v>0</v>
      </c>
      <c r="K1813" s="1460"/>
      <c r="L1813" s="1454">
        <v>13189950200</v>
      </c>
      <c r="M1813" s="1455">
        <v>0</v>
      </c>
      <c r="N1813" s="1455">
        <v>0</v>
      </c>
      <c r="O1813" s="1456">
        <v>0</v>
      </c>
      <c r="AA1813"/>
      <c r="AB1813"/>
    </row>
    <row r="1814" spans="3:28">
      <c r="C1814" s="1461" t="s">
        <v>5596</v>
      </c>
      <c r="D1814" s="1458">
        <v>0</v>
      </c>
      <c r="E1814" s="1458">
        <v>0</v>
      </c>
      <c r="F1814" s="1459">
        <v>0</v>
      </c>
      <c r="G1814" s="1470" t="s">
        <v>5596</v>
      </c>
      <c r="H1814" s="1456">
        <v>0</v>
      </c>
      <c r="I1814" s="1456">
        <v>0</v>
      </c>
      <c r="J1814" s="1471">
        <v>0</v>
      </c>
      <c r="K1814" s="1460"/>
      <c r="L1814" s="1454">
        <v>13189950300</v>
      </c>
      <c r="M1814" s="1455">
        <v>0</v>
      </c>
      <c r="N1814" s="1455">
        <v>0</v>
      </c>
      <c r="O1814" s="1456">
        <v>0</v>
      </c>
      <c r="AA1814"/>
      <c r="AB1814"/>
    </row>
    <row r="1815" spans="3:28">
      <c r="C1815" s="1461" t="s">
        <v>5597</v>
      </c>
      <c r="D1815" s="1458">
        <v>0</v>
      </c>
      <c r="E1815" s="1458">
        <v>0</v>
      </c>
      <c r="F1815" s="1459">
        <v>0</v>
      </c>
      <c r="G1815" s="1470" t="s">
        <v>5597</v>
      </c>
      <c r="H1815" s="1456">
        <v>0</v>
      </c>
      <c r="I1815" s="1456">
        <v>0</v>
      </c>
      <c r="J1815" s="1471">
        <v>0</v>
      </c>
      <c r="K1815" s="1460"/>
      <c r="L1815" s="1454">
        <v>13189950400</v>
      </c>
      <c r="M1815" s="1455">
        <v>0</v>
      </c>
      <c r="N1815" s="1455">
        <v>0</v>
      </c>
      <c r="O1815" s="1456">
        <v>0</v>
      </c>
      <c r="AA1815"/>
      <c r="AB1815"/>
    </row>
    <row r="1816" spans="3:28">
      <c r="C1816" s="1461" t="s">
        <v>5598</v>
      </c>
      <c r="D1816" s="1458">
        <v>0</v>
      </c>
      <c r="E1816" s="1458">
        <v>0</v>
      </c>
      <c r="F1816" s="1459">
        <v>0</v>
      </c>
      <c r="G1816" s="1470" t="s">
        <v>5598</v>
      </c>
      <c r="H1816" s="1456">
        <v>0</v>
      </c>
      <c r="I1816" s="1456">
        <v>0</v>
      </c>
      <c r="J1816" s="1471">
        <v>0</v>
      </c>
      <c r="K1816" s="1460"/>
      <c r="L1816" s="1454">
        <v>13189950500</v>
      </c>
      <c r="M1816" s="1455">
        <v>0</v>
      </c>
      <c r="N1816" s="1455">
        <v>0</v>
      </c>
      <c r="O1816" s="1456">
        <v>0</v>
      </c>
      <c r="AA1816"/>
      <c r="AB1816"/>
    </row>
    <row r="1817" spans="3:28">
      <c r="C1817" s="1461" t="s">
        <v>5599</v>
      </c>
      <c r="D1817" s="1458">
        <v>0</v>
      </c>
      <c r="E1817" s="1458">
        <v>0</v>
      </c>
      <c r="F1817" s="1459">
        <v>0</v>
      </c>
      <c r="G1817" s="1470" t="s">
        <v>5599</v>
      </c>
      <c r="H1817" s="1456">
        <v>0</v>
      </c>
      <c r="I1817" s="1456">
        <v>1</v>
      </c>
      <c r="J1817" s="1471">
        <v>1</v>
      </c>
      <c r="K1817" s="1460"/>
      <c r="L1817" s="1454">
        <v>13191110100</v>
      </c>
      <c r="M1817" s="1455">
        <v>0</v>
      </c>
      <c r="N1817" s="1455">
        <v>1</v>
      </c>
      <c r="O1817" s="1456">
        <v>1</v>
      </c>
      <c r="AA1817"/>
      <c r="AB1817"/>
    </row>
    <row r="1818" spans="3:28">
      <c r="C1818" s="1461" t="s">
        <v>5600</v>
      </c>
      <c r="D1818" s="1458">
        <v>0</v>
      </c>
      <c r="E1818" s="1458">
        <v>0</v>
      </c>
      <c r="F1818" s="1459">
        <v>0</v>
      </c>
      <c r="G1818" s="1470" t="s">
        <v>5600</v>
      </c>
      <c r="H1818" s="1456">
        <v>0</v>
      </c>
      <c r="I1818" s="1456">
        <v>0</v>
      </c>
      <c r="J1818" s="1471">
        <v>0</v>
      </c>
      <c r="K1818" s="1460"/>
      <c r="L1818" s="1454">
        <v>13191110200</v>
      </c>
      <c r="M1818" s="1455">
        <v>0</v>
      </c>
      <c r="N1818" s="1455">
        <v>0</v>
      </c>
      <c r="O1818" s="1456">
        <v>0</v>
      </c>
      <c r="AA1818"/>
      <c r="AB1818"/>
    </row>
    <row r="1819" spans="3:28">
      <c r="C1819" s="1461" t="s">
        <v>5601</v>
      </c>
      <c r="D1819" s="1458">
        <v>0</v>
      </c>
      <c r="E1819" s="1458">
        <v>0</v>
      </c>
      <c r="F1819" s="1459">
        <v>0</v>
      </c>
      <c r="G1819" s="1470" t="s">
        <v>5601</v>
      </c>
      <c r="H1819" s="1456">
        <v>0</v>
      </c>
      <c r="I1819" s="1456">
        <v>0</v>
      </c>
      <c r="J1819" s="1471">
        <v>0</v>
      </c>
      <c r="K1819" s="1460"/>
      <c r="L1819" s="1454">
        <v>13191110300</v>
      </c>
      <c r="M1819" s="1455">
        <v>0</v>
      </c>
      <c r="N1819" s="1455">
        <v>0</v>
      </c>
      <c r="O1819" s="1456">
        <v>0</v>
      </c>
      <c r="AA1819"/>
      <c r="AB1819"/>
    </row>
    <row r="1820" spans="3:28">
      <c r="C1820" s="1461" t="s">
        <v>5602</v>
      </c>
      <c r="D1820" s="1458" t="s">
        <v>3906</v>
      </c>
      <c r="E1820" s="1458" t="s">
        <v>3906</v>
      </c>
      <c r="F1820" s="1459">
        <v>0</v>
      </c>
      <c r="G1820" s="1470" t="s">
        <v>5602</v>
      </c>
      <c r="H1820" s="1456" t="s">
        <v>3906</v>
      </c>
      <c r="I1820" s="1456" t="s">
        <v>3906</v>
      </c>
      <c r="J1820" s="1471">
        <v>0</v>
      </c>
      <c r="K1820" s="1460"/>
      <c r="L1820" s="1454">
        <v>13191980000</v>
      </c>
      <c r="M1820" s="1455">
        <v>0</v>
      </c>
      <c r="N1820" s="1455">
        <v>0</v>
      </c>
      <c r="O1820" s="1456">
        <v>0</v>
      </c>
      <c r="AA1820"/>
      <c r="AB1820"/>
    </row>
    <row r="1821" spans="3:28">
      <c r="C1821" s="1461" t="s">
        <v>5603</v>
      </c>
      <c r="D1821" s="1458" t="s">
        <v>3906</v>
      </c>
      <c r="E1821" s="1458" t="s">
        <v>3906</v>
      </c>
      <c r="F1821" s="1459">
        <v>0</v>
      </c>
      <c r="G1821" s="1470" t="s">
        <v>5603</v>
      </c>
      <c r="H1821" s="1456" t="s">
        <v>3906</v>
      </c>
      <c r="I1821" s="1456" t="s">
        <v>3906</v>
      </c>
      <c r="J1821" s="1471">
        <v>0</v>
      </c>
      <c r="K1821" s="1460"/>
      <c r="L1821" s="1454">
        <v>13191990000</v>
      </c>
      <c r="M1821" s="1455">
        <v>0</v>
      </c>
      <c r="N1821" s="1455">
        <v>0</v>
      </c>
      <c r="O1821" s="1456">
        <v>0</v>
      </c>
      <c r="AA1821"/>
      <c r="AB1821"/>
    </row>
    <row r="1822" spans="3:28">
      <c r="C1822" s="1461" t="s">
        <v>5604</v>
      </c>
      <c r="D1822" s="1458">
        <v>0</v>
      </c>
      <c r="E1822" s="1458">
        <v>0</v>
      </c>
      <c r="F1822" s="1459">
        <v>0</v>
      </c>
      <c r="G1822" s="1470" t="s">
        <v>5604</v>
      </c>
      <c r="H1822" s="1456">
        <v>0</v>
      </c>
      <c r="I1822" s="1456" t="s">
        <v>3906</v>
      </c>
      <c r="J1822" s="1471">
        <v>0</v>
      </c>
      <c r="K1822" s="1460"/>
      <c r="L1822" s="1454">
        <v>13193000100</v>
      </c>
      <c r="M1822" s="1455">
        <v>0</v>
      </c>
      <c r="N1822" s="1455">
        <v>0</v>
      </c>
      <c r="O1822" s="1456">
        <v>0</v>
      </c>
      <c r="AA1822"/>
      <c r="AB1822"/>
    </row>
    <row r="1823" spans="3:28">
      <c r="C1823" s="1461" t="s">
        <v>5605</v>
      </c>
      <c r="D1823" s="1458">
        <v>0</v>
      </c>
      <c r="E1823" s="1458">
        <v>0</v>
      </c>
      <c r="F1823" s="1459">
        <v>0</v>
      </c>
      <c r="G1823" s="1470" t="s">
        <v>5605</v>
      </c>
      <c r="H1823" s="1456">
        <v>0</v>
      </c>
      <c r="I1823" s="1456">
        <v>0</v>
      </c>
      <c r="J1823" s="1471">
        <v>0</v>
      </c>
      <c r="K1823" s="1460"/>
      <c r="L1823" s="1454">
        <v>13193000200</v>
      </c>
      <c r="M1823" s="1455">
        <v>0</v>
      </c>
      <c r="N1823" s="1455">
        <v>0</v>
      </c>
      <c r="O1823" s="1456">
        <v>0</v>
      </c>
      <c r="AA1823"/>
      <c r="AB1823"/>
    </row>
    <row r="1824" spans="3:28">
      <c r="C1824" s="1461" t="s">
        <v>5606</v>
      </c>
      <c r="D1824" s="1458">
        <v>0</v>
      </c>
      <c r="E1824" s="1458">
        <v>0</v>
      </c>
      <c r="F1824" s="1459">
        <v>0</v>
      </c>
      <c r="G1824" s="1470" t="s">
        <v>5606</v>
      </c>
      <c r="H1824" s="1456">
        <v>0</v>
      </c>
      <c r="I1824" s="1456">
        <v>1</v>
      </c>
      <c r="J1824" s="1471">
        <v>1</v>
      </c>
      <c r="K1824" s="1460"/>
      <c r="L1824" s="1454">
        <v>13193000300</v>
      </c>
      <c r="M1824" s="1455">
        <v>0</v>
      </c>
      <c r="N1824" s="1455">
        <v>1</v>
      </c>
      <c r="O1824" s="1456">
        <v>1</v>
      </c>
      <c r="AA1824"/>
      <c r="AB1824"/>
    </row>
    <row r="1825" spans="3:28">
      <c r="C1825" s="1461" t="s">
        <v>5607</v>
      </c>
      <c r="D1825" s="1458">
        <v>0</v>
      </c>
      <c r="E1825" s="1458">
        <v>0</v>
      </c>
      <c r="F1825" s="1459">
        <v>0</v>
      </c>
      <c r="G1825" s="1470" t="s">
        <v>5607</v>
      </c>
      <c r="H1825" s="1456">
        <v>0</v>
      </c>
      <c r="I1825" s="1456">
        <v>0</v>
      </c>
      <c r="J1825" s="1471">
        <v>0</v>
      </c>
      <c r="K1825" s="1460"/>
      <c r="L1825" s="1454">
        <v>13193000400</v>
      </c>
      <c r="M1825" s="1455">
        <v>0</v>
      </c>
      <c r="N1825" s="1455">
        <v>0</v>
      </c>
      <c r="O1825" s="1456">
        <v>0</v>
      </c>
      <c r="AA1825"/>
      <c r="AB1825"/>
    </row>
    <row r="1826" spans="3:28">
      <c r="C1826" s="1461" t="s">
        <v>5608</v>
      </c>
      <c r="D1826" s="1458">
        <v>0</v>
      </c>
      <c r="E1826" s="1458">
        <v>0</v>
      </c>
      <c r="F1826" s="1459">
        <v>0</v>
      </c>
      <c r="G1826" s="1470" t="s">
        <v>5608</v>
      </c>
      <c r="H1826" s="1456">
        <v>0</v>
      </c>
      <c r="I1826" s="1456">
        <v>0</v>
      </c>
      <c r="J1826" s="1471">
        <v>0</v>
      </c>
      <c r="K1826" s="1460"/>
      <c r="L1826" s="1454">
        <v>13195020100</v>
      </c>
      <c r="M1826" s="1455">
        <v>0</v>
      </c>
      <c r="N1826" s="1455">
        <v>0</v>
      </c>
      <c r="O1826" s="1456">
        <v>0</v>
      </c>
      <c r="AA1826"/>
      <c r="AB1826"/>
    </row>
    <row r="1827" spans="3:28">
      <c r="C1827" s="1461" t="s">
        <v>5609</v>
      </c>
      <c r="D1827" s="1458">
        <v>0</v>
      </c>
      <c r="E1827" s="1458">
        <v>0</v>
      </c>
      <c r="F1827" s="1459">
        <v>0</v>
      </c>
      <c r="G1827" s="1470" t="s">
        <v>5609</v>
      </c>
      <c r="H1827" s="1456">
        <v>0</v>
      </c>
      <c r="I1827" s="1456">
        <v>0</v>
      </c>
      <c r="J1827" s="1471">
        <v>0</v>
      </c>
      <c r="K1827" s="1460"/>
      <c r="L1827" s="1454">
        <v>13195020200</v>
      </c>
      <c r="M1827" s="1455">
        <v>0</v>
      </c>
      <c r="N1827" s="1455">
        <v>0</v>
      </c>
      <c r="O1827" s="1456">
        <v>0</v>
      </c>
      <c r="AA1827"/>
      <c r="AB1827"/>
    </row>
    <row r="1828" spans="3:28">
      <c r="C1828" s="1461" t="s">
        <v>5610</v>
      </c>
      <c r="D1828" s="1458">
        <v>0</v>
      </c>
      <c r="E1828" s="1458">
        <v>0</v>
      </c>
      <c r="F1828" s="1459">
        <v>0</v>
      </c>
      <c r="G1828" s="1470" t="s">
        <v>5610</v>
      </c>
      <c r="H1828" s="1456">
        <v>0</v>
      </c>
      <c r="I1828" s="1456">
        <v>0</v>
      </c>
      <c r="J1828" s="1471">
        <v>0</v>
      </c>
      <c r="K1828" s="1460"/>
      <c r="L1828" s="1454">
        <v>13195020300</v>
      </c>
      <c r="M1828" s="1455">
        <v>0</v>
      </c>
      <c r="N1828" s="1455">
        <v>0</v>
      </c>
      <c r="O1828" s="1456">
        <v>0</v>
      </c>
      <c r="AA1828"/>
      <c r="AB1828"/>
    </row>
    <row r="1829" spans="3:28">
      <c r="C1829" s="1461" t="s">
        <v>5611</v>
      </c>
      <c r="D1829" s="1458">
        <v>1</v>
      </c>
      <c r="E1829" s="1458">
        <v>1</v>
      </c>
      <c r="F1829" s="1459">
        <v>2</v>
      </c>
      <c r="G1829" s="1470" t="s">
        <v>5611</v>
      </c>
      <c r="H1829" s="1456">
        <v>0</v>
      </c>
      <c r="I1829" s="1456">
        <v>0</v>
      </c>
      <c r="J1829" s="1471">
        <v>0</v>
      </c>
      <c r="K1829" s="1460"/>
      <c r="L1829" s="1454">
        <v>13195020400</v>
      </c>
      <c r="M1829" s="1455">
        <v>1</v>
      </c>
      <c r="N1829" s="1455">
        <v>1</v>
      </c>
      <c r="O1829" s="1456">
        <v>2</v>
      </c>
      <c r="AA1829"/>
      <c r="AB1829"/>
    </row>
    <row r="1830" spans="3:28">
      <c r="C1830" s="1461" t="s">
        <v>5612</v>
      </c>
      <c r="D1830" s="1458">
        <v>0</v>
      </c>
      <c r="E1830" s="1458">
        <v>1</v>
      </c>
      <c r="F1830" s="1459">
        <v>1</v>
      </c>
      <c r="G1830" s="1470" t="s">
        <v>5612</v>
      </c>
      <c r="H1830" s="1456">
        <v>0</v>
      </c>
      <c r="I1830" s="1456">
        <v>0</v>
      </c>
      <c r="J1830" s="1471">
        <v>0</v>
      </c>
      <c r="K1830" s="1460"/>
      <c r="L1830" s="1454">
        <v>13195020500</v>
      </c>
      <c r="M1830" s="1455">
        <v>0</v>
      </c>
      <c r="N1830" s="1455">
        <v>1</v>
      </c>
      <c r="O1830" s="1456">
        <v>1</v>
      </c>
      <c r="AA1830"/>
      <c r="AB1830"/>
    </row>
    <row r="1831" spans="3:28">
      <c r="C1831" s="1461" t="s">
        <v>5613</v>
      </c>
      <c r="D1831" s="1458">
        <v>1</v>
      </c>
      <c r="E1831" s="1458">
        <v>0</v>
      </c>
      <c r="F1831" s="1459">
        <v>1</v>
      </c>
      <c r="G1831" s="1470" t="s">
        <v>5613</v>
      </c>
      <c r="H1831" s="1456">
        <v>0</v>
      </c>
      <c r="I1831" s="1456">
        <v>0</v>
      </c>
      <c r="J1831" s="1471">
        <v>0</v>
      </c>
      <c r="K1831" s="1460"/>
      <c r="L1831" s="1454">
        <v>13195020600</v>
      </c>
      <c r="M1831" s="1455">
        <v>1</v>
      </c>
      <c r="N1831" s="1455">
        <v>0</v>
      </c>
      <c r="O1831" s="1456">
        <v>1</v>
      </c>
      <c r="AA1831"/>
      <c r="AB1831"/>
    </row>
    <row r="1832" spans="3:28">
      <c r="C1832" s="1461" t="s">
        <v>5614</v>
      </c>
      <c r="D1832" s="1458">
        <v>0</v>
      </c>
      <c r="E1832" s="1458">
        <v>0</v>
      </c>
      <c r="F1832" s="1459">
        <v>0</v>
      </c>
      <c r="G1832" s="1470" t="s">
        <v>5614</v>
      </c>
      <c r="H1832" s="1456">
        <v>0</v>
      </c>
      <c r="I1832" s="1456">
        <v>0</v>
      </c>
      <c r="J1832" s="1471">
        <v>0</v>
      </c>
      <c r="K1832" s="1460"/>
      <c r="L1832" s="1454">
        <v>13197920100</v>
      </c>
      <c r="M1832" s="1455">
        <v>0</v>
      </c>
      <c r="N1832" s="1455">
        <v>0</v>
      </c>
      <c r="O1832" s="1456">
        <v>0</v>
      </c>
      <c r="AA1832"/>
      <c r="AB1832"/>
    </row>
    <row r="1833" spans="3:28">
      <c r="C1833" s="1461" t="s">
        <v>5615</v>
      </c>
      <c r="D1833" s="1458">
        <v>0</v>
      </c>
      <c r="E1833" s="1458">
        <v>0</v>
      </c>
      <c r="F1833" s="1459">
        <v>0</v>
      </c>
      <c r="G1833" s="1470" t="s">
        <v>5615</v>
      </c>
      <c r="H1833" s="1456">
        <v>0</v>
      </c>
      <c r="I1833" s="1456">
        <v>0</v>
      </c>
      <c r="J1833" s="1471">
        <v>0</v>
      </c>
      <c r="K1833" s="1460"/>
      <c r="L1833" s="1454">
        <v>13197920200</v>
      </c>
      <c r="M1833" s="1455">
        <v>0</v>
      </c>
      <c r="N1833" s="1455">
        <v>0</v>
      </c>
      <c r="O1833" s="1456">
        <v>0</v>
      </c>
      <c r="AA1833"/>
      <c r="AB1833"/>
    </row>
    <row r="1834" spans="3:28">
      <c r="C1834" s="1461" t="s">
        <v>5616</v>
      </c>
      <c r="D1834" s="1458">
        <v>0</v>
      </c>
      <c r="E1834" s="1458">
        <v>0</v>
      </c>
      <c r="F1834" s="1459">
        <v>0</v>
      </c>
      <c r="G1834" s="1470" t="s">
        <v>5616</v>
      </c>
      <c r="H1834" s="1456">
        <v>0</v>
      </c>
      <c r="I1834" s="1456">
        <v>0</v>
      </c>
      <c r="J1834" s="1471">
        <v>0</v>
      </c>
      <c r="K1834" s="1460"/>
      <c r="L1834" s="1454">
        <v>13199970500</v>
      </c>
      <c r="M1834" s="1455">
        <v>0</v>
      </c>
      <c r="N1834" s="1455">
        <v>0</v>
      </c>
      <c r="O1834" s="1456">
        <v>0</v>
      </c>
      <c r="AA1834"/>
      <c r="AB1834"/>
    </row>
    <row r="1835" spans="3:28">
      <c r="C1835" s="1461" t="s">
        <v>5617</v>
      </c>
      <c r="D1835" s="1458">
        <v>0</v>
      </c>
      <c r="E1835" s="1458">
        <v>0</v>
      </c>
      <c r="F1835" s="1459">
        <v>0</v>
      </c>
      <c r="G1835" s="1470" t="s">
        <v>5617</v>
      </c>
      <c r="H1835" s="1456">
        <v>0</v>
      </c>
      <c r="I1835" s="1456">
        <v>0</v>
      </c>
      <c r="J1835" s="1471">
        <v>0</v>
      </c>
      <c r="K1835" s="1460"/>
      <c r="L1835" s="1454">
        <v>13199970600</v>
      </c>
      <c r="M1835" s="1455">
        <v>0</v>
      </c>
      <c r="N1835" s="1455">
        <v>0</v>
      </c>
      <c r="O1835" s="1456">
        <v>0</v>
      </c>
      <c r="AA1835"/>
      <c r="AB1835"/>
    </row>
    <row r="1836" spans="3:28">
      <c r="C1836" s="1461" t="s">
        <v>5618</v>
      </c>
      <c r="D1836" s="1458">
        <v>0</v>
      </c>
      <c r="E1836" s="1458">
        <v>0</v>
      </c>
      <c r="F1836" s="1459">
        <v>0</v>
      </c>
      <c r="G1836" s="1470" t="s">
        <v>5618</v>
      </c>
      <c r="H1836" s="1456">
        <v>0</v>
      </c>
      <c r="I1836" s="1456">
        <v>0</v>
      </c>
      <c r="J1836" s="1471">
        <v>0</v>
      </c>
      <c r="K1836" s="1460"/>
      <c r="L1836" s="1454">
        <v>13199970700</v>
      </c>
      <c r="M1836" s="1455">
        <v>0</v>
      </c>
      <c r="N1836" s="1455">
        <v>0</v>
      </c>
      <c r="O1836" s="1456">
        <v>0</v>
      </c>
      <c r="AA1836"/>
      <c r="AB1836"/>
    </row>
    <row r="1837" spans="3:28">
      <c r="C1837" s="1461" t="s">
        <v>5619</v>
      </c>
      <c r="D1837" s="1458">
        <v>0</v>
      </c>
      <c r="E1837" s="1458">
        <v>0</v>
      </c>
      <c r="F1837" s="1459">
        <v>0</v>
      </c>
      <c r="G1837" s="1470" t="s">
        <v>5619</v>
      </c>
      <c r="H1837" s="1456">
        <v>0</v>
      </c>
      <c r="I1837" s="1456">
        <v>0</v>
      </c>
      <c r="J1837" s="1471">
        <v>0</v>
      </c>
      <c r="K1837" s="1460"/>
      <c r="L1837" s="1454">
        <v>13199970800</v>
      </c>
      <c r="M1837" s="1455">
        <v>0</v>
      </c>
      <c r="N1837" s="1455">
        <v>0</v>
      </c>
      <c r="O1837" s="1456">
        <v>0</v>
      </c>
      <c r="AA1837"/>
      <c r="AB1837"/>
    </row>
    <row r="1838" spans="3:28">
      <c r="C1838" s="1461" t="s">
        <v>5620</v>
      </c>
      <c r="D1838" s="1458">
        <v>0</v>
      </c>
      <c r="E1838" s="1458">
        <v>0</v>
      </c>
      <c r="F1838" s="1459">
        <v>0</v>
      </c>
      <c r="G1838" s="1470" t="s">
        <v>5620</v>
      </c>
      <c r="H1838" s="1456">
        <v>0</v>
      </c>
      <c r="I1838" s="1456">
        <v>0</v>
      </c>
      <c r="J1838" s="1471">
        <v>0</v>
      </c>
      <c r="K1838" s="1460"/>
      <c r="L1838" s="1454">
        <v>13201950100</v>
      </c>
      <c r="M1838" s="1455">
        <v>0</v>
      </c>
      <c r="N1838" s="1455">
        <v>0</v>
      </c>
      <c r="O1838" s="1456">
        <v>0</v>
      </c>
      <c r="AA1838"/>
      <c r="AB1838"/>
    </row>
    <row r="1839" spans="3:28">
      <c r="C1839" s="1461" t="s">
        <v>5621</v>
      </c>
      <c r="D1839" s="1458">
        <v>0</v>
      </c>
      <c r="E1839" s="1458">
        <v>0</v>
      </c>
      <c r="F1839" s="1459">
        <v>0</v>
      </c>
      <c r="G1839" s="1470" t="s">
        <v>5621</v>
      </c>
      <c r="H1839" s="1456">
        <v>0</v>
      </c>
      <c r="I1839" s="1456">
        <v>0</v>
      </c>
      <c r="J1839" s="1471">
        <v>0</v>
      </c>
      <c r="K1839" s="1460"/>
      <c r="L1839" s="1454">
        <v>13201950200</v>
      </c>
      <c r="M1839" s="1455">
        <v>0</v>
      </c>
      <c r="N1839" s="1455">
        <v>0</v>
      </c>
      <c r="O1839" s="1456">
        <v>0</v>
      </c>
      <c r="AA1839"/>
      <c r="AB1839"/>
    </row>
    <row r="1840" spans="3:28">
      <c r="C1840" s="1461" t="s">
        <v>5622</v>
      </c>
      <c r="D1840" s="1458">
        <v>1</v>
      </c>
      <c r="E1840" s="1458">
        <v>0</v>
      </c>
      <c r="F1840" s="1459">
        <v>1</v>
      </c>
      <c r="G1840" s="1470" t="s">
        <v>5622</v>
      </c>
      <c r="H1840" s="1456">
        <v>1</v>
      </c>
      <c r="I1840" s="1456">
        <v>1</v>
      </c>
      <c r="J1840" s="1471">
        <v>2</v>
      </c>
      <c r="K1840" s="1460"/>
      <c r="L1840" s="1454">
        <v>13201950300</v>
      </c>
      <c r="M1840" s="1455">
        <v>1</v>
      </c>
      <c r="N1840" s="1455">
        <v>1</v>
      </c>
      <c r="O1840" s="1456">
        <v>2</v>
      </c>
      <c r="AA1840"/>
      <c r="AB1840"/>
    </row>
    <row r="1841" spans="3:28">
      <c r="C1841" s="1461" t="s">
        <v>5623</v>
      </c>
      <c r="D1841" s="1458">
        <v>0</v>
      </c>
      <c r="E1841" s="1458">
        <v>0</v>
      </c>
      <c r="F1841" s="1459">
        <v>0</v>
      </c>
      <c r="G1841" s="1470" t="s">
        <v>5623</v>
      </c>
      <c r="H1841" s="1456">
        <v>0</v>
      </c>
      <c r="I1841" s="1456">
        <v>0</v>
      </c>
      <c r="J1841" s="1471">
        <v>0</v>
      </c>
      <c r="K1841" s="1460"/>
      <c r="L1841" s="1454">
        <v>13205090100</v>
      </c>
      <c r="M1841" s="1455">
        <v>0</v>
      </c>
      <c r="N1841" s="1455">
        <v>0</v>
      </c>
      <c r="O1841" s="1456">
        <v>0</v>
      </c>
      <c r="AA1841"/>
      <c r="AB1841"/>
    </row>
    <row r="1842" spans="3:28">
      <c r="C1842" s="1461" t="s">
        <v>5624</v>
      </c>
      <c r="D1842" s="1458">
        <v>0</v>
      </c>
      <c r="E1842" s="1458">
        <v>0</v>
      </c>
      <c r="F1842" s="1459">
        <v>0</v>
      </c>
      <c r="G1842" s="1470" t="s">
        <v>5624</v>
      </c>
      <c r="H1842" s="1456">
        <v>0</v>
      </c>
      <c r="I1842" s="1456">
        <v>0</v>
      </c>
      <c r="J1842" s="1471">
        <v>0</v>
      </c>
      <c r="K1842" s="1460"/>
      <c r="L1842" s="1454">
        <v>13205090200</v>
      </c>
      <c r="M1842" s="1455">
        <v>0</v>
      </c>
      <c r="N1842" s="1455">
        <v>0</v>
      </c>
      <c r="O1842" s="1456">
        <v>0</v>
      </c>
      <c r="AA1842"/>
      <c r="AB1842"/>
    </row>
    <row r="1843" spans="3:28">
      <c r="C1843" s="1461" t="s">
        <v>5625</v>
      </c>
      <c r="D1843" s="1458">
        <v>0</v>
      </c>
      <c r="E1843" s="1458">
        <v>0</v>
      </c>
      <c r="F1843" s="1459">
        <v>0</v>
      </c>
      <c r="G1843" s="1470" t="s">
        <v>5625</v>
      </c>
      <c r="H1843" s="1456">
        <v>0</v>
      </c>
      <c r="I1843" s="1456">
        <v>0</v>
      </c>
      <c r="J1843" s="1471">
        <v>0</v>
      </c>
      <c r="K1843" s="1460"/>
      <c r="L1843" s="1454">
        <v>13205090300</v>
      </c>
      <c r="M1843" s="1455">
        <v>0</v>
      </c>
      <c r="N1843" s="1455">
        <v>0</v>
      </c>
      <c r="O1843" s="1456">
        <v>0</v>
      </c>
      <c r="AA1843"/>
      <c r="AB1843"/>
    </row>
    <row r="1844" spans="3:28">
      <c r="C1844" s="1461" t="s">
        <v>5626</v>
      </c>
      <c r="D1844" s="1458">
        <v>0</v>
      </c>
      <c r="E1844" s="1458">
        <v>0</v>
      </c>
      <c r="F1844" s="1459">
        <v>0</v>
      </c>
      <c r="G1844" s="1470" t="s">
        <v>5626</v>
      </c>
      <c r="H1844" s="1456">
        <v>0</v>
      </c>
      <c r="I1844" s="1456">
        <v>0</v>
      </c>
      <c r="J1844" s="1471">
        <v>0</v>
      </c>
      <c r="K1844" s="1460"/>
      <c r="L1844" s="1454">
        <v>13205090400</v>
      </c>
      <c r="M1844" s="1455">
        <v>0</v>
      </c>
      <c r="N1844" s="1455">
        <v>0</v>
      </c>
      <c r="O1844" s="1456">
        <v>0</v>
      </c>
      <c r="AA1844"/>
      <c r="AB1844"/>
    </row>
    <row r="1845" spans="3:28">
      <c r="C1845" s="1461" t="s">
        <v>5627</v>
      </c>
      <c r="D1845" s="1458">
        <v>0</v>
      </c>
      <c r="E1845" s="1458">
        <v>0</v>
      </c>
      <c r="F1845" s="1459">
        <v>0</v>
      </c>
      <c r="G1845" s="1470" t="s">
        <v>5627</v>
      </c>
      <c r="H1845" s="1456">
        <v>0</v>
      </c>
      <c r="I1845" s="1456">
        <v>0</v>
      </c>
      <c r="J1845" s="1471">
        <v>0</v>
      </c>
      <c r="K1845" s="1460"/>
      <c r="L1845" s="1454">
        <v>13205090500</v>
      </c>
      <c r="M1845" s="1455">
        <v>0</v>
      </c>
      <c r="N1845" s="1455">
        <v>0</v>
      </c>
      <c r="O1845" s="1456">
        <v>0</v>
      </c>
      <c r="AA1845"/>
      <c r="AB1845"/>
    </row>
    <row r="1846" spans="3:28">
      <c r="C1846" s="1461" t="s">
        <v>5628</v>
      </c>
      <c r="D1846" s="1458">
        <v>0</v>
      </c>
      <c r="E1846" s="1458">
        <v>0</v>
      </c>
      <c r="F1846" s="1459">
        <v>0</v>
      </c>
      <c r="G1846" s="1470" t="s">
        <v>5628</v>
      </c>
      <c r="H1846" s="1456">
        <v>0</v>
      </c>
      <c r="I1846" s="1456">
        <v>0</v>
      </c>
      <c r="J1846" s="1471">
        <v>0</v>
      </c>
      <c r="K1846" s="1460"/>
      <c r="L1846" s="1454">
        <v>13207050101</v>
      </c>
      <c r="M1846" s="1455">
        <v>0</v>
      </c>
      <c r="N1846" s="1455">
        <v>0</v>
      </c>
      <c r="O1846" s="1456">
        <v>0</v>
      </c>
      <c r="AA1846"/>
      <c r="AB1846"/>
    </row>
    <row r="1847" spans="3:28">
      <c r="C1847" s="1461" t="s">
        <v>5629</v>
      </c>
      <c r="D1847" s="1458">
        <v>0</v>
      </c>
      <c r="E1847" s="1458">
        <v>0</v>
      </c>
      <c r="F1847" s="1459">
        <v>0</v>
      </c>
      <c r="G1847" s="1470" t="s">
        <v>5629</v>
      </c>
      <c r="H1847" s="1456">
        <v>0</v>
      </c>
      <c r="I1847" s="1456">
        <v>0</v>
      </c>
      <c r="J1847" s="1471">
        <v>0</v>
      </c>
      <c r="K1847" s="1460"/>
      <c r="L1847" s="1454">
        <v>13207050102</v>
      </c>
      <c r="M1847" s="1455">
        <v>0</v>
      </c>
      <c r="N1847" s="1455">
        <v>0</v>
      </c>
      <c r="O1847" s="1456">
        <v>0</v>
      </c>
      <c r="AA1847"/>
      <c r="AB1847"/>
    </row>
    <row r="1848" spans="3:28">
      <c r="C1848" s="1461" t="s">
        <v>5630</v>
      </c>
      <c r="D1848" s="1458">
        <v>0</v>
      </c>
      <c r="E1848" s="1458">
        <v>0</v>
      </c>
      <c r="F1848" s="1459">
        <v>0</v>
      </c>
      <c r="G1848" s="1470" t="s">
        <v>5630</v>
      </c>
      <c r="H1848" s="1456">
        <v>0</v>
      </c>
      <c r="I1848" s="1456">
        <v>0</v>
      </c>
      <c r="J1848" s="1471">
        <v>0</v>
      </c>
      <c r="K1848" s="1460"/>
      <c r="L1848" s="1454">
        <v>13207050200</v>
      </c>
      <c r="M1848" s="1455">
        <v>0</v>
      </c>
      <c r="N1848" s="1455">
        <v>0</v>
      </c>
      <c r="O1848" s="1456">
        <v>0</v>
      </c>
      <c r="AA1848"/>
      <c r="AB1848"/>
    </row>
    <row r="1849" spans="3:28">
      <c r="C1849" s="1461" t="s">
        <v>5631</v>
      </c>
      <c r="D1849" s="1458">
        <v>0</v>
      </c>
      <c r="E1849" s="1458">
        <v>1</v>
      </c>
      <c r="F1849" s="1459">
        <v>1</v>
      </c>
      <c r="G1849" s="1470" t="s">
        <v>5631</v>
      </c>
      <c r="H1849" s="1456">
        <v>0</v>
      </c>
      <c r="I1849" s="1456">
        <v>1</v>
      </c>
      <c r="J1849" s="1471">
        <v>1</v>
      </c>
      <c r="K1849" s="1460"/>
      <c r="L1849" s="1454">
        <v>13207050301</v>
      </c>
      <c r="M1849" s="1455">
        <v>0</v>
      </c>
      <c r="N1849" s="1455">
        <v>1</v>
      </c>
      <c r="O1849" s="1456">
        <v>1</v>
      </c>
      <c r="AA1849"/>
      <c r="AB1849"/>
    </row>
    <row r="1850" spans="3:28">
      <c r="C1850" s="1461" t="s">
        <v>5632</v>
      </c>
      <c r="D1850" s="1458">
        <v>1</v>
      </c>
      <c r="E1850" s="1458">
        <v>1</v>
      </c>
      <c r="F1850" s="1459">
        <v>2</v>
      </c>
      <c r="G1850" s="1470" t="s">
        <v>5632</v>
      </c>
      <c r="H1850" s="1456">
        <v>1</v>
      </c>
      <c r="I1850" s="1456">
        <v>1</v>
      </c>
      <c r="J1850" s="1471">
        <v>2</v>
      </c>
      <c r="K1850" s="1460"/>
      <c r="L1850" s="1454">
        <v>13207050302</v>
      </c>
      <c r="M1850" s="1455">
        <v>1</v>
      </c>
      <c r="N1850" s="1455">
        <v>1</v>
      </c>
      <c r="O1850" s="1456">
        <v>2</v>
      </c>
      <c r="AA1850"/>
      <c r="AB1850"/>
    </row>
    <row r="1851" spans="3:28">
      <c r="C1851" s="1461" t="s">
        <v>5633</v>
      </c>
      <c r="D1851" s="1458">
        <v>0</v>
      </c>
      <c r="E1851" s="1458">
        <v>0</v>
      </c>
      <c r="F1851" s="1459">
        <v>0</v>
      </c>
      <c r="G1851" s="1470" t="s">
        <v>5633</v>
      </c>
      <c r="H1851" s="1456">
        <v>0</v>
      </c>
      <c r="I1851" s="1456">
        <v>0</v>
      </c>
      <c r="J1851" s="1471">
        <v>0</v>
      </c>
      <c r="K1851" s="1460"/>
      <c r="L1851" s="1454">
        <v>13209950100</v>
      </c>
      <c r="M1851" s="1455">
        <v>0</v>
      </c>
      <c r="N1851" s="1455">
        <v>0</v>
      </c>
      <c r="O1851" s="1456">
        <v>0</v>
      </c>
      <c r="AA1851"/>
      <c r="AB1851"/>
    </row>
    <row r="1852" spans="3:28">
      <c r="C1852" s="1461" t="s">
        <v>5634</v>
      </c>
      <c r="D1852" s="1458">
        <v>0</v>
      </c>
      <c r="E1852" s="1458">
        <v>0</v>
      </c>
      <c r="F1852" s="1459">
        <v>0</v>
      </c>
      <c r="G1852" s="1470" t="s">
        <v>5634</v>
      </c>
      <c r="H1852" s="1456">
        <v>0</v>
      </c>
      <c r="I1852" s="1456">
        <v>1</v>
      </c>
      <c r="J1852" s="1471">
        <v>1</v>
      </c>
      <c r="K1852" s="1460"/>
      <c r="L1852" s="1454">
        <v>13209950200</v>
      </c>
      <c r="M1852" s="1455">
        <v>0</v>
      </c>
      <c r="N1852" s="1455">
        <v>1</v>
      </c>
      <c r="O1852" s="1456">
        <v>1</v>
      </c>
      <c r="AA1852"/>
      <c r="AB1852"/>
    </row>
    <row r="1853" spans="3:28">
      <c r="C1853" s="1461" t="s">
        <v>5635</v>
      </c>
      <c r="D1853" s="1458">
        <v>0</v>
      </c>
      <c r="E1853" s="1458">
        <v>0</v>
      </c>
      <c r="F1853" s="1459">
        <v>0</v>
      </c>
      <c r="G1853" s="1470" t="s">
        <v>5635</v>
      </c>
      <c r="H1853" s="1456">
        <v>0</v>
      </c>
      <c r="I1853" s="1456">
        <v>0</v>
      </c>
      <c r="J1853" s="1471">
        <v>0</v>
      </c>
      <c r="K1853" s="1460"/>
      <c r="L1853" s="1454">
        <v>13209950300</v>
      </c>
      <c r="M1853" s="1455">
        <v>0</v>
      </c>
      <c r="N1853" s="1455">
        <v>0</v>
      </c>
      <c r="O1853" s="1456">
        <v>0</v>
      </c>
      <c r="AA1853"/>
      <c r="AB1853"/>
    </row>
    <row r="1854" spans="3:28">
      <c r="C1854" s="1461" t="s">
        <v>5636</v>
      </c>
      <c r="D1854" s="1458">
        <v>1</v>
      </c>
      <c r="E1854" s="1458">
        <v>1</v>
      </c>
      <c r="F1854" s="1459">
        <v>2</v>
      </c>
      <c r="G1854" s="1470" t="s">
        <v>5636</v>
      </c>
      <c r="H1854" s="1456">
        <v>1</v>
      </c>
      <c r="I1854" s="1456">
        <v>1</v>
      </c>
      <c r="J1854" s="1471">
        <v>2</v>
      </c>
      <c r="K1854" s="1460"/>
      <c r="L1854" s="1454">
        <v>13211010100</v>
      </c>
      <c r="M1854" s="1455">
        <v>1</v>
      </c>
      <c r="N1854" s="1455">
        <v>1</v>
      </c>
      <c r="O1854" s="1456">
        <v>2</v>
      </c>
      <c r="AA1854"/>
      <c r="AB1854"/>
    </row>
    <row r="1855" spans="3:28">
      <c r="C1855" s="1461" t="s">
        <v>5637</v>
      </c>
      <c r="D1855" s="1458">
        <v>0</v>
      </c>
      <c r="E1855" s="1458">
        <v>0</v>
      </c>
      <c r="F1855" s="1459">
        <v>0</v>
      </c>
      <c r="G1855" s="1470" t="s">
        <v>5637</v>
      </c>
      <c r="H1855" s="1456">
        <v>0</v>
      </c>
      <c r="I1855" s="1456">
        <v>0</v>
      </c>
      <c r="J1855" s="1471">
        <v>0</v>
      </c>
      <c r="K1855" s="1460"/>
      <c r="L1855" s="1454">
        <v>13211010200</v>
      </c>
      <c r="M1855" s="1455">
        <v>0</v>
      </c>
      <c r="N1855" s="1455">
        <v>0</v>
      </c>
      <c r="O1855" s="1456">
        <v>0</v>
      </c>
      <c r="AA1855"/>
      <c r="AB1855"/>
    </row>
    <row r="1856" spans="3:28">
      <c r="C1856" s="1461" t="s">
        <v>5638</v>
      </c>
      <c r="D1856" s="1458">
        <v>1</v>
      </c>
      <c r="E1856" s="1458">
        <v>1</v>
      </c>
      <c r="F1856" s="1459">
        <v>2</v>
      </c>
      <c r="G1856" s="1470" t="s">
        <v>5638</v>
      </c>
      <c r="H1856" s="1456">
        <v>0</v>
      </c>
      <c r="I1856" s="1456">
        <v>1</v>
      </c>
      <c r="J1856" s="1471">
        <v>1</v>
      </c>
      <c r="K1856" s="1460"/>
      <c r="L1856" s="1454">
        <v>13211010300</v>
      </c>
      <c r="M1856" s="1455">
        <v>1</v>
      </c>
      <c r="N1856" s="1455">
        <v>1</v>
      </c>
      <c r="O1856" s="1456">
        <v>2</v>
      </c>
      <c r="AA1856"/>
      <c r="AB1856"/>
    </row>
    <row r="1857" spans="3:28">
      <c r="C1857" s="1461" t="s">
        <v>5639</v>
      </c>
      <c r="D1857" s="1458">
        <v>1</v>
      </c>
      <c r="E1857" s="1458">
        <v>0</v>
      </c>
      <c r="F1857" s="1459">
        <v>1</v>
      </c>
      <c r="G1857" s="1470" t="s">
        <v>5639</v>
      </c>
      <c r="H1857" s="1456">
        <v>1</v>
      </c>
      <c r="I1857" s="1456">
        <v>0</v>
      </c>
      <c r="J1857" s="1471">
        <v>1</v>
      </c>
      <c r="K1857" s="1460"/>
      <c r="L1857" s="1454">
        <v>13211010400</v>
      </c>
      <c r="M1857" s="1455">
        <v>1</v>
      </c>
      <c r="N1857" s="1455">
        <v>0</v>
      </c>
      <c r="O1857" s="1456">
        <v>1</v>
      </c>
      <c r="AA1857"/>
      <c r="AB1857"/>
    </row>
    <row r="1858" spans="3:28">
      <c r="C1858" s="1461" t="s">
        <v>5640</v>
      </c>
      <c r="D1858" s="1458">
        <v>1</v>
      </c>
      <c r="E1858" s="1458">
        <v>1</v>
      </c>
      <c r="F1858" s="1459">
        <v>2</v>
      </c>
      <c r="G1858" s="1470" t="s">
        <v>5640</v>
      </c>
      <c r="H1858" s="1456">
        <v>1</v>
      </c>
      <c r="I1858" s="1456">
        <v>0</v>
      </c>
      <c r="J1858" s="1471">
        <v>1</v>
      </c>
      <c r="K1858" s="1460"/>
      <c r="L1858" s="1454">
        <v>13211010500</v>
      </c>
      <c r="M1858" s="1455">
        <v>1</v>
      </c>
      <c r="N1858" s="1455">
        <v>1</v>
      </c>
      <c r="O1858" s="1456">
        <v>2</v>
      </c>
      <c r="AA1858"/>
      <c r="AB1858"/>
    </row>
    <row r="1859" spans="3:28">
      <c r="C1859" s="1461" t="s">
        <v>5641</v>
      </c>
      <c r="D1859" s="1458">
        <v>0</v>
      </c>
      <c r="E1859" s="1458">
        <v>0</v>
      </c>
      <c r="F1859" s="1459">
        <v>0</v>
      </c>
      <c r="G1859" s="1470" t="s">
        <v>5641</v>
      </c>
      <c r="H1859" s="1456">
        <v>0</v>
      </c>
      <c r="I1859" s="1456">
        <v>0</v>
      </c>
      <c r="J1859" s="1471">
        <v>0</v>
      </c>
      <c r="K1859" s="1460"/>
      <c r="L1859" s="1454">
        <v>13213010100</v>
      </c>
      <c r="M1859" s="1455">
        <v>0</v>
      </c>
      <c r="N1859" s="1455">
        <v>0</v>
      </c>
      <c r="O1859" s="1456">
        <v>0</v>
      </c>
      <c r="AA1859"/>
      <c r="AB1859"/>
    </row>
    <row r="1860" spans="3:28">
      <c r="C1860" s="1461" t="s">
        <v>5642</v>
      </c>
      <c r="D1860" s="1458">
        <v>0</v>
      </c>
      <c r="E1860" s="1458">
        <v>0</v>
      </c>
      <c r="F1860" s="1459">
        <v>0</v>
      </c>
      <c r="G1860" s="1470" t="s">
        <v>5642</v>
      </c>
      <c r="H1860" s="1456">
        <v>0</v>
      </c>
      <c r="I1860" s="1456">
        <v>0</v>
      </c>
      <c r="J1860" s="1471">
        <v>0</v>
      </c>
      <c r="K1860" s="1460"/>
      <c r="L1860" s="1454">
        <v>13213010201</v>
      </c>
      <c r="M1860" s="1455">
        <v>0</v>
      </c>
      <c r="N1860" s="1455">
        <v>0</v>
      </c>
      <c r="O1860" s="1456">
        <v>0</v>
      </c>
      <c r="AA1860"/>
      <c r="AB1860"/>
    </row>
    <row r="1861" spans="3:28">
      <c r="C1861" s="1461" t="s">
        <v>5643</v>
      </c>
      <c r="D1861" s="1458">
        <v>0</v>
      </c>
      <c r="E1861" s="1458">
        <v>0</v>
      </c>
      <c r="F1861" s="1459">
        <v>0</v>
      </c>
      <c r="G1861" s="1470" t="s">
        <v>5643</v>
      </c>
      <c r="H1861" s="1456">
        <v>0</v>
      </c>
      <c r="I1861" s="1456">
        <v>0</v>
      </c>
      <c r="J1861" s="1471">
        <v>0</v>
      </c>
      <c r="K1861" s="1460"/>
      <c r="L1861" s="1454">
        <v>13213010202</v>
      </c>
      <c r="M1861" s="1455">
        <v>0</v>
      </c>
      <c r="N1861" s="1455">
        <v>0</v>
      </c>
      <c r="O1861" s="1456">
        <v>0</v>
      </c>
      <c r="AA1861"/>
      <c r="AB1861"/>
    </row>
    <row r="1862" spans="3:28">
      <c r="C1862" s="1461" t="s">
        <v>5644</v>
      </c>
      <c r="D1862" s="1458">
        <v>0</v>
      </c>
      <c r="E1862" s="1458">
        <v>0</v>
      </c>
      <c r="F1862" s="1459">
        <v>0</v>
      </c>
      <c r="G1862" s="1470" t="s">
        <v>5644</v>
      </c>
      <c r="H1862" s="1456">
        <v>0</v>
      </c>
      <c r="I1862" s="1456">
        <v>0</v>
      </c>
      <c r="J1862" s="1471">
        <v>0</v>
      </c>
      <c r="K1862" s="1460"/>
      <c r="L1862" s="1454">
        <v>13213010300</v>
      </c>
      <c r="M1862" s="1455">
        <v>0</v>
      </c>
      <c r="N1862" s="1455">
        <v>0</v>
      </c>
      <c r="O1862" s="1456">
        <v>0</v>
      </c>
      <c r="AA1862"/>
      <c r="AB1862"/>
    </row>
    <row r="1863" spans="3:28">
      <c r="C1863" s="1461" t="s">
        <v>5645</v>
      </c>
      <c r="D1863" s="1458">
        <v>0</v>
      </c>
      <c r="E1863" s="1458">
        <v>0</v>
      </c>
      <c r="F1863" s="1459">
        <v>0</v>
      </c>
      <c r="G1863" s="1470" t="s">
        <v>5645</v>
      </c>
      <c r="H1863" s="1456">
        <v>0</v>
      </c>
      <c r="I1863" s="1456">
        <v>0</v>
      </c>
      <c r="J1863" s="1471">
        <v>0</v>
      </c>
      <c r="K1863" s="1460"/>
      <c r="L1863" s="1454">
        <v>13213010400</v>
      </c>
      <c r="M1863" s="1455">
        <v>0</v>
      </c>
      <c r="N1863" s="1455">
        <v>0</v>
      </c>
      <c r="O1863" s="1456">
        <v>0</v>
      </c>
      <c r="AA1863"/>
      <c r="AB1863"/>
    </row>
    <row r="1864" spans="3:28">
      <c r="C1864" s="1461" t="s">
        <v>5646</v>
      </c>
      <c r="D1864" s="1458">
        <v>0</v>
      </c>
      <c r="E1864" s="1458">
        <v>0</v>
      </c>
      <c r="F1864" s="1459">
        <v>0</v>
      </c>
      <c r="G1864" s="1470" t="s">
        <v>5646</v>
      </c>
      <c r="H1864" s="1456">
        <v>0</v>
      </c>
      <c r="I1864" s="1456">
        <v>0</v>
      </c>
      <c r="J1864" s="1471">
        <v>0</v>
      </c>
      <c r="K1864" s="1460"/>
      <c r="L1864" s="1454">
        <v>13213010500</v>
      </c>
      <c r="M1864" s="1455">
        <v>0</v>
      </c>
      <c r="N1864" s="1455">
        <v>0</v>
      </c>
      <c r="O1864" s="1456">
        <v>0</v>
      </c>
      <c r="AA1864"/>
      <c r="AB1864"/>
    </row>
    <row r="1865" spans="3:28">
      <c r="C1865" s="1461" t="s">
        <v>5647</v>
      </c>
      <c r="D1865" s="1458">
        <v>0</v>
      </c>
      <c r="E1865" s="1458">
        <v>0</v>
      </c>
      <c r="F1865" s="1459">
        <v>0</v>
      </c>
      <c r="G1865" s="1470" t="s">
        <v>5647</v>
      </c>
      <c r="H1865" s="1456">
        <v>0</v>
      </c>
      <c r="I1865" s="1456">
        <v>0</v>
      </c>
      <c r="J1865" s="1471">
        <v>0</v>
      </c>
      <c r="K1865" s="1460"/>
      <c r="L1865" s="1454">
        <v>13213010600</v>
      </c>
      <c r="M1865" s="1455">
        <v>0</v>
      </c>
      <c r="N1865" s="1455">
        <v>0</v>
      </c>
      <c r="O1865" s="1456">
        <v>0</v>
      </c>
      <c r="AA1865"/>
      <c r="AB1865"/>
    </row>
    <row r="1866" spans="3:28">
      <c r="C1866" s="1461" t="s">
        <v>5648</v>
      </c>
      <c r="D1866" s="1458">
        <v>0</v>
      </c>
      <c r="E1866" s="1458">
        <v>0</v>
      </c>
      <c r="F1866" s="1459">
        <v>0</v>
      </c>
      <c r="G1866" s="1470" t="s">
        <v>5648</v>
      </c>
      <c r="H1866" s="1456">
        <v>0</v>
      </c>
      <c r="I1866" s="1456">
        <v>0</v>
      </c>
      <c r="J1866" s="1471">
        <v>0</v>
      </c>
      <c r="K1866" s="1460"/>
      <c r="L1866" s="1454">
        <v>13213010700</v>
      </c>
      <c r="M1866" s="1455">
        <v>0</v>
      </c>
      <c r="N1866" s="1455">
        <v>0</v>
      </c>
      <c r="O1866" s="1456">
        <v>0</v>
      </c>
      <c r="AA1866"/>
      <c r="AB1866"/>
    </row>
    <row r="1867" spans="3:28">
      <c r="C1867" s="1461" t="s">
        <v>5649</v>
      </c>
      <c r="D1867" s="1458">
        <v>0</v>
      </c>
      <c r="E1867" s="1458">
        <v>1</v>
      </c>
      <c r="F1867" s="1459">
        <v>1</v>
      </c>
      <c r="G1867" s="1470" t="s">
        <v>5649</v>
      </c>
      <c r="H1867" s="1456">
        <v>0</v>
      </c>
      <c r="I1867" s="1456">
        <v>1</v>
      </c>
      <c r="J1867" s="1471">
        <v>1</v>
      </c>
      <c r="K1867" s="1460"/>
      <c r="L1867" s="1454">
        <v>13215000200</v>
      </c>
      <c r="M1867" s="1455">
        <v>0</v>
      </c>
      <c r="N1867" s="1455">
        <v>1</v>
      </c>
      <c r="O1867" s="1456">
        <v>1</v>
      </c>
      <c r="AA1867"/>
      <c r="AB1867"/>
    </row>
    <row r="1868" spans="3:28">
      <c r="C1868" s="1461" t="s">
        <v>5650</v>
      </c>
      <c r="D1868" s="1458">
        <v>0</v>
      </c>
      <c r="E1868" s="1458">
        <v>0</v>
      </c>
      <c r="F1868" s="1459">
        <v>0</v>
      </c>
      <c r="G1868" s="1470" t="s">
        <v>5650</v>
      </c>
      <c r="H1868" s="1456">
        <v>0</v>
      </c>
      <c r="I1868" s="1456">
        <v>0</v>
      </c>
      <c r="J1868" s="1471">
        <v>0</v>
      </c>
      <c r="K1868" s="1460"/>
      <c r="L1868" s="1454">
        <v>13215000300</v>
      </c>
      <c r="M1868" s="1455">
        <v>0</v>
      </c>
      <c r="N1868" s="1455">
        <v>0</v>
      </c>
      <c r="O1868" s="1456">
        <v>0</v>
      </c>
      <c r="AA1868"/>
      <c r="AB1868"/>
    </row>
    <row r="1869" spans="3:28">
      <c r="C1869" s="1461" t="s">
        <v>5651</v>
      </c>
      <c r="D1869" s="1458">
        <v>0</v>
      </c>
      <c r="E1869" s="1458">
        <v>0</v>
      </c>
      <c r="F1869" s="1459">
        <v>0</v>
      </c>
      <c r="G1869" s="1470" t="s">
        <v>5651</v>
      </c>
      <c r="H1869" s="1456">
        <v>0</v>
      </c>
      <c r="I1869" s="1456">
        <v>0</v>
      </c>
      <c r="J1869" s="1471">
        <v>0</v>
      </c>
      <c r="K1869" s="1460"/>
      <c r="L1869" s="1454">
        <v>13215000400</v>
      </c>
      <c r="M1869" s="1455">
        <v>0</v>
      </c>
      <c r="N1869" s="1455">
        <v>0</v>
      </c>
      <c r="O1869" s="1456">
        <v>0</v>
      </c>
      <c r="AA1869"/>
      <c r="AB1869"/>
    </row>
    <row r="1870" spans="3:28">
      <c r="C1870" s="1461" t="s">
        <v>5652</v>
      </c>
      <c r="D1870" s="1458">
        <v>0</v>
      </c>
      <c r="E1870" s="1458">
        <v>0</v>
      </c>
      <c r="F1870" s="1459">
        <v>0</v>
      </c>
      <c r="G1870" s="1470" t="s">
        <v>5652</v>
      </c>
      <c r="H1870" s="1456">
        <v>0</v>
      </c>
      <c r="I1870" s="1456">
        <v>0</v>
      </c>
      <c r="J1870" s="1471">
        <v>0</v>
      </c>
      <c r="K1870" s="1460"/>
      <c r="L1870" s="1454">
        <v>13215000800</v>
      </c>
      <c r="M1870" s="1455">
        <v>0</v>
      </c>
      <c r="N1870" s="1455">
        <v>0</v>
      </c>
      <c r="O1870" s="1456">
        <v>0</v>
      </c>
      <c r="AA1870"/>
      <c r="AB1870"/>
    </row>
    <row r="1871" spans="3:28">
      <c r="C1871" s="1461" t="s">
        <v>5653</v>
      </c>
      <c r="D1871" s="1458">
        <v>0</v>
      </c>
      <c r="E1871" s="1458">
        <v>0</v>
      </c>
      <c r="F1871" s="1459">
        <v>0</v>
      </c>
      <c r="G1871" s="1470" t="s">
        <v>5653</v>
      </c>
      <c r="H1871" s="1456">
        <v>0</v>
      </c>
      <c r="I1871" s="1456">
        <v>0</v>
      </c>
      <c r="J1871" s="1471">
        <v>0</v>
      </c>
      <c r="K1871" s="1460"/>
      <c r="L1871" s="1454">
        <v>13215000900</v>
      </c>
      <c r="M1871" s="1455">
        <v>0</v>
      </c>
      <c r="N1871" s="1455">
        <v>0</v>
      </c>
      <c r="O1871" s="1456">
        <v>0</v>
      </c>
      <c r="AA1871"/>
      <c r="AB1871"/>
    </row>
    <row r="1872" spans="3:28">
      <c r="C1872" s="1461" t="s">
        <v>5654</v>
      </c>
      <c r="D1872" s="1458">
        <v>0</v>
      </c>
      <c r="E1872" s="1458">
        <v>0</v>
      </c>
      <c r="F1872" s="1459">
        <v>0</v>
      </c>
      <c r="G1872" s="1470" t="s">
        <v>5654</v>
      </c>
      <c r="H1872" s="1456">
        <v>0</v>
      </c>
      <c r="I1872" s="1456">
        <v>0</v>
      </c>
      <c r="J1872" s="1471">
        <v>0</v>
      </c>
      <c r="K1872" s="1460"/>
      <c r="L1872" s="1454">
        <v>13215001000</v>
      </c>
      <c r="M1872" s="1455">
        <v>0</v>
      </c>
      <c r="N1872" s="1455">
        <v>0</v>
      </c>
      <c r="O1872" s="1456">
        <v>0</v>
      </c>
      <c r="AA1872"/>
      <c r="AB1872"/>
    </row>
    <row r="1873" spans="3:28">
      <c r="C1873" s="1461" t="s">
        <v>5655</v>
      </c>
      <c r="D1873" s="1458">
        <v>1</v>
      </c>
      <c r="E1873" s="1458">
        <v>1</v>
      </c>
      <c r="F1873" s="1459">
        <v>2</v>
      </c>
      <c r="G1873" s="1470" t="s">
        <v>5655</v>
      </c>
      <c r="H1873" s="1456">
        <v>1</v>
      </c>
      <c r="I1873" s="1456">
        <v>1</v>
      </c>
      <c r="J1873" s="1471">
        <v>2</v>
      </c>
      <c r="K1873" s="1460"/>
      <c r="L1873" s="1454">
        <v>13215001100</v>
      </c>
      <c r="M1873" s="1455">
        <v>1</v>
      </c>
      <c r="N1873" s="1455">
        <v>1</v>
      </c>
      <c r="O1873" s="1456">
        <v>2</v>
      </c>
      <c r="AA1873"/>
      <c r="AB1873"/>
    </row>
    <row r="1874" spans="3:28">
      <c r="C1874" s="1461" t="s">
        <v>5656</v>
      </c>
      <c r="D1874" s="1458">
        <v>1</v>
      </c>
      <c r="E1874" s="1458">
        <v>1</v>
      </c>
      <c r="F1874" s="1459">
        <v>2</v>
      </c>
      <c r="G1874" s="1470" t="s">
        <v>5656</v>
      </c>
      <c r="H1874" s="1456">
        <v>1</v>
      </c>
      <c r="I1874" s="1456">
        <v>1</v>
      </c>
      <c r="J1874" s="1471">
        <v>2</v>
      </c>
      <c r="K1874" s="1460"/>
      <c r="L1874" s="1454">
        <v>13215001200</v>
      </c>
      <c r="M1874" s="1455">
        <v>1</v>
      </c>
      <c r="N1874" s="1455">
        <v>1</v>
      </c>
      <c r="O1874" s="1456">
        <v>2</v>
      </c>
      <c r="AA1874"/>
      <c r="AB1874"/>
    </row>
    <row r="1875" spans="3:28">
      <c r="C1875" s="1461" t="s">
        <v>5657</v>
      </c>
      <c r="D1875" s="1458">
        <v>0</v>
      </c>
      <c r="E1875" s="1458">
        <v>0</v>
      </c>
      <c r="F1875" s="1459">
        <v>0</v>
      </c>
      <c r="G1875" s="1470" t="s">
        <v>5657</v>
      </c>
      <c r="H1875" s="1456">
        <v>0</v>
      </c>
      <c r="I1875" s="1456">
        <v>0</v>
      </c>
      <c r="J1875" s="1471">
        <v>0</v>
      </c>
      <c r="K1875" s="1460"/>
      <c r="L1875" s="1454">
        <v>13215001400</v>
      </c>
      <c r="M1875" s="1455">
        <v>0</v>
      </c>
      <c r="N1875" s="1455">
        <v>0</v>
      </c>
      <c r="O1875" s="1456">
        <v>0</v>
      </c>
      <c r="AA1875"/>
      <c r="AB1875"/>
    </row>
    <row r="1876" spans="3:28">
      <c r="C1876" s="1461" t="s">
        <v>5658</v>
      </c>
      <c r="D1876" s="1458">
        <v>0</v>
      </c>
      <c r="E1876" s="1458">
        <v>0</v>
      </c>
      <c r="F1876" s="1459">
        <v>0</v>
      </c>
      <c r="G1876" s="1470" t="s">
        <v>5658</v>
      </c>
      <c r="H1876" s="1456">
        <v>0</v>
      </c>
      <c r="I1876" s="1456" t="s">
        <v>3906</v>
      </c>
      <c r="J1876" s="1471">
        <v>0</v>
      </c>
      <c r="K1876" s="1460"/>
      <c r="L1876" s="1454">
        <v>13215001600</v>
      </c>
      <c r="M1876" s="1455">
        <v>0</v>
      </c>
      <c r="N1876" s="1455">
        <v>0</v>
      </c>
      <c r="O1876" s="1456">
        <v>0</v>
      </c>
      <c r="AA1876"/>
      <c r="AB1876"/>
    </row>
    <row r="1877" spans="3:28">
      <c r="C1877" s="1461" t="s">
        <v>5659</v>
      </c>
      <c r="D1877" s="1458">
        <v>0</v>
      </c>
      <c r="E1877" s="1458">
        <v>0</v>
      </c>
      <c r="F1877" s="1459">
        <v>0</v>
      </c>
      <c r="G1877" s="1470" t="s">
        <v>5659</v>
      </c>
      <c r="H1877" s="1456">
        <v>0</v>
      </c>
      <c r="I1877" s="1456">
        <v>0</v>
      </c>
      <c r="J1877" s="1471">
        <v>0</v>
      </c>
      <c r="K1877" s="1460"/>
      <c r="L1877" s="1454">
        <v>13215001800</v>
      </c>
      <c r="M1877" s="1455">
        <v>0</v>
      </c>
      <c r="N1877" s="1455">
        <v>0</v>
      </c>
      <c r="O1877" s="1456">
        <v>0</v>
      </c>
      <c r="AA1877"/>
      <c r="AB1877"/>
    </row>
    <row r="1878" spans="3:28">
      <c r="C1878" s="1461" t="s">
        <v>5660</v>
      </c>
      <c r="D1878" s="1458">
        <v>0</v>
      </c>
      <c r="E1878" s="1458">
        <v>0</v>
      </c>
      <c r="F1878" s="1459">
        <v>0</v>
      </c>
      <c r="G1878" s="1470" t="s">
        <v>5660</v>
      </c>
      <c r="H1878" s="1456">
        <v>0</v>
      </c>
      <c r="I1878" s="1456">
        <v>0</v>
      </c>
      <c r="J1878" s="1471">
        <v>0</v>
      </c>
      <c r="K1878" s="1460"/>
      <c r="L1878" s="1454">
        <v>13215002000</v>
      </c>
      <c r="M1878" s="1455">
        <v>0</v>
      </c>
      <c r="N1878" s="1455">
        <v>0</v>
      </c>
      <c r="O1878" s="1456">
        <v>0</v>
      </c>
      <c r="AA1878"/>
      <c r="AB1878"/>
    </row>
    <row r="1879" spans="3:28">
      <c r="C1879" s="1461" t="s">
        <v>5661</v>
      </c>
      <c r="D1879" s="1458">
        <v>0</v>
      </c>
      <c r="E1879" s="1458">
        <v>0</v>
      </c>
      <c r="F1879" s="1459">
        <v>0</v>
      </c>
      <c r="G1879" s="1470" t="s">
        <v>5661</v>
      </c>
      <c r="H1879" s="1456">
        <v>0</v>
      </c>
      <c r="I1879" s="1456">
        <v>0</v>
      </c>
      <c r="J1879" s="1471">
        <v>0</v>
      </c>
      <c r="K1879" s="1460"/>
      <c r="L1879" s="1454">
        <v>13215002100</v>
      </c>
      <c r="M1879" s="1455">
        <v>0</v>
      </c>
      <c r="N1879" s="1455">
        <v>0</v>
      </c>
      <c r="O1879" s="1456">
        <v>0</v>
      </c>
      <c r="AA1879"/>
      <c r="AB1879"/>
    </row>
    <row r="1880" spans="3:28">
      <c r="C1880" s="1461" t="s">
        <v>5662</v>
      </c>
      <c r="D1880" s="1458">
        <v>0</v>
      </c>
      <c r="E1880" s="1458">
        <v>0</v>
      </c>
      <c r="F1880" s="1459">
        <v>0</v>
      </c>
      <c r="G1880" s="1470" t="s">
        <v>5662</v>
      </c>
      <c r="H1880" s="1456">
        <v>0</v>
      </c>
      <c r="I1880" s="1456">
        <v>0</v>
      </c>
      <c r="J1880" s="1471">
        <v>0</v>
      </c>
      <c r="K1880" s="1460"/>
      <c r="L1880" s="1454">
        <v>13215002200</v>
      </c>
      <c r="M1880" s="1455">
        <v>0</v>
      </c>
      <c r="N1880" s="1455">
        <v>0</v>
      </c>
      <c r="O1880" s="1456">
        <v>0</v>
      </c>
      <c r="AA1880"/>
      <c r="AB1880"/>
    </row>
    <row r="1881" spans="3:28">
      <c r="C1881" s="1461" t="s">
        <v>5663</v>
      </c>
      <c r="D1881" s="1458">
        <v>0</v>
      </c>
      <c r="E1881" s="1458">
        <v>0</v>
      </c>
      <c r="F1881" s="1459">
        <v>0</v>
      </c>
      <c r="G1881" s="1470" t="s">
        <v>5663</v>
      </c>
      <c r="H1881" s="1456">
        <v>0</v>
      </c>
      <c r="I1881" s="1456">
        <v>0</v>
      </c>
      <c r="J1881" s="1471">
        <v>0</v>
      </c>
      <c r="K1881" s="1460"/>
      <c r="L1881" s="1454">
        <v>13215002300</v>
      </c>
      <c r="M1881" s="1455">
        <v>0</v>
      </c>
      <c r="N1881" s="1455">
        <v>0</v>
      </c>
      <c r="O1881" s="1456">
        <v>0</v>
      </c>
      <c r="AA1881"/>
      <c r="AB1881"/>
    </row>
    <row r="1882" spans="3:28">
      <c r="C1882" s="1461" t="s">
        <v>5664</v>
      </c>
      <c r="D1882" s="1458">
        <v>0</v>
      </c>
      <c r="E1882" s="1458">
        <v>0</v>
      </c>
      <c r="F1882" s="1459">
        <v>0</v>
      </c>
      <c r="G1882" s="1470" t="s">
        <v>5664</v>
      </c>
      <c r="H1882" s="1456">
        <v>0</v>
      </c>
      <c r="I1882" s="1456">
        <v>0</v>
      </c>
      <c r="J1882" s="1471">
        <v>0</v>
      </c>
      <c r="K1882" s="1460"/>
      <c r="L1882" s="1454">
        <v>13215002400</v>
      </c>
      <c r="M1882" s="1455">
        <v>0</v>
      </c>
      <c r="N1882" s="1455">
        <v>0</v>
      </c>
      <c r="O1882" s="1456">
        <v>0</v>
      </c>
      <c r="AA1882"/>
      <c r="AB1882"/>
    </row>
    <row r="1883" spans="3:28">
      <c r="C1883" s="1461" t="s">
        <v>5665</v>
      </c>
      <c r="D1883" s="1458">
        <v>0</v>
      </c>
      <c r="E1883" s="1458">
        <v>0</v>
      </c>
      <c r="F1883" s="1459">
        <v>0</v>
      </c>
      <c r="G1883" s="1470" t="s">
        <v>5665</v>
      </c>
      <c r="H1883" s="1456">
        <v>0</v>
      </c>
      <c r="I1883" s="1456">
        <v>0</v>
      </c>
      <c r="J1883" s="1471">
        <v>0</v>
      </c>
      <c r="K1883" s="1460"/>
      <c r="L1883" s="1454">
        <v>13215002500</v>
      </c>
      <c r="M1883" s="1455">
        <v>0</v>
      </c>
      <c r="N1883" s="1455">
        <v>0</v>
      </c>
      <c r="O1883" s="1456">
        <v>0</v>
      </c>
      <c r="AA1883"/>
      <c r="AB1883"/>
    </row>
    <row r="1884" spans="3:28">
      <c r="C1884" s="1461" t="s">
        <v>5666</v>
      </c>
      <c r="D1884" s="1458">
        <v>0</v>
      </c>
      <c r="E1884" s="1458">
        <v>0</v>
      </c>
      <c r="F1884" s="1459">
        <v>0</v>
      </c>
      <c r="G1884" s="1470" t="s">
        <v>5666</v>
      </c>
      <c r="H1884" s="1456">
        <v>0</v>
      </c>
      <c r="I1884" s="1456">
        <v>0</v>
      </c>
      <c r="J1884" s="1471">
        <v>0</v>
      </c>
      <c r="K1884" s="1460"/>
      <c r="L1884" s="1454">
        <v>13215002700</v>
      </c>
      <c r="M1884" s="1455">
        <v>0</v>
      </c>
      <c r="N1884" s="1455">
        <v>0</v>
      </c>
      <c r="O1884" s="1456">
        <v>0</v>
      </c>
      <c r="AA1884"/>
      <c r="AB1884"/>
    </row>
    <row r="1885" spans="3:28">
      <c r="C1885" s="1461" t="s">
        <v>5667</v>
      </c>
      <c r="D1885" s="1458">
        <v>0</v>
      </c>
      <c r="E1885" s="1458">
        <v>0</v>
      </c>
      <c r="F1885" s="1459">
        <v>0</v>
      </c>
      <c r="G1885" s="1470" t="s">
        <v>5667</v>
      </c>
      <c r="H1885" s="1456">
        <v>0</v>
      </c>
      <c r="I1885" s="1456">
        <v>0</v>
      </c>
      <c r="J1885" s="1471">
        <v>0</v>
      </c>
      <c r="K1885" s="1460"/>
      <c r="L1885" s="1454">
        <v>13215002800</v>
      </c>
      <c r="M1885" s="1455">
        <v>0</v>
      </c>
      <c r="N1885" s="1455">
        <v>0</v>
      </c>
      <c r="O1885" s="1456">
        <v>0</v>
      </c>
      <c r="AA1885"/>
      <c r="AB1885"/>
    </row>
    <row r="1886" spans="3:28">
      <c r="C1886" s="1461" t="s">
        <v>5668</v>
      </c>
      <c r="D1886" s="1458">
        <v>0</v>
      </c>
      <c r="E1886" s="1458">
        <v>0</v>
      </c>
      <c r="F1886" s="1459">
        <v>0</v>
      </c>
      <c r="G1886" s="1470" t="s">
        <v>5668</v>
      </c>
      <c r="H1886" s="1456">
        <v>0</v>
      </c>
      <c r="I1886" s="1456">
        <v>0</v>
      </c>
      <c r="J1886" s="1471">
        <v>0</v>
      </c>
      <c r="K1886" s="1460"/>
      <c r="L1886" s="1454">
        <v>13215002901</v>
      </c>
      <c r="M1886" s="1455">
        <v>0</v>
      </c>
      <c r="N1886" s="1455">
        <v>0</v>
      </c>
      <c r="O1886" s="1456">
        <v>0</v>
      </c>
      <c r="AA1886"/>
      <c r="AB1886"/>
    </row>
    <row r="1887" spans="3:28">
      <c r="C1887" s="1461" t="s">
        <v>5669</v>
      </c>
      <c r="D1887" s="1458">
        <v>0</v>
      </c>
      <c r="E1887" s="1458">
        <v>0</v>
      </c>
      <c r="F1887" s="1459">
        <v>0</v>
      </c>
      <c r="G1887" s="1470" t="s">
        <v>5669</v>
      </c>
      <c r="H1887" s="1456">
        <v>0</v>
      </c>
      <c r="I1887" s="1456">
        <v>0</v>
      </c>
      <c r="J1887" s="1471">
        <v>0</v>
      </c>
      <c r="K1887" s="1460"/>
      <c r="L1887" s="1454">
        <v>13215002902</v>
      </c>
      <c r="M1887" s="1455">
        <v>0</v>
      </c>
      <c r="N1887" s="1455">
        <v>0</v>
      </c>
      <c r="O1887" s="1456">
        <v>0</v>
      </c>
      <c r="AA1887"/>
      <c r="AB1887"/>
    </row>
    <row r="1888" spans="3:28">
      <c r="C1888" s="1461" t="s">
        <v>5670</v>
      </c>
      <c r="D1888" s="1458">
        <v>0</v>
      </c>
      <c r="E1888" s="1458">
        <v>0</v>
      </c>
      <c r="F1888" s="1459">
        <v>0</v>
      </c>
      <c r="G1888" s="1470" t="s">
        <v>5670</v>
      </c>
      <c r="H1888" s="1456">
        <v>0</v>
      </c>
      <c r="I1888" s="1456" t="s">
        <v>3906</v>
      </c>
      <c r="J1888" s="1471">
        <v>0</v>
      </c>
      <c r="K1888" s="1460"/>
      <c r="L1888" s="1454">
        <v>13215003000</v>
      </c>
      <c r="M1888" s="1455">
        <v>0</v>
      </c>
      <c r="N1888" s="1455">
        <v>0</v>
      </c>
      <c r="O1888" s="1456">
        <v>0</v>
      </c>
      <c r="AA1888"/>
      <c r="AB1888"/>
    </row>
    <row r="1889" spans="3:28">
      <c r="C1889" s="1461" t="s">
        <v>5671</v>
      </c>
      <c r="D1889" s="1458">
        <v>0</v>
      </c>
      <c r="E1889" s="1458">
        <v>0</v>
      </c>
      <c r="F1889" s="1459">
        <v>0</v>
      </c>
      <c r="G1889" s="1470" t="s">
        <v>5671</v>
      </c>
      <c r="H1889" s="1456">
        <v>0</v>
      </c>
      <c r="I1889" s="1456">
        <v>0</v>
      </c>
      <c r="J1889" s="1471">
        <v>0</v>
      </c>
      <c r="K1889" s="1460"/>
      <c r="L1889" s="1454">
        <v>13215003200</v>
      </c>
      <c r="M1889" s="1455">
        <v>0</v>
      </c>
      <c r="N1889" s="1455">
        <v>0</v>
      </c>
      <c r="O1889" s="1456">
        <v>0</v>
      </c>
      <c r="AA1889"/>
      <c r="AB1889"/>
    </row>
    <row r="1890" spans="3:28">
      <c r="C1890" s="1461" t="s">
        <v>5672</v>
      </c>
      <c r="D1890" s="1458">
        <v>0</v>
      </c>
      <c r="E1890" s="1458">
        <v>0</v>
      </c>
      <c r="F1890" s="1459">
        <v>0</v>
      </c>
      <c r="G1890" s="1470" t="s">
        <v>5672</v>
      </c>
      <c r="H1890" s="1456">
        <v>0</v>
      </c>
      <c r="I1890" s="1456">
        <v>0</v>
      </c>
      <c r="J1890" s="1471">
        <v>0</v>
      </c>
      <c r="K1890" s="1460"/>
      <c r="L1890" s="1454">
        <v>13215003301</v>
      </c>
      <c r="M1890" s="1455">
        <v>0</v>
      </c>
      <c r="N1890" s="1455">
        <v>0</v>
      </c>
      <c r="O1890" s="1456">
        <v>0</v>
      </c>
      <c r="AA1890"/>
      <c r="AB1890"/>
    </row>
    <row r="1891" spans="3:28">
      <c r="C1891" s="1461" t="s">
        <v>5673</v>
      </c>
      <c r="D1891" s="1458">
        <v>0</v>
      </c>
      <c r="E1891" s="1458">
        <v>0</v>
      </c>
      <c r="F1891" s="1459">
        <v>0</v>
      </c>
      <c r="G1891" s="1470" t="s">
        <v>5673</v>
      </c>
      <c r="H1891" s="1456">
        <v>0</v>
      </c>
      <c r="I1891" s="1456">
        <v>0</v>
      </c>
      <c r="J1891" s="1471">
        <v>0</v>
      </c>
      <c r="K1891" s="1460"/>
      <c r="L1891" s="1454">
        <v>13215003302</v>
      </c>
      <c r="M1891" s="1455">
        <v>0</v>
      </c>
      <c r="N1891" s="1455">
        <v>0</v>
      </c>
      <c r="O1891" s="1456">
        <v>0</v>
      </c>
      <c r="AA1891"/>
      <c r="AB1891"/>
    </row>
    <row r="1892" spans="3:28">
      <c r="C1892" s="1461" t="s">
        <v>5674</v>
      </c>
      <c r="D1892" s="1458">
        <v>0</v>
      </c>
      <c r="E1892" s="1458">
        <v>0</v>
      </c>
      <c r="F1892" s="1459">
        <v>0</v>
      </c>
      <c r="G1892" s="1470" t="s">
        <v>5674</v>
      </c>
      <c r="H1892" s="1456">
        <v>0</v>
      </c>
      <c r="I1892" s="1456">
        <v>0</v>
      </c>
      <c r="J1892" s="1471">
        <v>0</v>
      </c>
      <c r="K1892" s="1460"/>
      <c r="L1892" s="1454">
        <v>13215003400</v>
      </c>
      <c r="M1892" s="1455">
        <v>0</v>
      </c>
      <c r="N1892" s="1455">
        <v>0</v>
      </c>
      <c r="O1892" s="1456">
        <v>0</v>
      </c>
      <c r="AA1892"/>
      <c r="AB1892"/>
    </row>
    <row r="1893" spans="3:28">
      <c r="C1893" s="1461" t="s">
        <v>5675</v>
      </c>
      <c r="D1893" s="1458">
        <v>1</v>
      </c>
      <c r="E1893" s="1458">
        <v>1</v>
      </c>
      <c r="F1893" s="1459">
        <v>2</v>
      </c>
      <c r="G1893" s="1470" t="s">
        <v>5675</v>
      </c>
      <c r="H1893" s="1456">
        <v>1</v>
      </c>
      <c r="I1893" s="1456">
        <v>1</v>
      </c>
      <c r="J1893" s="1471">
        <v>2</v>
      </c>
      <c r="K1893" s="1460"/>
      <c r="L1893" s="1454">
        <v>13215010104</v>
      </c>
      <c r="M1893" s="1455">
        <v>1</v>
      </c>
      <c r="N1893" s="1455">
        <v>1</v>
      </c>
      <c r="O1893" s="1456">
        <v>2</v>
      </c>
      <c r="AA1893"/>
      <c r="AB1893"/>
    </row>
    <row r="1894" spans="3:28">
      <c r="C1894" s="1461" t="s">
        <v>5676</v>
      </c>
      <c r="D1894" s="1458">
        <v>0</v>
      </c>
      <c r="E1894" s="1458">
        <v>1</v>
      </c>
      <c r="F1894" s="1459">
        <v>1</v>
      </c>
      <c r="G1894" s="1470" t="s">
        <v>5676</v>
      </c>
      <c r="H1894" s="1456">
        <v>0</v>
      </c>
      <c r="I1894" s="1456">
        <v>1</v>
      </c>
      <c r="J1894" s="1471">
        <v>1</v>
      </c>
      <c r="K1894" s="1460"/>
      <c r="L1894" s="1454">
        <v>13215010106</v>
      </c>
      <c r="M1894" s="1455">
        <v>0</v>
      </c>
      <c r="N1894" s="1455">
        <v>1</v>
      </c>
      <c r="O1894" s="1456">
        <v>1</v>
      </c>
      <c r="AA1894"/>
      <c r="AB1894"/>
    </row>
    <row r="1895" spans="3:28">
      <c r="C1895" s="1461" t="s">
        <v>5677</v>
      </c>
      <c r="D1895" s="1458">
        <v>1</v>
      </c>
      <c r="E1895" s="1458">
        <v>1</v>
      </c>
      <c r="F1895" s="1459">
        <v>2</v>
      </c>
      <c r="G1895" s="1470" t="s">
        <v>5677</v>
      </c>
      <c r="H1895" s="1456">
        <v>1</v>
      </c>
      <c r="I1895" s="1456">
        <v>1</v>
      </c>
      <c r="J1895" s="1471">
        <v>2</v>
      </c>
      <c r="K1895" s="1460"/>
      <c r="L1895" s="1454">
        <v>13215010107</v>
      </c>
      <c r="M1895" s="1455">
        <v>1</v>
      </c>
      <c r="N1895" s="1455">
        <v>1</v>
      </c>
      <c r="O1895" s="1456">
        <v>2</v>
      </c>
      <c r="AA1895"/>
      <c r="AB1895"/>
    </row>
    <row r="1896" spans="3:28">
      <c r="C1896" s="1461" t="s">
        <v>5678</v>
      </c>
      <c r="D1896" s="1458">
        <v>1</v>
      </c>
      <c r="E1896" s="1458">
        <v>1</v>
      </c>
      <c r="F1896" s="1459">
        <v>2</v>
      </c>
      <c r="G1896" s="1470" t="s">
        <v>5678</v>
      </c>
      <c r="H1896" s="1456">
        <v>1</v>
      </c>
      <c r="I1896" s="1456">
        <v>1</v>
      </c>
      <c r="J1896" s="1471">
        <v>2</v>
      </c>
      <c r="K1896" s="1460"/>
      <c r="L1896" s="1454">
        <v>13215010201</v>
      </c>
      <c r="M1896" s="1455">
        <v>1</v>
      </c>
      <c r="N1896" s="1455">
        <v>1</v>
      </c>
      <c r="O1896" s="1456">
        <v>2</v>
      </c>
      <c r="AA1896"/>
      <c r="AB1896"/>
    </row>
    <row r="1897" spans="3:28">
      <c r="C1897" s="1461" t="s">
        <v>5679</v>
      </c>
      <c r="D1897" s="1458">
        <v>1</v>
      </c>
      <c r="E1897" s="1458">
        <v>1</v>
      </c>
      <c r="F1897" s="1459">
        <v>2</v>
      </c>
      <c r="G1897" s="1470" t="s">
        <v>5679</v>
      </c>
      <c r="H1897" s="1456">
        <v>1</v>
      </c>
      <c r="I1897" s="1456">
        <v>1</v>
      </c>
      <c r="J1897" s="1471">
        <v>2</v>
      </c>
      <c r="K1897" s="1460"/>
      <c r="L1897" s="1454">
        <v>13215010203</v>
      </c>
      <c r="M1897" s="1455">
        <v>1</v>
      </c>
      <c r="N1897" s="1455">
        <v>1</v>
      </c>
      <c r="O1897" s="1456">
        <v>2</v>
      </c>
      <c r="AA1897"/>
      <c r="AB1897"/>
    </row>
    <row r="1898" spans="3:28">
      <c r="C1898" s="1461" t="s">
        <v>5680</v>
      </c>
      <c r="D1898" s="1458">
        <v>1</v>
      </c>
      <c r="E1898" s="1458">
        <v>1</v>
      </c>
      <c r="F1898" s="1459">
        <v>2</v>
      </c>
      <c r="G1898" s="1470" t="s">
        <v>5680</v>
      </c>
      <c r="H1898" s="1456">
        <v>1</v>
      </c>
      <c r="I1898" s="1456">
        <v>1</v>
      </c>
      <c r="J1898" s="1471">
        <v>2</v>
      </c>
      <c r="K1898" s="1460"/>
      <c r="L1898" s="1454">
        <v>13215010204</v>
      </c>
      <c r="M1898" s="1455">
        <v>1</v>
      </c>
      <c r="N1898" s="1455">
        <v>1</v>
      </c>
      <c r="O1898" s="1456">
        <v>2</v>
      </c>
      <c r="AA1898"/>
      <c r="AB1898"/>
    </row>
    <row r="1899" spans="3:28">
      <c r="C1899" s="1461" t="s">
        <v>5681</v>
      </c>
      <c r="D1899" s="1458">
        <v>1</v>
      </c>
      <c r="E1899" s="1458">
        <v>1</v>
      </c>
      <c r="F1899" s="1459">
        <v>2</v>
      </c>
      <c r="G1899" s="1470" t="s">
        <v>5681</v>
      </c>
      <c r="H1899" s="1456">
        <v>1</v>
      </c>
      <c r="I1899" s="1456">
        <v>1</v>
      </c>
      <c r="J1899" s="1471">
        <v>2</v>
      </c>
      <c r="K1899" s="1460"/>
      <c r="L1899" s="1454">
        <v>13215010205</v>
      </c>
      <c r="M1899" s="1455">
        <v>1</v>
      </c>
      <c r="N1899" s="1455">
        <v>1</v>
      </c>
      <c r="O1899" s="1456">
        <v>2</v>
      </c>
      <c r="AA1899"/>
      <c r="AB1899"/>
    </row>
    <row r="1900" spans="3:28">
      <c r="C1900" s="1461" t="s">
        <v>5682</v>
      </c>
      <c r="D1900" s="1458">
        <v>1</v>
      </c>
      <c r="E1900" s="1458">
        <v>1</v>
      </c>
      <c r="F1900" s="1459">
        <v>2</v>
      </c>
      <c r="G1900" s="1470" t="s">
        <v>5682</v>
      </c>
      <c r="H1900" s="1456">
        <v>1</v>
      </c>
      <c r="I1900" s="1456">
        <v>1</v>
      </c>
      <c r="J1900" s="1471">
        <v>2</v>
      </c>
      <c r="K1900" s="1460"/>
      <c r="L1900" s="1454">
        <v>13215010301</v>
      </c>
      <c r="M1900" s="1455">
        <v>1</v>
      </c>
      <c r="N1900" s="1455">
        <v>1</v>
      </c>
      <c r="O1900" s="1456">
        <v>2</v>
      </c>
      <c r="AA1900"/>
      <c r="AB1900"/>
    </row>
    <row r="1901" spans="3:28">
      <c r="C1901" s="1461" t="s">
        <v>5683</v>
      </c>
      <c r="D1901" s="1458">
        <v>1</v>
      </c>
      <c r="E1901" s="1458">
        <v>1</v>
      </c>
      <c r="F1901" s="1459">
        <v>2</v>
      </c>
      <c r="G1901" s="1470" t="s">
        <v>5683</v>
      </c>
      <c r="H1901" s="1456">
        <v>1</v>
      </c>
      <c r="I1901" s="1456">
        <v>1</v>
      </c>
      <c r="J1901" s="1471">
        <v>2</v>
      </c>
      <c r="K1901" s="1460"/>
      <c r="L1901" s="1454">
        <v>13215010302</v>
      </c>
      <c r="M1901" s="1455">
        <v>1</v>
      </c>
      <c r="N1901" s="1455">
        <v>1</v>
      </c>
      <c r="O1901" s="1456">
        <v>2</v>
      </c>
      <c r="AA1901"/>
      <c r="AB1901"/>
    </row>
    <row r="1902" spans="3:28">
      <c r="C1902" s="1461" t="s">
        <v>5684</v>
      </c>
      <c r="D1902" s="1458">
        <v>1</v>
      </c>
      <c r="E1902" s="1458">
        <v>1</v>
      </c>
      <c r="F1902" s="1459">
        <v>2</v>
      </c>
      <c r="G1902" s="1470" t="s">
        <v>5684</v>
      </c>
      <c r="H1902" s="1456">
        <v>1</v>
      </c>
      <c r="I1902" s="1456">
        <v>1</v>
      </c>
      <c r="J1902" s="1471">
        <v>2</v>
      </c>
      <c r="K1902" s="1460"/>
      <c r="L1902" s="1454">
        <v>13215010401</v>
      </c>
      <c r="M1902" s="1455">
        <v>1</v>
      </c>
      <c r="N1902" s="1455">
        <v>1</v>
      </c>
      <c r="O1902" s="1456">
        <v>2</v>
      </c>
      <c r="AA1902"/>
      <c r="AB1902"/>
    </row>
    <row r="1903" spans="3:28">
      <c r="C1903" s="1461" t="s">
        <v>5685</v>
      </c>
      <c r="D1903" s="1458">
        <v>1</v>
      </c>
      <c r="E1903" s="1458">
        <v>0</v>
      </c>
      <c r="F1903" s="1459">
        <v>1</v>
      </c>
      <c r="G1903" s="1470" t="s">
        <v>5685</v>
      </c>
      <c r="H1903" s="1456">
        <v>1</v>
      </c>
      <c r="I1903" s="1456">
        <v>0</v>
      </c>
      <c r="J1903" s="1471">
        <v>0</v>
      </c>
      <c r="K1903" s="1460"/>
      <c r="L1903" s="1454">
        <v>13215010402</v>
      </c>
      <c r="M1903" s="1455">
        <v>1</v>
      </c>
      <c r="N1903" s="1455">
        <v>0</v>
      </c>
      <c r="O1903" s="1456">
        <v>1</v>
      </c>
      <c r="AA1903"/>
      <c r="AB1903"/>
    </row>
    <row r="1904" spans="3:28">
      <c r="C1904" s="1461" t="s">
        <v>5686</v>
      </c>
      <c r="D1904" s="1458">
        <v>1</v>
      </c>
      <c r="E1904" s="1458">
        <v>0</v>
      </c>
      <c r="F1904" s="1459">
        <v>1</v>
      </c>
      <c r="G1904" s="1470" t="s">
        <v>5686</v>
      </c>
      <c r="H1904" s="1456">
        <v>0</v>
      </c>
      <c r="I1904" s="1456">
        <v>1</v>
      </c>
      <c r="J1904" s="1471">
        <v>1</v>
      </c>
      <c r="K1904" s="1460"/>
      <c r="L1904" s="1454">
        <v>13215010501</v>
      </c>
      <c r="M1904" s="1455">
        <v>1</v>
      </c>
      <c r="N1904" s="1455">
        <v>1</v>
      </c>
      <c r="O1904" s="1456">
        <v>1</v>
      </c>
      <c r="AA1904"/>
      <c r="AB1904"/>
    </row>
    <row r="1905" spans="3:28">
      <c r="C1905" s="1461" t="s">
        <v>5687</v>
      </c>
      <c r="D1905" s="1458">
        <v>0</v>
      </c>
      <c r="E1905" s="1458">
        <v>0</v>
      </c>
      <c r="F1905" s="1459">
        <v>0</v>
      </c>
      <c r="G1905" s="1470" t="s">
        <v>5687</v>
      </c>
      <c r="H1905" s="1456">
        <v>0</v>
      </c>
      <c r="I1905" s="1456">
        <v>0</v>
      </c>
      <c r="J1905" s="1471">
        <v>0</v>
      </c>
      <c r="K1905" s="1460"/>
      <c r="L1905" s="1454">
        <v>13215010502</v>
      </c>
      <c r="M1905" s="1455">
        <v>0</v>
      </c>
      <c r="N1905" s="1455">
        <v>0</v>
      </c>
      <c r="O1905" s="1456">
        <v>0</v>
      </c>
      <c r="AA1905"/>
      <c r="AB1905"/>
    </row>
    <row r="1906" spans="3:28">
      <c r="C1906" s="1461" t="s">
        <v>5688</v>
      </c>
      <c r="D1906" s="1458">
        <v>0</v>
      </c>
      <c r="E1906" s="1458">
        <v>0</v>
      </c>
      <c r="F1906" s="1459">
        <v>0</v>
      </c>
      <c r="G1906" s="1470" t="s">
        <v>5688</v>
      </c>
      <c r="H1906" s="1456">
        <v>0</v>
      </c>
      <c r="I1906" s="1456">
        <v>0</v>
      </c>
      <c r="J1906" s="1471">
        <v>0</v>
      </c>
      <c r="K1906" s="1460"/>
      <c r="L1906" s="1454">
        <v>13215010602</v>
      </c>
      <c r="M1906" s="1455">
        <v>0</v>
      </c>
      <c r="N1906" s="1455">
        <v>0</v>
      </c>
      <c r="O1906" s="1456">
        <v>0</v>
      </c>
      <c r="AA1906"/>
      <c r="AB1906"/>
    </row>
    <row r="1907" spans="3:28">
      <c r="C1907" s="1461" t="s">
        <v>5689</v>
      </c>
      <c r="D1907" s="1458">
        <v>0</v>
      </c>
      <c r="E1907" s="1458">
        <v>0</v>
      </c>
      <c r="F1907" s="1459">
        <v>0</v>
      </c>
      <c r="G1907" s="1470" t="s">
        <v>5689</v>
      </c>
      <c r="H1907" s="1456">
        <v>0</v>
      </c>
      <c r="I1907" s="1456">
        <v>1</v>
      </c>
      <c r="J1907" s="1471">
        <v>1</v>
      </c>
      <c r="K1907" s="1460"/>
      <c r="L1907" s="1454">
        <v>13215010605</v>
      </c>
      <c r="M1907" s="1455">
        <v>0</v>
      </c>
      <c r="N1907" s="1455">
        <v>1</v>
      </c>
      <c r="O1907" s="1456">
        <v>1</v>
      </c>
      <c r="AA1907"/>
      <c r="AB1907"/>
    </row>
    <row r="1908" spans="3:28">
      <c r="C1908" s="1461" t="s">
        <v>5690</v>
      </c>
      <c r="D1908" s="1458" t="s">
        <v>3906</v>
      </c>
      <c r="E1908" s="1458">
        <v>0</v>
      </c>
      <c r="F1908" s="1459">
        <v>0</v>
      </c>
      <c r="G1908" s="1470" t="s">
        <v>5690</v>
      </c>
      <c r="H1908" s="1456" t="s">
        <v>3906</v>
      </c>
      <c r="I1908" s="1456" t="s">
        <v>3906</v>
      </c>
      <c r="J1908" s="1471">
        <v>0</v>
      </c>
      <c r="K1908" s="1460"/>
      <c r="L1908" s="1454">
        <v>13215010606</v>
      </c>
      <c r="M1908" s="1455">
        <v>0</v>
      </c>
      <c r="N1908" s="1455">
        <v>0</v>
      </c>
      <c r="O1908" s="1456">
        <v>0</v>
      </c>
      <c r="AA1908"/>
      <c r="AB1908"/>
    </row>
    <row r="1909" spans="3:28">
      <c r="C1909" s="1461" t="s">
        <v>5691</v>
      </c>
      <c r="D1909" s="1458">
        <v>0</v>
      </c>
      <c r="E1909" s="1458">
        <v>0</v>
      </c>
      <c r="F1909" s="1459">
        <v>0</v>
      </c>
      <c r="G1909" s="1470" t="s">
        <v>5691</v>
      </c>
      <c r="H1909" s="1456">
        <v>0</v>
      </c>
      <c r="I1909" s="1456">
        <v>0</v>
      </c>
      <c r="J1909" s="1471">
        <v>0</v>
      </c>
      <c r="K1909" s="1460"/>
      <c r="L1909" s="1454">
        <v>13215010607</v>
      </c>
      <c r="M1909" s="1455">
        <v>0</v>
      </c>
      <c r="N1909" s="1455">
        <v>0</v>
      </c>
      <c r="O1909" s="1456">
        <v>0</v>
      </c>
      <c r="AA1909"/>
      <c r="AB1909"/>
    </row>
    <row r="1910" spans="3:28">
      <c r="C1910" s="1461" t="s">
        <v>5692</v>
      </c>
      <c r="D1910" s="1458">
        <v>0</v>
      </c>
      <c r="E1910" s="1458">
        <v>0</v>
      </c>
      <c r="F1910" s="1459">
        <v>0</v>
      </c>
      <c r="G1910" s="1470" t="s">
        <v>5692</v>
      </c>
      <c r="H1910" s="1456">
        <v>0</v>
      </c>
      <c r="I1910" s="1456">
        <v>0</v>
      </c>
      <c r="J1910" s="1471">
        <v>0</v>
      </c>
      <c r="K1910" s="1460"/>
      <c r="L1910" s="1454">
        <v>13215010608</v>
      </c>
      <c r="M1910" s="1455">
        <v>0</v>
      </c>
      <c r="N1910" s="1455">
        <v>0</v>
      </c>
      <c r="O1910" s="1456">
        <v>0</v>
      </c>
      <c r="AA1910"/>
      <c r="AB1910"/>
    </row>
    <row r="1911" spans="3:28">
      <c r="C1911" s="1461" t="s">
        <v>5693</v>
      </c>
      <c r="D1911" s="1458">
        <v>0</v>
      </c>
      <c r="E1911" s="1458">
        <v>0</v>
      </c>
      <c r="F1911" s="1459">
        <v>0</v>
      </c>
      <c r="G1911" s="1470" t="s">
        <v>5693</v>
      </c>
      <c r="H1911" s="1456">
        <v>0</v>
      </c>
      <c r="I1911" s="1456">
        <v>0</v>
      </c>
      <c r="J1911" s="1471">
        <v>0</v>
      </c>
      <c r="K1911" s="1460"/>
      <c r="L1911" s="1454">
        <v>13215010701</v>
      </c>
      <c r="M1911" s="1455">
        <v>0</v>
      </c>
      <c r="N1911" s="1455">
        <v>0</v>
      </c>
      <c r="O1911" s="1456">
        <v>0</v>
      </c>
      <c r="AA1911"/>
      <c r="AB1911"/>
    </row>
    <row r="1912" spans="3:28">
      <c r="C1912" s="1461" t="s">
        <v>5694</v>
      </c>
      <c r="D1912" s="1458">
        <v>0</v>
      </c>
      <c r="E1912" s="1458">
        <v>0</v>
      </c>
      <c r="F1912" s="1459">
        <v>0</v>
      </c>
      <c r="G1912" s="1470" t="s">
        <v>5694</v>
      </c>
      <c r="H1912" s="1456">
        <v>1</v>
      </c>
      <c r="I1912" s="1456">
        <v>0</v>
      </c>
      <c r="J1912" s="1471">
        <v>0</v>
      </c>
      <c r="K1912" s="1460"/>
      <c r="L1912" s="1454">
        <v>13215010702</v>
      </c>
      <c r="M1912" s="1455">
        <v>1</v>
      </c>
      <c r="N1912" s="1455">
        <v>0</v>
      </c>
      <c r="O1912" s="1456">
        <v>0</v>
      </c>
      <c r="AA1912"/>
      <c r="AB1912"/>
    </row>
    <row r="1913" spans="3:28">
      <c r="C1913" s="1461" t="s">
        <v>5695</v>
      </c>
      <c r="D1913" s="1458">
        <v>0</v>
      </c>
      <c r="E1913" s="1458">
        <v>0</v>
      </c>
      <c r="F1913" s="1459">
        <v>0</v>
      </c>
      <c r="G1913" s="1470" t="s">
        <v>5695</v>
      </c>
      <c r="H1913" s="1456">
        <v>0</v>
      </c>
      <c r="I1913" s="1456">
        <v>0</v>
      </c>
      <c r="J1913" s="1471">
        <v>0</v>
      </c>
      <c r="K1913" s="1460"/>
      <c r="L1913" s="1454">
        <v>13215010703</v>
      </c>
      <c r="M1913" s="1455">
        <v>0</v>
      </c>
      <c r="N1913" s="1455">
        <v>0</v>
      </c>
      <c r="O1913" s="1456">
        <v>0</v>
      </c>
      <c r="AA1913"/>
      <c r="AB1913"/>
    </row>
    <row r="1914" spans="3:28">
      <c r="C1914" s="1461" t="s">
        <v>5696</v>
      </c>
      <c r="D1914" s="1458">
        <v>0</v>
      </c>
      <c r="E1914" s="1458">
        <v>1</v>
      </c>
      <c r="F1914" s="1459">
        <v>1</v>
      </c>
      <c r="G1914" s="1470" t="s">
        <v>5696</v>
      </c>
      <c r="H1914" s="1456">
        <v>0</v>
      </c>
      <c r="I1914" s="1456" t="s">
        <v>3906</v>
      </c>
      <c r="J1914" s="1471">
        <v>0</v>
      </c>
      <c r="K1914" s="1460"/>
      <c r="L1914" s="1454">
        <v>13215010801</v>
      </c>
      <c r="M1914" s="1455">
        <v>0</v>
      </c>
      <c r="N1914" s="1455">
        <v>1</v>
      </c>
      <c r="O1914" s="1456">
        <v>1</v>
      </c>
      <c r="AA1914"/>
      <c r="AB1914"/>
    </row>
    <row r="1915" spans="3:28">
      <c r="C1915" s="1461" t="s">
        <v>5697</v>
      </c>
      <c r="D1915" s="1458">
        <v>0</v>
      </c>
      <c r="E1915" s="1458">
        <v>1</v>
      </c>
      <c r="F1915" s="1459">
        <v>1</v>
      </c>
      <c r="G1915" s="1470" t="s">
        <v>5697</v>
      </c>
      <c r="H1915" s="1456">
        <v>1</v>
      </c>
      <c r="I1915" s="1456" t="s">
        <v>3906</v>
      </c>
      <c r="J1915" s="1471">
        <v>1</v>
      </c>
      <c r="K1915" s="1460"/>
      <c r="L1915" s="1454">
        <v>13215010802</v>
      </c>
      <c r="M1915" s="1455">
        <v>1</v>
      </c>
      <c r="N1915" s="1455">
        <v>1</v>
      </c>
      <c r="O1915" s="1456">
        <v>1</v>
      </c>
      <c r="AA1915"/>
      <c r="AB1915"/>
    </row>
    <row r="1916" spans="3:28">
      <c r="C1916" s="1461" t="s">
        <v>5698</v>
      </c>
      <c r="D1916" s="1458">
        <v>0</v>
      </c>
      <c r="E1916" s="1458">
        <v>0</v>
      </c>
      <c r="F1916" s="1459">
        <v>0</v>
      </c>
      <c r="G1916" s="1470" t="s">
        <v>5698</v>
      </c>
      <c r="H1916" s="1456">
        <v>0</v>
      </c>
      <c r="I1916" s="1456">
        <v>0</v>
      </c>
      <c r="J1916" s="1471">
        <v>0</v>
      </c>
      <c r="K1916" s="1460"/>
      <c r="L1916" s="1454">
        <v>13215011100</v>
      </c>
      <c r="M1916" s="1455">
        <v>0</v>
      </c>
      <c r="N1916" s="1455">
        <v>0</v>
      </c>
      <c r="O1916" s="1456">
        <v>0</v>
      </c>
      <c r="AA1916"/>
      <c r="AB1916"/>
    </row>
    <row r="1917" spans="3:28">
      <c r="C1917" s="1461" t="s">
        <v>5699</v>
      </c>
      <c r="D1917" s="1458">
        <v>0</v>
      </c>
      <c r="E1917" s="1458">
        <v>0</v>
      </c>
      <c r="F1917" s="1459">
        <v>0</v>
      </c>
      <c r="G1917" s="1470" t="s">
        <v>5699</v>
      </c>
      <c r="H1917" s="1456">
        <v>0</v>
      </c>
      <c r="I1917" s="1456">
        <v>0</v>
      </c>
      <c r="J1917" s="1471">
        <v>0</v>
      </c>
      <c r="K1917" s="1460"/>
      <c r="L1917" s="1454">
        <v>13215011200</v>
      </c>
      <c r="M1917" s="1455">
        <v>0</v>
      </c>
      <c r="N1917" s="1455">
        <v>0</v>
      </c>
      <c r="O1917" s="1456">
        <v>0</v>
      </c>
      <c r="AA1917"/>
      <c r="AB1917"/>
    </row>
    <row r="1918" spans="3:28">
      <c r="C1918" s="1461" t="s">
        <v>5700</v>
      </c>
      <c r="D1918" s="1458">
        <v>0</v>
      </c>
      <c r="E1918" s="1458">
        <v>0</v>
      </c>
      <c r="F1918" s="1459">
        <v>0</v>
      </c>
      <c r="G1918" s="1470" t="s">
        <v>5700</v>
      </c>
      <c r="H1918" s="1456">
        <v>0</v>
      </c>
      <c r="I1918" s="1456">
        <v>0</v>
      </c>
      <c r="J1918" s="1471">
        <v>0</v>
      </c>
      <c r="K1918" s="1460"/>
      <c r="L1918" s="1454">
        <v>13215011400</v>
      </c>
      <c r="M1918" s="1455">
        <v>0</v>
      </c>
      <c r="N1918" s="1455">
        <v>0</v>
      </c>
      <c r="O1918" s="1456">
        <v>0</v>
      </c>
      <c r="AA1918"/>
      <c r="AB1918"/>
    </row>
    <row r="1919" spans="3:28">
      <c r="C1919" s="1461" t="s">
        <v>5701</v>
      </c>
      <c r="D1919" s="1458">
        <v>0</v>
      </c>
      <c r="E1919" s="1458">
        <v>0</v>
      </c>
      <c r="F1919" s="1459">
        <v>0</v>
      </c>
      <c r="G1919" s="1470" t="s">
        <v>5701</v>
      </c>
      <c r="H1919" s="1456">
        <v>0</v>
      </c>
      <c r="I1919" s="1456">
        <v>0</v>
      </c>
      <c r="J1919" s="1471">
        <v>0</v>
      </c>
      <c r="K1919" s="1460"/>
      <c r="L1919" s="1454">
        <v>13215011500</v>
      </c>
      <c r="M1919" s="1455">
        <v>0</v>
      </c>
      <c r="N1919" s="1455">
        <v>0</v>
      </c>
      <c r="O1919" s="1456">
        <v>0</v>
      </c>
      <c r="AA1919"/>
      <c r="AB1919"/>
    </row>
    <row r="1920" spans="3:28">
      <c r="C1920" s="1461" t="s">
        <v>5702</v>
      </c>
      <c r="D1920" s="1458">
        <v>0</v>
      </c>
      <c r="E1920" s="1458">
        <v>1</v>
      </c>
      <c r="F1920" s="1459">
        <v>1</v>
      </c>
      <c r="G1920" s="1470" t="s">
        <v>5702</v>
      </c>
      <c r="H1920" s="1456">
        <v>0</v>
      </c>
      <c r="I1920" s="1456">
        <v>1</v>
      </c>
      <c r="J1920" s="1471">
        <v>1</v>
      </c>
      <c r="K1920" s="1460"/>
      <c r="L1920" s="1454">
        <v>13217100100</v>
      </c>
      <c r="M1920" s="1455">
        <v>0</v>
      </c>
      <c r="N1920" s="1455">
        <v>1</v>
      </c>
      <c r="O1920" s="1456">
        <v>1</v>
      </c>
      <c r="AA1920"/>
      <c r="AB1920"/>
    </row>
    <row r="1921" spans="3:28">
      <c r="C1921" s="1461" t="s">
        <v>5703</v>
      </c>
      <c r="D1921" s="1458">
        <v>1</v>
      </c>
      <c r="E1921" s="1458">
        <v>1</v>
      </c>
      <c r="F1921" s="1459">
        <v>2</v>
      </c>
      <c r="G1921" s="1470" t="s">
        <v>5703</v>
      </c>
      <c r="H1921" s="1456">
        <v>1</v>
      </c>
      <c r="I1921" s="1456">
        <v>1</v>
      </c>
      <c r="J1921" s="1471">
        <v>2</v>
      </c>
      <c r="K1921" s="1460"/>
      <c r="L1921" s="1454">
        <v>13217100201</v>
      </c>
      <c r="M1921" s="1455">
        <v>1</v>
      </c>
      <c r="N1921" s="1455">
        <v>1</v>
      </c>
      <c r="O1921" s="1456">
        <v>2</v>
      </c>
      <c r="AA1921"/>
      <c r="AB1921"/>
    </row>
    <row r="1922" spans="3:28">
      <c r="C1922" s="1461" t="s">
        <v>5704</v>
      </c>
      <c r="D1922" s="1458">
        <v>1</v>
      </c>
      <c r="E1922" s="1458">
        <v>1</v>
      </c>
      <c r="F1922" s="1459">
        <v>2</v>
      </c>
      <c r="G1922" s="1470" t="s">
        <v>5704</v>
      </c>
      <c r="H1922" s="1456">
        <v>1</v>
      </c>
      <c r="I1922" s="1456">
        <v>1</v>
      </c>
      <c r="J1922" s="1471">
        <v>2</v>
      </c>
      <c r="K1922" s="1460"/>
      <c r="L1922" s="1454">
        <v>13217100202</v>
      </c>
      <c r="M1922" s="1455">
        <v>1</v>
      </c>
      <c r="N1922" s="1455">
        <v>1</v>
      </c>
      <c r="O1922" s="1456">
        <v>2</v>
      </c>
      <c r="AA1922"/>
      <c r="AB1922"/>
    </row>
    <row r="1923" spans="3:28">
      <c r="C1923" s="1461" t="s">
        <v>5705</v>
      </c>
      <c r="D1923" s="1458">
        <v>0</v>
      </c>
      <c r="E1923" s="1458">
        <v>0</v>
      </c>
      <c r="F1923" s="1459">
        <v>0</v>
      </c>
      <c r="G1923" s="1470" t="s">
        <v>5705</v>
      </c>
      <c r="H1923" s="1456">
        <v>0</v>
      </c>
      <c r="I1923" s="1456">
        <v>1</v>
      </c>
      <c r="J1923" s="1471">
        <v>1</v>
      </c>
      <c r="K1923" s="1460"/>
      <c r="L1923" s="1454">
        <v>13217100300</v>
      </c>
      <c r="M1923" s="1455">
        <v>0</v>
      </c>
      <c r="N1923" s="1455">
        <v>1</v>
      </c>
      <c r="O1923" s="1456">
        <v>1</v>
      </c>
      <c r="AA1923"/>
      <c r="AB1923"/>
    </row>
    <row r="1924" spans="3:28">
      <c r="C1924" s="1461" t="s">
        <v>5706</v>
      </c>
      <c r="D1924" s="1458">
        <v>0</v>
      </c>
      <c r="E1924" s="1458">
        <v>0</v>
      </c>
      <c r="F1924" s="1459">
        <v>0</v>
      </c>
      <c r="G1924" s="1470" t="s">
        <v>5706</v>
      </c>
      <c r="H1924" s="1456">
        <v>0</v>
      </c>
      <c r="I1924" s="1456">
        <v>0</v>
      </c>
      <c r="J1924" s="1471">
        <v>0</v>
      </c>
      <c r="K1924" s="1460"/>
      <c r="L1924" s="1454">
        <v>13217100400</v>
      </c>
      <c r="M1924" s="1455">
        <v>0</v>
      </c>
      <c r="N1924" s="1455">
        <v>0</v>
      </c>
      <c r="O1924" s="1456">
        <v>0</v>
      </c>
      <c r="AA1924"/>
      <c r="AB1924"/>
    </row>
    <row r="1925" spans="3:28">
      <c r="C1925" s="1461" t="s">
        <v>5707</v>
      </c>
      <c r="D1925" s="1458">
        <v>0</v>
      </c>
      <c r="E1925" s="1458">
        <v>0</v>
      </c>
      <c r="F1925" s="1459">
        <v>0</v>
      </c>
      <c r="G1925" s="1470" t="s">
        <v>5707</v>
      </c>
      <c r="H1925" s="1456">
        <v>0</v>
      </c>
      <c r="I1925" s="1456">
        <v>1</v>
      </c>
      <c r="J1925" s="1471">
        <v>1</v>
      </c>
      <c r="K1925" s="1460"/>
      <c r="L1925" s="1454">
        <v>13217100501</v>
      </c>
      <c r="M1925" s="1455">
        <v>0</v>
      </c>
      <c r="N1925" s="1455">
        <v>1</v>
      </c>
      <c r="O1925" s="1456">
        <v>1</v>
      </c>
      <c r="AA1925"/>
      <c r="AB1925"/>
    </row>
    <row r="1926" spans="3:28">
      <c r="C1926" s="1461" t="s">
        <v>5708</v>
      </c>
      <c r="D1926" s="1458">
        <v>0</v>
      </c>
      <c r="E1926" s="1458">
        <v>0</v>
      </c>
      <c r="F1926" s="1459">
        <v>0</v>
      </c>
      <c r="G1926" s="1470" t="s">
        <v>5708</v>
      </c>
      <c r="H1926" s="1456">
        <v>0</v>
      </c>
      <c r="I1926" s="1456">
        <v>0</v>
      </c>
      <c r="J1926" s="1471">
        <v>0</v>
      </c>
      <c r="K1926" s="1460"/>
      <c r="L1926" s="1454">
        <v>13217100502</v>
      </c>
      <c r="M1926" s="1455">
        <v>0</v>
      </c>
      <c r="N1926" s="1455">
        <v>0</v>
      </c>
      <c r="O1926" s="1456">
        <v>0</v>
      </c>
      <c r="AA1926"/>
      <c r="AB1926"/>
    </row>
    <row r="1927" spans="3:28">
      <c r="C1927" s="1461" t="s">
        <v>5709</v>
      </c>
      <c r="D1927" s="1458">
        <v>0</v>
      </c>
      <c r="E1927" s="1458">
        <v>0</v>
      </c>
      <c r="F1927" s="1459">
        <v>0</v>
      </c>
      <c r="G1927" s="1470" t="s">
        <v>5709</v>
      </c>
      <c r="H1927" s="1456">
        <v>0</v>
      </c>
      <c r="I1927" s="1456">
        <v>0</v>
      </c>
      <c r="J1927" s="1471">
        <v>0</v>
      </c>
      <c r="K1927" s="1460"/>
      <c r="L1927" s="1454">
        <v>13217100600</v>
      </c>
      <c r="M1927" s="1455">
        <v>0</v>
      </c>
      <c r="N1927" s="1455">
        <v>0</v>
      </c>
      <c r="O1927" s="1456">
        <v>0</v>
      </c>
      <c r="AA1927"/>
      <c r="AB1927"/>
    </row>
    <row r="1928" spans="3:28">
      <c r="C1928" s="1461" t="s">
        <v>5710</v>
      </c>
      <c r="D1928" s="1458">
        <v>0</v>
      </c>
      <c r="E1928" s="1458">
        <v>0</v>
      </c>
      <c r="F1928" s="1459">
        <v>0</v>
      </c>
      <c r="G1928" s="1470" t="s">
        <v>5710</v>
      </c>
      <c r="H1928" s="1456">
        <v>0</v>
      </c>
      <c r="I1928" s="1456">
        <v>0</v>
      </c>
      <c r="J1928" s="1471">
        <v>0</v>
      </c>
      <c r="K1928" s="1460"/>
      <c r="L1928" s="1454">
        <v>13217100700</v>
      </c>
      <c r="M1928" s="1455">
        <v>0</v>
      </c>
      <c r="N1928" s="1455">
        <v>0</v>
      </c>
      <c r="O1928" s="1456">
        <v>0</v>
      </c>
      <c r="AA1928"/>
      <c r="AB1928"/>
    </row>
    <row r="1929" spans="3:28">
      <c r="C1929" s="1461" t="s">
        <v>5711</v>
      </c>
      <c r="D1929" s="1458">
        <v>0</v>
      </c>
      <c r="E1929" s="1458">
        <v>1</v>
      </c>
      <c r="F1929" s="1459">
        <v>1</v>
      </c>
      <c r="G1929" s="1470" t="s">
        <v>5711</v>
      </c>
      <c r="H1929" s="1456">
        <v>0</v>
      </c>
      <c r="I1929" s="1456">
        <v>0</v>
      </c>
      <c r="J1929" s="1471">
        <v>0</v>
      </c>
      <c r="K1929" s="1460"/>
      <c r="L1929" s="1454">
        <v>13217100800</v>
      </c>
      <c r="M1929" s="1455">
        <v>0</v>
      </c>
      <c r="N1929" s="1455">
        <v>1</v>
      </c>
      <c r="O1929" s="1456">
        <v>1</v>
      </c>
      <c r="AA1929"/>
      <c r="AB1929"/>
    </row>
    <row r="1930" spans="3:28">
      <c r="C1930" s="1461" t="s">
        <v>5712</v>
      </c>
      <c r="D1930" s="1458">
        <v>0</v>
      </c>
      <c r="E1930" s="1458">
        <v>1</v>
      </c>
      <c r="F1930" s="1459">
        <v>1</v>
      </c>
      <c r="G1930" s="1470" t="s">
        <v>5712</v>
      </c>
      <c r="H1930" s="1456">
        <v>0</v>
      </c>
      <c r="I1930" s="1456">
        <v>1</v>
      </c>
      <c r="J1930" s="1471">
        <v>1</v>
      </c>
      <c r="K1930" s="1460"/>
      <c r="L1930" s="1454">
        <v>13217100901</v>
      </c>
      <c r="M1930" s="1455">
        <v>0</v>
      </c>
      <c r="N1930" s="1455">
        <v>1</v>
      </c>
      <c r="O1930" s="1456">
        <v>1</v>
      </c>
      <c r="AA1930"/>
      <c r="AB1930"/>
    </row>
    <row r="1931" spans="3:28">
      <c r="C1931" s="1461" t="s">
        <v>5713</v>
      </c>
      <c r="D1931" s="1458">
        <v>0</v>
      </c>
      <c r="E1931" s="1458">
        <v>0</v>
      </c>
      <c r="F1931" s="1459">
        <v>0</v>
      </c>
      <c r="G1931" s="1470" t="s">
        <v>5713</v>
      </c>
      <c r="H1931" s="1456">
        <v>0</v>
      </c>
      <c r="I1931" s="1456">
        <v>0</v>
      </c>
      <c r="J1931" s="1471">
        <v>0</v>
      </c>
      <c r="K1931" s="1460"/>
      <c r="L1931" s="1454">
        <v>13217100902</v>
      </c>
      <c r="M1931" s="1455">
        <v>0</v>
      </c>
      <c r="N1931" s="1455">
        <v>0</v>
      </c>
      <c r="O1931" s="1456">
        <v>0</v>
      </c>
      <c r="AA1931"/>
      <c r="AB1931"/>
    </row>
    <row r="1932" spans="3:28">
      <c r="C1932" s="1461" t="s">
        <v>5714</v>
      </c>
      <c r="D1932" s="1458">
        <v>0</v>
      </c>
      <c r="E1932" s="1458">
        <v>0</v>
      </c>
      <c r="F1932" s="1459">
        <v>0</v>
      </c>
      <c r="G1932" s="1470" t="s">
        <v>5714</v>
      </c>
      <c r="H1932" s="1456">
        <v>0</v>
      </c>
      <c r="I1932" s="1456">
        <v>0</v>
      </c>
      <c r="J1932" s="1471">
        <v>0</v>
      </c>
      <c r="K1932" s="1460"/>
      <c r="L1932" s="1454">
        <v>13217100903</v>
      </c>
      <c r="M1932" s="1455">
        <v>0</v>
      </c>
      <c r="N1932" s="1455">
        <v>0</v>
      </c>
      <c r="O1932" s="1456">
        <v>0</v>
      </c>
      <c r="AA1932"/>
      <c r="AB1932"/>
    </row>
    <row r="1933" spans="3:28">
      <c r="C1933" s="1461" t="s">
        <v>5715</v>
      </c>
      <c r="D1933" s="1458">
        <v>1</v>
      </c>
      <c r="E1933" s="1458">
        <v>1</v>
      </c>
      <c r="F1933" s="1459">
        <v>2</v>
      </c>
      <c r="G1933" s="1470" t="s">
        <v>5715</v>
      </c>
      <c r="H1933" s="1456">
        <v>1</v>
      </c>
      <c r="I1933" s="1456">
        <v>1</v>
      </c>
      <c r="J1933" s="1471">
        <v>2</v>
      </c>
      <c r="K1933" s="1460"/>
      <c r="L1933" s="1454">
        <v>13219030100</v>
      </c>
      <c r="M1933" s="1455">
        <v>1</v>
      </c>
      <c r="N1933" s="1455">
        <v>1</v>
      </c>
      <c r="O1933" s="1456">
        <v>2</v>
      </c>
      <c r="AA1933"/>
      <c r="AB1933"/>
    </row>
    <row r="1934" spans="3:28">
      <c r="C1934" s="1461" t="s">
        <v>5716</v>
      </c>
      <c r="D1934" s="1458">
        <v>1</v>
      </c>
      <c r="E1934" s="1458">
        <v>1</v>
      </c>
      <c r="F1934" s="1459">
        <v>2</v>
      </c>
      <c r="G1934" s="1470" t="s">
        <v>5716</v>
      </c>
      <c r="H1934" s="1456">
        <v>1</v>
      </c>
      <c r="I1934" s="1456">
        <v>1</v>
      </c>
      <c r="J1934" s="1471">
        <v>2</v>
      </c>
      <c r="K1934" s="1460"/>
      <c r="L1934" s="1454">
        <v>13219030200</v>
      </c>
      <c r="M1934" s="1455">
        <v>1</v>
      </c>
      <c r="N1934" s="1455">
        <v>1</v>
      </c>
      <c r="O1934" s="1456">
        <v>2</v>
      </c>
      <c r="AA1934"/>
      <c r="AB1934"/>
    </row>
    <row r="1935" spans="3:28">
      <c r="C1935" s="1461" t="s">
        <v>5717</v>
      </c>
      <c r="D1935" s="1458">
        <v>1</v>
      </c>
      <c r="E1935" s="1458">
        <v>1</v>
      </c>
      <c r="F1935" s="1459">
        <v>2</v>
      </c>
      <c r="G1935" s="1470" t="s">
        <v>5717</v>
      </c>
      <c r="H1935" s="1456">
        <v>1</v>
      </c>
      <c r="I1935" s="1456">
        <v>1</v>
      </c>
      <c r="J1935" s="1471">
        <v>2</v>
      </c>
      <c r="K1935" s="1460"/>
      <c r="L1935" s="1454">
        <v>13219030300</v>
      </c>
      <c r="M1935" s="1455">
        <v>1</v>
      </c>
      <c r="N1935" s="1455">
        <v>1</v>
      </c>
      <c r="O1935" s="1456">
        <v>2</v>
      </c>
      <c r="AA1935"/>
      <c r="AB1935"/>
    </row>
    <row r="1936" spans="3:28">
      <c r="C1936" s="1461" t="s">
        <v>5718</v>
      </c>
      <c r="D1936" s="1458">
        <v>1</v>
      </c>
      <c r="E1936" s="1458">
        <v>1</v>
      </c>
      <c r="F1936" s="1459">
        <v>2</v>
      </c>
      <c r="G1936" s="1470" t="s">
        <v>5718</v>
      </c>
      <c r="H1936" s="1456">
        <v>1</v>
      </c>
      <c r="I1936" s="1456">
        <v>1</v>
      </c>
      <c r="J1936" s="1471">
        <v>2</v>
      </c>
      <c r="K1936" s="1460"/>
      <c r="L1936" s="1454">
        <v>13219030400</v>
      </c>
      <c r="M1936" s="1455">
        <v>1</v>
      </c>
      <c r="N1936" s="1455">
        <v>1</v>
      </c>
      <c r="O1936" s="1456">
        <v>2</v>
      </c>
      <c r="AA1936"/>
      <c r="AB1936"/>
    </row>
    <row r="1937" spans="3:28">
      <c r="C1937" s="1461" t="s">
        <v>5719</v>
      </c>
      <c r="D1937" s="1458">
        <v>1</v>
      </c>
      <c r="E1937" s="1458">
        <v>1</v>
      </c>
      <c r="F1937" s="1459">
        <v>2</v>
      </c>
      <c r="G1937" s="1470" t="s">
        <v>5719</v>
      </c>
      <c r="H1937" s="1456">
        <v>1</v>
      </c>
      <c r="I1937" s="1456">
        <v>1</v>
      </c>
      <c r="J1937" s="1471">
        <v>2</v>
      </c>
      <c r="K1937" s="1460"/>
      <c r="L1937" s="1454">
        <v>13219030500</v>
      </c>
      <c r="M1937" s="1455">
        <v>1</v>
      </c>
      <c r="N1937" s="1455">
        <v>1</v>
      </c>
      <c r="O1937" s="1456">
        <v>2</v>
      </c>
      <c r="AA1937"/>
      <c r="AB1937"/>
    </row>
    <row r="1938" spans="3:28">
      <c r="C1938" s="1461" t="s">
        <v>5720</v>
      </c>
      <c r="D1938" s="1458">
        <v>1</v>
      </c>
      <c r="E1938" s="1458">
        <v>1</v>
      </c>
      <c r="F1938" s="1459">
        <v>2</v>
      </c>
      <c r="G1938" s="1470" t="s">
        <v>5720</v>
      </c>
      <c r="H1938" s="1456">
        <v>1</v>
      </c>
      <c r="I1938" s="1456">
        <v>1</v>
      </c>
      <c r="J1938" s="1471">
        <v>2</v>
      </c>
      <c r="K1938" s="1460"/>
      <c r="L1938" s="1454">
        <v>13219030600</v>
      </c>
      <c r="M1938" s="1455">
        <v>1</v>
      </c>
      <c r="N1938" s="1455">
        <v>1</v>
      </c>
      <c r="O1938" s="1456">
        <v>2</v>
      </c>
      <c r="AA1938"/>
      <c r="AB1938"/>
    </row>
    <row r="1939" spans="3:28">
      <c r="C1939" s="1461" t="s">
        <v>5721</v>
      </c>
      <c r="D1939" s="1458">
        <v>0</v>
      </c>
      <c r="E1939" s="1458">
        <v>0</v>
      </c>
      <c r="F1939" s="1459">
        <v>0</v>
      </c>
      <c r="G1939" s="1470" t="s">
        <v>5721</v>
      </c>
      <c r="H1939" s="1456">
        <v>0</v>
      </c>
      <c r="I1939" s="1456">
        <v>0</v>
      </c>
      <c r="J1939" s="1471">
        <v>0</v>
      </c>
      <c r="K1939" s="1460"/>
      <c r="L1939" s="1454">
        <v>13221960100</v>
      </c>
      <c r="M1939" s="1455">
        <v>0</v>
      </c>
      <c r="N1939" s="1455">
        <v>0</v>
      </c>
      <c r="O1939" s="1456">
        <v>0</v>
      </c>
      <c r="AA1939"/>
      <c r="AB1939"/>
    </row>
    <row r="1940" spans="3:28">
      <c r="C1940" s="1461" t="s">
        <v>5722</v>
      </c>
      <c r="D1940" s="1458">
        <v>1</v>
      </c>
      <c r="E1940" s="1458">
        <v>1</v>
      </c>
      <c r="F1940" s="1459">
        <v>2</v>
      </c>
      <c r="G1940" s="1470" t="s">
        <v>5722</v>
      </c>
      <c r="H1940" s="1456">
        <v>1</v>
      </c>
      <c r="I1940" s="1456">
        <v>1</v>
      </c>
      <c r="J1940" s="1471">
        <v>2</v>
      </c>
      <c r="K1940" s="1460"/>
      <c r="L1940" s="1454">
        <v>13221960201</v>
      </c>
      <c r="M1940" s="1455">
        <v>1</v>
      </c>
      <c r="N1940" s="1455">
        <v>1</v>
      </c>
      <c r="O1940" s="1456">
        <v>2</v>
      </c>
      <c r="AA1940"/>
      <c r="AB1940"/>
    </row>
    <row r="1941" spans="3:28">
      <c r="C1941" s="1461" t="s">
        <v>5723</v>
      </c>
      <c r="D1941" s="1458">
        <v>0</v>
      </c>
      <c r="E1941" s="1458">
        <v>0</v>
      </c>
      <c r="F1941" s="1459">
        <v>0</v>
      </c>
      <c r="G1941" s="1470" t="s">
        <v>5723</v>
      </c>
      <c r="H1941" s="1456">
        <v>0</v>
      </c>
      <c r="I1941" s="1456">
        <v>1</v>
      </c>
      <c r="J1941" s="1471">
        <v>1</v>
      </c>
      <c r="K1941" s="1460"/>
      <c r="L1941" s="1454">
        <v>13221960202</v>
      </c>
      <c r="M1941" s="1455">
        <v>0</v>
      </c>
      <c r="N1941" s="1455">
        <v>1</v>
      </c>
      <c r="O1941" s="1456">
        <v>1</v>
      </c>
      <c r="AA1941"/>
      <c r="AB1941"/>
    </row>
    <row r="1942" spans="3:28">
      <c r="C1942" s="1461" t="s">
        <v>5724</v>
      </c>
      <c r="D1942" s="1458">
        <v>0</v>
      </c>
      <c r="E1942" s="1458">
        <v>0</v>
      </c>
      <c r="F1942" s="1459">
        <v>0</v>
      </c>
      <c r="G1942" s="1470" t="s">
        <v>5724</v>
      </c>
      <c r="H1942" s="1456">
        <v>0</v>
      </c>
      <c r="I1942" s="1456">
        <v>0</v>
      </c>
      <c r="J1942" s="1471">
        <v>0</v>
      </c>
      <c r="K1942" s="1460"/>
      <c r="L1942" s="1454">
        <v>13221960300</v>
      </c>
      <c r="M1942" s="1455">
        <v>0</v>
      </c>
      <c r="N1942" s="1455">
        <v>0</v>
      </c>
      <c r="O1942" s="1456">
        <v>0</v>
      </c>
      <c r="AA1942"/>
      <c r="AB1942"/>
    </row>
    <row r="1943" spans="3:28">
      <c r="C1943" s="1461" t="s">
        <v>5725</v>
      </c>
      <c r="D1943" s="1458">
        <v>1</v>
      </c>
      <c r="E1943" s="1458">
        <v>1</v>
      </c>
      <c r="F1943" s="1459">
        <v>2</v>
      </c>
      <c r="G1943" s="1470" t="s">
        <v>5725</v>
      </c>
      <c r="H1943" s="1456">
        <v>1</v>
      </c>
      <c r="I1943" s="1456">
        <v>1</v>
      </c>
      <c r="J1943" s="1471">
        <v>2</v>
      </c>
      <c r="K1943" s="1460"/>
      <c r="L1943" s="1454">
        <v>13223120101</v>
      </c>
      <c r="M1943" s="1455">
        <v>1</v>
      </c>
      <c r="N1943" s="1455">
        <v>1</v>
      </c>
      <c r="O1943" s="1456">
        <v>2</v>
      </c>
      <c r="AA1943"/>
      <c r="AB1943"/>
    </row>
    <row r="1944" spans="3:28">
      <c r="C1944" s="1461" t="s">
        <v>5726</v>
      </c>
      <c r="D1944" s="1458">
        <v>1</v>
      </c>
      <c r="E1944" s="1458">
        <v>1</v>
      </c>
      <c r="F1944" s="1459">
        <v>2</v>
      </c>
      <c r="G1944" s="1470" t="s">
        <v>5726</v>
      </c>
      <c r="H1944" s="1456">
        <v>1</v>
      </c>
      <c r="I1944" s="1456">
        <v>1</v>
      </c>
      <c r="J1944" s="1471">
        <v>2</v>
      </c>
      <c r="K1944" s="1460"/>
      <c r="L1944" s="1454">
        <v>13223120102</v>
      </c>
      <c r="M1944" s="1455">
        <v>1</v>
      </c>
      <c r="N1944" s="1455">
        <v>1</v>
      </c>
      <c r="O1944" s="1456">
        <v>2</v>
      </c>
      <c r="AA1944"/>
      <c r="AB1944"/>
    </row>
    <row r="1945" spans="3:28">
      <c r="C1945" s="1461" t="s">
        <v>5727</v>
      </c>
      <c r="D1945" s="1458">
        <v>1</v>
      </c>
      <c r="E1945" s="1458">
        <v>1</v>
      </c>
      <c r="F1945" s="1459">
        <v>2</v>
      </c>
      <c r="G1945" s="1470" t="s">
        <v>5727</v>
      </c>
      <c r="H1945" s="1456">
        <v>1</v>
      </c>
      <c r="I1945" s="1456" t="s">
        <v>3906</v>
      </c>
      <c r="J1945" s="1471">
        <v>1</v>
      </c>
      <c r="K1945" s="1460"/>
      <c r="L1945" s="1454">
        <v>13223120103</v>
      </c>
      <c r="M1945" s="1455">
        <v>1</v>
      </c>
      <c r="N1945" s="1455">
        <v>1</v>
      </c>
      <c r="O1945" s="1456">
        <v>2</v>
      </c>
      <c r="AA1945"/>
      <c r="AB1945"/>
    </row>
    <row r="1946" spans="3:28">
      <c r="C1946" s="1461" t="s">
        <v>5728</v>
      </c>
      <c r="D1946" s="1458">
        <v>1</v>
      </c>
      <c r="E1946" s="1458">
        <v>1</v>
      </c>
      <c r="F1946" s="1459">
        <v>2</v>
      </c>
      <c r="G1946" s="1470" t="s">
        <v>5728</v>
      </c>
      <c r="H1946" s="1456">
        <v>1</v>
      </c>
      <c r="I1946" s="1456" t="s">
        <v>3906</v>
      </c>
      <c r="J1946" s="1471">
        <v>1</v>
      </c>
      <c r="K1946" s="1460"/>
      <c r="L1946" s="1454">
        <v>13223120104</v>
      </c>
      <c r="M1946" s="1455">
        <v>1</v>
      </c>
      <c r="N1946" s="1455">
        <v>1</v>
      </c>
      <c r="O1946" s="1456">
        <v>2</v>
      </c>
      <c r="AA1946"/>
      <c r="AB1946"/>
    </row>
    <row r="1947" spans="3:28">
      <c r="C1947" s="1461" t="s">
        <v>5729</v>
      </c>
      <c r="D1947" s="1458">
        <v>1</v>
      </c>
      <c r="E1947" s="1458">
        <v>1</v>
      </c>
      <c r="F1947" s="1459">
        <v>2</v>
      </c>
      <c r="G1947" s="1470" t="s">
        <v>5729</v>
      </c>
      <c r="H1947" s="1456">
        <v>1</v>
      </c>
      <c r="I1947" s="1456">
        <v>1</v>
      </c>
      <c r="J1947" s="1471">
        <v>2</v>
      </c>
      <c r="K1947" s="1460"/>
      <c r="L1947" s="1454">
        <v>13223120202</v>
      </c>
      <c r="M1947" s="1455">
        <v>1</v>
      </c>
      <c r="N1947" s="1455">
        <v>1</v>
      </c>
      <c r="O1947" s="1456">
        <v>2</v>
      </c>
      <c r="AA1947"/>
      <c r="AB1947"/>
    </row>
    <row r="1948" spans="3:28">
      <c r="C1948" s="1461" t="s">
        <v>5730</v>
      </c>
      <c r="D1948" s="1458">
        <v>1</v>
      </c>
      <c r="E1948" s="1458">
        <v>1</v>
      </c>
      <c r="F1948" s="1459">
        <v>2</v>
      </c>
      <c r="G1948" s="1470" t="s">
        <v>5730</v>
      </c>
      <c r="H1948" s="1456">
        <v>1</v>
      </c>
      <c r="I1948" s="1456">
        <v>1</v>
      </c>
      <c r="J1948" s="1471">
        <v>2</v>
      </c>
      <c r="K1948" s="1460"/>
      <c r="L1948" s="1454">
        <v>13223120203</v>
      </c>
      <c r="M1948" s="1455">
        <v>1</v>
      </c>
      <c r="N1948" s="1455">
        <v>1</v>
      </c>
      <c r="O1948" s="1456">
        <v>2</v>
      </c>
      <c r="AA1948"/>
      <c r="AB1948"/>
    </row>
    <row r="1949" spans="3:28">
      <c r="C1949" s="1461" t="s">
        <v>5731</v>
      </c>
      <c r="D1949" s="1458">
        <v>1</v>
      </c>
      <c r="E1949" s="1458">
        <v>1</v>
      </c>
      <c r="F1949" s="1459">
        <v>2</v>
      </c>
      <c r="G1949" s="1470" t="s">
        <v>5731</v>
      </c>
      <c r="H1949" s="1456">
        <v>1</v>
      </c>
      <c r="I1949" s="1456">
        <v>1</v>
      </c>
      <c r="J1949" s="1471">
        <v>2</v>
      </c>
      <c r="K1949" s="1460"/>
      <c r="L1949" s="1454">
        <v>13223120204</v>
      </c>
      <c r="M1949" s="1455">
        <v>1</v>
      </c>
      <c r="N1949" s="1455">
        <v>1</v>
      </c>
      <c r="O1949" s="1456">
        <v>2</v>
      </c>
      <c r="AA1949"/>
      <c r="AB1949"/>
    </row>
    <row r="1950" spans="3:28">
      <c r="C1950" s="1461" t="s">
        <v>5732</v>
      </c>
      <c r="D1950" s="1458">
        <v>1</v>
      </c>
      <c r="E1950" s="1458">
        <v>0</v>
      </c>
      <c r="F1950" s="1459">
        <v>1</v>
      </c>
      <c r="G1950" s="1470" t="s">
        <v>5732</v>
      </c>
      <c r="H1950" s="1456">
        <v>1</v>
      </c>
      <c r="I1950" s="1456">
        <v>1</v>
      </c>
      <c r="J1950" s="1471">
        <v>2</v>
      </c>
      <c r="K1950" s="1460"/>
      <c r="L1950" s="1454">
        <v>13223120301</v>
      </c>
      <c r="M1950" s="1455">
        <v>1</v>
      </c>
      <c r="N1950" s="1455">
        <v>1</v>
      </c>
      <c r="O1950" s="1456">
        <v>2</v>
      </c>
      <c r="AA1950"/>
      <c r="AB1950"/>
    </row>
    <row r="1951" spans="3:28">
      <c r="C1951" s="1461" t="s">
        <v>5733</v>
      </c>
      <c r="D1951" s="1458">
        <v>1</v>
      </c>
      <c r="E1951" s="1458">
        <v>0</v>
      </c>
      <c r="F1951" s="1459">
        <v>1</v>
      </c>
      <c r="G1951" s="1470" t="s">
        <v>5733</v>
      </c>
      <c r="H1951" s="1456">
        <v>1</v>
      </c>
      <c r="I1951" s="1456">
        <v>0</v>
      </c>
      <c r="J1951" s="1471">
        <v>1</v>
      </c>
      <c r="K1951" s="1460"/>
      <c r="L1951" s="1454">
        <v>13223120302</v>
      </c>
      <c r="M1951" s="1455">
        <v>1</v>
      </c>
      <c r="N1951" s="1455">
        <v>0</v>
      </c>
      <c r="O1951" s="1456">
        <v>1</v>
      </c>
      <c r="AA1951"/>
      <c r="AB1951"/>
    </row>
    <row r="1952" spans="3:28">
      <c r="C1952" s="1461" t="s">
        <v>5734</v>
      </c>
      <c r="D1952" s="1458">
        <v>1</v>
      </c>
      <c r="E1952" s="1458">
        <v>1</v>
      </c>
      <c r="F1952" s="1459">
        <v>2</v>
      </c>
      <c r="G1952" s="1470" t="s">
        <v>5734</v>
      </c>
      <c r="H1952" s="1456">
        <v>0</v>
      </c>
      <c r="I1952" s="1456">
        <v>0</v>
      </c>
      <c r="J1952" s="1471">
        <v>0</v>
      </c>
      <c r="K1952" s="1460"/>
      <c r="L1952" s="1454">
        <v>13223120303</v>
      </c>
      <c r="M1952" s="1455">
        <v>1</v>
      </c>
      <c r="N1952" s="1455">
        <v>1</v>
      </c>
      <c r="O1952" s="1456">
        <v>2</v>
      </c>
      <c r="AA1952"/>
      <c r="AB1952"/>
    </row>
    <row r="1953" spans="3:28">
      <c r="C1953" s="1461" t="s">
        <v>5735</v>
      </c>
      <c r="D1953" s="1458">
        <v>0</v>
      </c>
      <c r="E1953" s="1458">
        <v>1</v>
      </c>
      <c r="F1953" s="1459">
        <v>1</v>
      </c>
      <c r="G1953" s="1470" t="s">
        <v>5735</v>
      </c>
      <c r="H1953" s="1456">
        <v>1</v>
      </c>
      <c r="I1953" s="1456">
        <v>1</v>
      </c>
      <c r="J1953" s="1471">
        <v>2</v>
      </c>
      <c r="K1953" s="1460"/>
      <c r="L1953" s="1454">
        <v>13223120400</v>
      </c>
      <c r="M1953" s="1455">
        <v>1</v>
      </c>
      <c r="N1953" s="1455">
        <v>1</v>
      </c>
      <c r="O1953" s="1456">
        <v>2</v>
      </c>
      <c r="AA1953"/>
      <c r="AB1953"/>
    </row>
    <row r="1954" spans="3:28">
      <c r="C1954" s="1461" t="s">
        <v>5736</v>
      </c>
      <c r="D1954" s="1458">
        <v>1</v>
      </c>
      <c r="E1954" s="1458">
        <v>1</v>
      </c>
      <c r="F1954" s="1459">
        <v>2</v>
      </c>
      <c r="G1954" s="1470" t="s">
        <v>5736</v>
      </c>
      <c r="H1954" s="1456">
        <v>1</v>
      </c>
      <c r="I1954" s="1456">
        <v>1</v>
      </c>
      <c r="J1954" s="1471">
        <v>1</v>
      </c>
      <c r="K1954" s="1460"/>
      <c r="L1954" s="1454">
        <v>13223120501</v>
      </c>
      <c r="M1954" s="1455">
        <v>1</v>
      </c>
      <c r="N1954" s="1455">
        <v>1</v>
      </c>
      <c r="O1954" s="1456">
        <v>2</v>
      </c>
      <c r="AA1954"/>
      <c r="AB1954"/>
    </row>
    <row r="1955" spans="3:28">
      <c r="C1955" s="1461" t="s">
        <v>5737</v>
      </c>
      <c r="D1955" s="1458">
        <v>1</v>
      </c>
      <c r="E1955" s="1458">
        <v>1</v>
      </c>
      <c r="F1955" s="1459">
        <v>2</v>
      </c>
      <c r="G1955" s="1470" t="s">
        <v>5737</v>
      </c>
      <c r="H1955" s="1456">
        <v>1</v>
      </c>
      <c r="I1955" s="1456">
        <v>0</v>
      </c>
      <c r="J1955" s="1471">
        <v>1</v>
      </c>
      <c r="K1955" s="1460"/>
      <c r="L1955" s="1454">
        <v>13223120502</v>
      </c>
      <c r="M1955" s="1455">
        <v>1</v>
      </c>
      <c r="N1955" s="1455">
        <v>1</v>
      </c>
      <c r="O1955" s="1456">
        <v>2</v>
      </c>
      <c r="AA1955"/>
      <c r="AB1955"/>
    </row>
    <row r="1956" spans="3:28">
      <c r="C1956" s="1461" t="s">
        <v>5738</v>
      </c>
      <c r="D1956" s="1458">
        <v>1</v>
      </c>
      <c r="E1956" s="1458">
        <v>1</v>
      </c>
      <c r="F1956" s="1459">
        <v>2</v>
      </c>
      <c r="G1956" s="1470" t="s">
        <v>5738</v>
      </c>
      <c r="H1956" s="1456">
        <v>0</v>
      </c>
      <c r="I1956" s="1456">
        <v>1</v>
      </c>
      <c r="J1956" s="1471">
        <v>1</v>
      </c>
      <c r="K1956" s="1460"/>
      <c r="L1956" s="1454">
        <v>13223120503</v>
      </c>
      <c r="M1956" s="1455">
        <v>1</v>
      </c>
      <c r="N1956" s="1455">
        <v>1</v>
      </c>
      <c r="O1956" s="1456">
        <v>2</v>
      </c>
      <c r="AA1956"/>
      <c r="AB1956"/>
    </row>
    <row r="1957" spans="3:28">
      <c r="C1957" s="1461" t="s">
        <v>5739</v>
      </c>
      <c r="D1957" s="1458">
        <v>1</v>
      </c>
      <c r="E1957" s="1458">
        <v>1</v>
      </c>
      <c r="F1957" s="1459">
        <v>2</v>
      </c>
      <c r="G1957" s="1470" t="s">
        <v>5739</v>
      </c>
      <c r="H1957" s="1456">
        <v>1</v>
      </c>
      <c r="I1957" s="1456">
        <v>0</v>
      </c>
      <c r="J1957" s="1471">
        <v>1</v>
      </c>
      <c r="K1957" s="1460"/>
      <c r="L1957" s="1454">
        <v>13223120601</v>
      </c>
      <c r="M1957" s="1455">
        <v>1</v>
      </c>
      <c r="N1957" s="1455">
        <v>1</v>
      </c>
      <c r="O1957" s="1456">
        <v>2</v>
      </c>
      <c r="AA1957"/>
      <c r="AB1957"/>
    </row>
    <row r="1958" spans="3:28">
      <c r="C1958" s="1461" t="s">
        <v>5740</v>
      </c>
      <c r="D1958" s="1458">
        <v>1</v>
      </c>
      <c r="E1958" s="1458">
        <v>1</v>
      </c>
      <c r="F1958" s="1459">
        <v>2</v>
      </c>
      <c r="G1958" s="1470" t="s">
        <v>5740</v>
      </c>
      <c r="H1958" s="1456">
        <v>1</v>
      </c>
      <c r="I1958" s="1456" t="s">
        <v>3906</v>
      </c>
      <c r="J1958" s="1471">
        <v>1</v>
      </c>
      <c r="K1958" s="1460"/>
      <c r="L1958" s="1454">
        <v>13223120602</v>
      </c>
      <c r="M1958" s="1455">
        <v>1</v>
      </c>
      <c r="N1958" s="1455">
        <v>1</v>
      </c>
      <c r="O1958" s="1456">
        <v>2</v>
      </c>
      <c r="AA1958"/>
      <c r="AB1958"/>
    </row>
    <row r="1959" spans="3:28">
      <c r="C1959" s="1461" t="s">
        <v>5741</v>
      </c>
      <c r="D1959" s="1458">
        <v>1</v>
      </c>
      <c r="E1959" s="1458">
        <v>1</v>
      </c>
      <c r="F1959" s="1459">
        <v>2</v>
      </c>
      <c r="G1959" s="1470" t="s">
        <v>5741</v>
      </c>
      <c r="H1959" s="1456">
        <v>0</v>
      </c>
      <c r="I1959" s="1456">
        <v>1</v>
      </c>
      <c r="J1959" s="1471">
        <v>1</v>
      </c>
      <c r="K1959" s="1460"/>
      <c r="L1959" s="1454">
        <v>13223120603</v>
      </c>
      <c r="M1959" s="1455">
        <v>1</v>
      </c>
      <c r="N1959" s="1455">
        <v>1</v>
      </c>
      <c r="O1959" s="1456">
        <v>2</v>
      </c>
      <c r="AA1959"/>
      <c r="AB1959"/>
    </row>
    <row r="1960" spans="3:28">
      <c r="C1960" s="1461" t="s">
        <v>5742</v>
      </c>
      <c r="D1960" s="1458">
        <v>1</v>
      </c>
      <c r="E1960" s="1458">
        <v>1</v>
      </c>
      <c r="F1960" s="1459">
        <v>2</v>
      </c>
      <c r="G1960" s="1470" t="s">
        <v>5742</v>
      </c>
      <c r="H1960" s="1456">
        <v>1</v>
      </c>
      <c r="I1960" s="1456">
        <v>1</v>
      </c>
      <c r="J1960" s="1471">
        <v>2</v>
      </c>
      <c r="K1960" s="1460"/>
      <c r="L1960" s="1454">
        <v>13223120604</v>
      </c>
      <c r="M1960" s="1455">
        <v>1</v>
      </c>
      <c r="N1960" s="1455">
        <v>1</v>
      </c>
      <c r="O1960" s="1456">
        <v>2</v>
      </c>
      <c r="AA1960"/>
      <c r="AB1960"/>
    </row>
    <row r="1961" spans="3:28">
      <c r="C1961" s="1461" t="s">
        <v>5743</v>
      </c>
      <c r="D1961" s="1458">
        <v>1</v>
      </c>
      <c r="E1961" s="1458">
        <v>1</v>
      </c>
      <c r="F1961" s="1459">
        <v>2</v>
      </c>
      <c r="G1961" s="1470" t="s">
        <v>5743</v>
      </c>
      <c r="H1961" s="1456">
        <v>1</v>
      </c>
      <c r="I1961" s="1456">
        <v>0</v>
      </c>
      <c r="J1961" s="1471">
        <v>1</v>
      </c>
      <c r="K1961" s="1460"/>
      <c r="L1961" s="1454">
        <v>13223120605</v>
      </c>
      <c r="M1961" s="1455">
        <v>1</v>
      </c>
      <c r="N1961" s="1455">
        <v>1</v>
      </c>
      <c r="O1961" s="1456">
        <v>2</v>
      </c>
      <c r="AA1961"/>
      <c r="AB1961"/>
    </row>
    <row r="1962" spans="3:28">
      <c r="C1962" s="1461" t="s">
        <v>5744</v>
      </c>
      <c r="D1962" s="1458">
        <v>1</v>
      </c>
      <c r="E1962" s="1458">
        <v>1</v>
      </c>
      <c r="F1962" s="1459">
        <v>2</v>
      </c>
      <c r="G1962" s="1470" t="s">
        <v>5744</v>
      </c>
      <c r="H1962" s="1456">
        <v>1</v>
      </c>
      <c r="I1962" s="1456">
        <v>1</v>
      </c>
      <c r="J1962" s="1471">
        <v>2</v>
      </c>
      <c r="K1962" s="1460"/>
      <c r="L1962" s="1454">
        <v>13225040101</v>
      </c>
      <c r="M1962" s="1455">
        <v>1</v>
      </c>
      <c r="N1962" s="1455">
        <v>1</v>
      </c>
      <c r="O1962" s="1456">
        <v>2</v>
      </c>
      <c r="AA1962"/>
      <c r="AB1962"/>
    </row>
    <row r="1963" spans="3:28">
      <c r="C1963" s="1461" t="s">
        <v>5745</v>
      </c>
      <c r="D1963" s="1458">
        <v>1</v>
      </c>
      <c r="E1963" s="1458">
        <v>1</v>
      </c>
      <c r="F1963" s="1459">
        <v>2</v>
      </c>
      <c r="G1963" s="1470" t="s">
        <v>5745</v>
      </c>
      <c r="H1963" s="1456">
        <v>0</v>
      </c>
      <c r="I1963" s="1456">
        <v>1</v>
      </c>
      <c r="J1963" s="1471">
        <v>1</v>
      </c>
      <c r="K1963" s="1460"/>
      <c r="L1963" s="1454">
        <v>13225040102</v>
      </c>
      <c r="M1963" s="1455">
        <v>1</v>
      </c>
      <c r="N1963" s="1455">
        <v>1</v>
      </c>
      <c r="O1963" s="1456">
        <v>2</v>
      </c>
      <c r="AA1963"/>
      <c r="AB1963"/>
    </row>
    <row r="1964" spans="3:28">
      <c r="C1964" s="1461" t="s">
        <v>5746</v>
      </c>
      <c r="D1964" s="1458">
        <v>0</v>
      </c>
      <c r="E1964" s="1458">
        <v>0</v>
      </c>
      <c r="F1964" s="1459">
        <v>0</v>
      </c>
      <c r="G1964" s="1470" t="s">
        <v>5746</v>
      </c>
      <c r="H1964" s="1456">
        <v>0</v>
      </c>
      <c r="I1964" s="1456">
        <v>0</v>
      </c>
      <c r="J1964" s="1471">
        <v>0</v>
      </c>
      <c r="K1964" s="1460"/>
      <c r="L1964" s="1454">
        <v>13225040200</v>
      </c>
      <c r="M1964" s="1455">
        <v>0</v>
      </c>
      <c r="N1964" s="1455">
        <v>0</v>
      </c>
      <c r="O1964" s="1456">
        <v>0</v>
      </c>
      <c r="AA1964"/>
      <c r="AB1964"/>
    </row>
    <row r="1965" spans="3:28">
      <c r="C1965" s="1461" t="s">
        <v>5747</v>
      </c>
      <c r="D1965" s="1458">
        <v>1</v>
      </c>
      <c r="E1965" s="1458">
        <v>0</v>
      </c>
      <c r="F1965" s="1459">
        <v>1</v>
      </c>
      <c r="G1965" s="1470" t="s">
        <v>5747</v>
      </c>
      <c r="H1965" s="1456">
        <v>0</v>
      </c>
      <c r="I1965" s="1456">
        <v>0</v>
      </c>
      <c r="J1965" s="1471">
        <v>0</v>
      </c>
      <c r="K1965" s="1460"/>
      <c r="L1965" s="1454">
        <v>13225040301</v>
      </c>
      <c r="M1965" s="1455">
        <v>1</v>
      </c>
      <c r="N1965" s="1455">
        <v>0</v>
      </c>
      <c r="O1965" s="1456">
        <v>1</v>
      </c>
      <c r="AA1965"/>
      <c r="AB1965"/>
    </row>
    <row r="1966" spans="3:28">
      <c r="C1966" s="1461" t="s">
        <v>5748</v>
      </c>
      <c r="D1966" s="1458">
        <v>0</v>
      </c>
      <c r="E1966" s="1458">
        <v>0</v>
      </c>
      <c r="F1966" s="1459">
        <v>0</v>
      </c>
      <c r="G1966" s="1470" t="s">
        <v>5748</v>
      </c>
      <c r="H1966" s="1456">
        <v>0</v>
      </c>
      <c r="I1966" s="1456">
        <v>0</v>
      </c>
      <c r="J1966" s="1471">
        <v>0</v>
      </c>
      <c r="K1966" s="1460"/>
      <c r="L1966" s="1454">
        <v>13225040302</v>
      </c>
      <c r="M1966" s="1455">
        <v>0</v>
      </c>
      <c r="N1966" s="1455">
        <v>0</v>
      </c>
      <c r="O1966" s="1456">
        <v>0</v>
      </c>
      <c r="AA1966"/>
      <c r="AB1966"/>
    </row>
    <row r="1967" spans="3:28">
      <c r="C1967" s="1461" t="s">
        <v>5749</v>
      </c>
      <c r="D1967" s="1458">
        <v>0</v>
      </c>
      <c r="E1967" s="1458">
        <v>0</v>
      </c>
      <c r="F1967" s="1459">
        <v>0</v>
      </c>
      <c r="G1967" s="1470" t="s">
        <v>5749</v>
      </c>
      <c r="H1967" s="1456">
        <v>0</v>
      </c>
      <c r="I1967" s="1456" t="s">
        <v>3906</v>
      </c>
      <c r="J1967" s="1471">
        <v>0</v>
      </c>
      <c r="K1967" s="1460"/>
      <c r="L1967" s="1454">
        <v>13225040400</v>
      </c>
      <c r="M1967" s="1455">
        <v>0</v>
      </c>
      <c r="N1967" s="1455">
        <v>0</v>
      </c>
      <c r="O1967" s="1456">
        <v>0</v>
      </c>
      <c r="AA1967"/>
      <c r="AB1967"/>
    </row>
    <row r="1968" spans="3:28">
      <c r="C1968" s="1461" t="s">
        <v>5750</v>
      </c>
      <c r="D1968" s="1458">
        <v>1</v>
      </c>
      <c r="E1968" s="1458">
        <v>1</v>
      </c>
      <c r="F1968" s="1459">
        <v>2</v>
      </c>
      <c r="G1968" s="1470" t="s">
        <v>5750</v>
      </c>
      <c r="H1968" s="1456">
        <v>1</v>
      </c>
      <c r="I1968" s="1456">
        <v>1</v>
      </c>
      <c r="J1968" s="1471">
        <v>2</v>
      </c>
      <c r="K1968" s="1460"/>
      <c r="L1968" s="1454">
        <v>13227050100</v>
      </c>
      <c r="M1968" s="1455">
        <v>1</v>
      </c>
      <c r="N1968" s="1455">
        <v>1</v>
      </c>
      <c r="O1968" s="1456">
        <v>2</v>
      </c>
      <c r="AA1968"/>
      <c r="AB1968"/>
    </row>
    <row r="1969" spans="3:28">
      <c r="C1969" s="1461" t="s">
        <v>5751</v>
      </c>
      <c r="D1969" s="1458">
        <v>0</v>
      </c>
      <c r="E1969" s="1458">
        <v>0</v>
      </c>
      <c r="F1969" s="1459">
        <v>0</v>
      </c>
      <c r="G1969" s="1470" t="s">
        <v>5751</v>
      </c>
      <c r="H1969" s="1456">
        <v>0</v>
      </c>
      <c r="I1969" s="1456">
        <v>0</v>
      </c>
      <c r="J1969" s="1471">
        <v>0</v>
      </c>
      <c r="K1969" s="1460"/>
      <c r="L1969" s="1454">
        <v>13227050200</v>
      </c>
      <c r="M1969" s="1455">
        <v>0</v>
      </c>
      <c r="N1969" s="1455">
        <v>0</v>
      </c>
      <c r="O1969" s="1456">
        <v>0</v>
      </c>
      <c r="AA1969"/>
      <c r="AB1969"/>
    </row>
    <row r="1970" spans="3:28">
      <c r="C1970" s="1461" t="s">
        <v>5752</v>
      </c>
      <c r="D1970" s="1458">
        <v>0</v>
      </c>
      <c r="E1970" s="1458">
        <v>1</v>
      </c>
      <c r="F1970" s="1459">
        <v>1</v>
      </c>
      <c r="G1970" s="1470" t="s">
        <v>5752</v>
      </c>
      <c r="H1970" s="1456">
        <v>0</v>
      </c>
      <c r="I1970" s="1456">
        <v>0</v>
      </c>
      <c r="J1970" s="1471">
        <v>0</v>
      </c>
      <c r="K1970" s="1460"/>
      <c r="L1970" s="1454">
        <v>13227050300</v>
      </c>
      <c r="M1970" s="1455">
        <v>0</v>
      </c>
      <c r="N1970" s="1455">
        <v>1</v>
      </c>
      <c r="O1970" s="1456">
        <v>1</v>
      </c>
      <c r="AA1970"/>
      <c r="AB1970"/>
    </row>
    <row r="1971" spans="3:28">
      <c r="C1971" s="1461" t="s">
        <v>5753</v>
      </c>
      <c r="D1971" s="1458">
        <v>0</v>
      </c>
      <c r="E1971" s="1458">
        <v>0</v>
      </c>
      <c r="F1971" s="1459">
        <v>0</v>
      </c>
      <c r="G1971" s="1470" t="s">
        <v>5753</v>
      </c>
      <c r="H1971" s="1456">
        <v>0</v>
      </c>
      <c r="I1971" s="1456">
        <v>1</v>
      </c>
      <c r="J1971" s="1471">
        <v>1</v>
      </c>
      <c r="K1971" s="1460"/>
      <c r="L1971" s="1454">
        <v>13227050400</v>
      </c>
      <c r="M1971" s="1455">
        <v>0</v>
      </c>
      <c r="N1971" s="1455">
        <v>1</v>
      </c>
      <c r="O1971" s="1456">
        <v>1</v>
      </c>
      <c r="AA1971"/>
      <c r="AB1971"/>
    </row>
    <row r="1972" spans="3:28">
      <c r="C1972" s="1461" t="s">
        <v>5754</v>
      </c>
      <c r="D1972" s="1458">
        <v>1</v>
      </c>
      <c r="E1972" s="1458">
        <v>1</v>
      </c>
      <c r="F1972" s="1459">
        <v>2</v>
      </c>
      <c r="G1972" s="1470" t="s">
        <v>5754</v>
      </c>
      <c r="H1972" s="1456">
        <v>0</v>
      </c>
      <c r="I1972" s="1456">
        <v>0</v>
      </c>
      <c r="J1972" s="1471">
        <v>0</v>
      </c>
      <c r="K1972" s="1460"/>
      <c r="L1972" s="1454">
        <v>13227050500</v>
      </c>
      <c r="M1972" s="1455">
        <v>1</v>
      </c>
      <c r="N1972" s="1455">
        <v>1</v>
      </c>
      <c r="O1972" s="1456">
        <v>2</v>
      </c>
      <c r="AA1972"/>
      <c r="AB1972"/>
    </row>
    <row r="1973" spans="3:28">
      <c r="C1973" s="1461" t="s">
        <v>5755</v>
      </c>
      <c r="D1973" s="1458">
        <v>1</v>
      </c>
      <c r="E1973" s="1458">
        <v>1</v>
      </c>
      <c r="F1973" s="1459">
        <v>2</v>
      </c>
      <c r="G1973" s="1470" t="s">
        <v>5755</v>
      </c>
      <c r="H1973" s="1456">
        <v>1</v>
      </c>
      <c r="I1973" s="1456">
        <v>1</v>
      </c>
      <c r="J1973" s="1471">
        <v>2</v>
      </c>
      <c r="K1973" s="1460"/>
      <c r="L1973" s="1454">
        <v>13227050600</v>
      </c>
      <c r="M1973" s="1455">
        <v>1</v>
      </c>
      <c r="N1973" s="1455">
        <v>1</v>
      </c>
      <c r="O1973" s="1456">
        <v>2</v>
      </c>
      <c r="AA1973"/>
      <c r="AB1973"/>
    </row>
    <row r="1974" spans="3:28">
      <c r="C1974" s="1461" t="s">
        <v>5756</v>
      </c>
      <c r="D1974" s="1458">
        <v>0</v>
      </c>
      <c r="E1974" s="1458">
        <v>0</v>
      </c>
      <c r="F1974" s="1459">
        <v>0</v>
      </c>
      <c r="G1974" s="1470" t="s">
        <v>5756</v>
      </c>
      <c r="H1974" s="1456">
        <v>0</v>
      </c>
      <c r="I1974" s="1456">
        <v>0</v>
      </c>
      <c r="J1974" s="1471">
        <v>0</v>
      </c>
      <c r="K1974" s="1460"/>
      <c r="L1974" s="1454">
        <v>13229960100</v>
      </c>
      <c r="M1974" s="1455">
        <v>0</v>
      </c>
      <c r="N1974" s="1455">
        <v>0</v>
      </c>
      <c r="O1974" s="1456">
        <v>0</v>
      </c>
      <c r="AA1974"/>
      <c r="AB1974"/>
    </row>
    <row r="1975" spans="3:28">
      <c r="C1975" s="1461" t="s">
        <v>5757</v>
      </c>
      <c r="D1975" s="1458">
        <v>0</v>
      </c>
      <c r="E1975" s="1458">
        <v>0</v>
      </c>
      <c r="F1975" s="1459">
        <v>0</v>
      </c>
      <c r="G1975" s="1470" t="s">
        <v>5757</v>
      </c>
      <c r="H1975" s="1456">
        <v>0</v>
      </c>
      <c r="I1975" s="1456">
        <v>0</v>
      </c>
      <c r="J1975" s="1471">
        <v>0</v>
      </c>
      <c r="K1975" s="1460"/>
      <c r="L1975" s="1454">
        <v>13229960200</v>
      </c>
      <c r="M1975" s="1455">
        <v>0</v>
      </c>
      <c r="N1975" s="1455">
        <v>0</v>
      </c>
      <c r="O1975" s="1456">
        <v>0</v>
      </c>
      <c r="AA1975"/>
      <c r="AB1975"/>
    </row>
    <row r="1976" spans="3:28">
      <c r="C1976" s="1461" t="s">
        <v>5758</v>
      </c>
      <c r="D1976" s="1458">
        <v>0</v>
      </c>
      <c r="E1976" s="1458">
        <v>0</v>
      </c>
      <c r="F1976" s="1459">
        <v>0</v>
      </c>
      <c r="G1976" s="1470" t="s">
        <v>5758</v>
      </c>
      <c r="H1976" s="1456">
        <v>0</v>
      </c>
      <c r="I1976" s="1456">
        <v>0</v>
      </c>
      <c r="J1976" s="1471">
        <v>0</v>
      </c>
      <c r="K1976" s="1460"/>
      <c r="L1976" s="1454">
        <v>13229960300</v>
      </c>
      <c r="M1976" s="1455">
        <v>0</v>
      </c>
      <c r="N1976" s="1455">
        <v>0</v>
      </c>
      <c r="O1976" s="1456">
        <v>0</v>
      </c>
      <c r="AA1976"/>
      <c r="AB1976"/>
    </row>
    <row r="1977" spans="3:28">
      <c r="C1977" s="1461" t="s">
        <v>5759</v>
      </c>
      <c r="D1977" s="1458">
        <v>0</v>
      </c>
      <c r="E1977" s="1458">
        <v>1</v>
      </c>
      <c r="F1977" s="1459">
        <v>1</v>
      </c>
      <c r="G1977" s="1470" t="s">
        <v>5759</v>
      </c>
      <c r="H1977" s="1456">
        <v>0</v>
      </c>
      <c r="I1977" s="1456">
        <v>0</v>
      </c>
      <c r="J1977" s="1471">
        <v>0</v>
      </c>
      <c r="K1977" s="1460"/>
      <c r="L1977" s="1454">
        <v>13229960400</v>
      </c>
      <c r="M1977" s="1455">
        <v>0</v>
      </c>
      <c r="N1977" s="1455">
        <v>1</v>
      </c>
      <c r="O1977" s="1456">
        <v>1</v>
      </c>
      <c r="AA1977"/>
      <c r="AB1977"/>
    </row>
    <row r="1978" spans="3:28">
      <c r="C1978" s="1461" t="s">
        <v>5760</v>
      </c>
      <c r="D1978" s="1458">
        <v>0</v>
      </c>
      <c r="E1978" s="1458">
        <v>1</v>
      </c>
      <c r="F1978" s="1459">
        <v>1</v>
      </c>
      <c r="G1978" s="1470" t="s">
        <v>5760</v>
      </c>
      <c r="H1978" s="1456">
        <v>0</v>
      </c>
      <c r="I1978" s="1456">
        <v>1</v>
      </c>
      <c r="J1978" s="1471">
        <v>1</v>
      </c>
      <c r="K1978" s="1460"/>
      <c r="L1978" s="1454">
        <v>13231010100</v>
      </c>
      <c r="M1978" s="1455">
        <v>0</v>
      </c>
      <c r="N1978" s="1455">
        <v>1</v>
      </c>
      <c r="O1978" s="1456">
        <v>1</v>
      </c>
      <c r="AA1978"/>
      <c r="AB1978"/>
    </row>
    <row r="1979" spans="3:28">
      <c r="C1979" s="1461" t="s">
        <v>5761</v>
      </c>
      <c r="D1979" s="1458">
        <v>1</v>
      </c>
      <c r="E1979" s="1458">
        <v>1</v>
      </c>
      <c r="F1979" s="1459">
        <v>2</v>
      </c>
      <c r="G1979" s="1470" t="s">
        <v>5761</v>
      </c>
      <c r="H1979" s="1456">
        <v>1</v>
      </c>
      <c r="I1979" s="1456">
        <v>1</v>
      </c>
      <c r="J1979" s="1471">
        <v>2</v>
      </c>
      <c r="K1979" s="1460"/>
      <c r="L1979" s="1454">
        <v>13231010200</v>
      </c>
      <c r="M1979" s="1455">
        <v>1</v>
      </c>
      <c r="N1979" s="1455">
        <v>1</v>
      </c>
      <c r="O1979" s="1456">
        <v>2</v>
      </c>
      <c r="AA1979"/>
      <c r="AB1979"/>
    </row>
    <row r="1980" spans="3:28">
      <c r="C1980" s="1461" t="s">
        <v>5762</v>
      </c>
      <c r="D1980" s="1458">
        <v>0</v>
      </c>
      <c r="E1980" s="1458">
        <v>1</v>
      </c>
      <c r="F1980" s="1459">
        <v>1</v>
      </c>
      <c r="G1980" s="1470" t="s">
        <v>5762</v>
      </c>
      <c r="H1980" s="1456">
        <v>0</v>
      </c>
      <c r="I1980" s="1456">
        <v>0</v>
      </c>
      <c r="J1980" s="1471">
        <v>0</v>
      </c>
      <c r="K1980" s="1460"/>
      <c r="L1980" s="1454">
        <v>13231010300</v>
      </c>
      <c r="M1980" s="1455">
        <v>0</v>
      </c>
      <c r="N1980" s="1455">
        <v>1</v>
      </c>
      <c r="O1980" s="1456">
        <v>1</v>
      </c>
      <c r="AA1980"/>
      <c r="AB1980"/>
    </row>
    <row r="1981" spans="3:28">
      <c r="C1981" s="1461" t="s">
        <v>5763</v>
      </c>
      <c r="D1981" s="1458">
        <v>0</v>
      </c>
      <c r="E1981" s="1458">
        <v>1</v>
      </c>
      <c r="F1981" s="1459">
        <v>1</v>
      </c>
      <c r="G1981" s="1470" t="s">
        <v>5763</v>
      </c>
      <c r="H1981" s="1456">
        <v>0</v>
      </c>
      <c r="I1981" s="1456">
        <v>0</v>
      </c>
      <c r="J1981" s="1471">
        <v>0</v>
      </c>
      <c r="K1981" s="1460"/>
      <c r="L1981" s="1454">
        <v>13231010400</v>
      </c>
      <c r="M1981" s="1455">
        <v>0</v>
      </c>
      <c r="N1981" s="1455">
        <v>1</v>
      </c>
      <c r="O1981" s="1456">
        <v>1</v>
      </c>
      <c r="AA1981"/>
      <c r="AB1981"/>
    </row>
    <row r="1982" spans="3:28">
      <c r="C1982" s="1461" t="s">
        <v>5764</v>
      </c>
      <c r="D1982" s="1458">
        <v>0</v>
      </c>
      <c r="E1982" s="1458">
        <v>0</v>
      </c>
      <c r="F1982" s="1459">
        <v>0</v>
      </c>
      <c r="G1982" s="1470" t="s">
        <v>5764</v>
      </c>
      <c r="H1982" s="1456">
        <v>0</v>
      </c>
      <c r="I1982" s="1456">
        <v>0</v>
      </c>
      <c r="J1982" s="1471">
        <v>0</v>
      </c>
      <c r="K1982" s="1460"/>
      <c r="L1982" s="1454">
        <v>13233010100</v>
      </c>
      <c r="M1982" s="1455">
        <v>0</v>
      </c>
      <c r="N1982" s="1455">
        <v>0</v>
      </c>
      <c r="O1982" s="1456">
        <v>0</v>
      </c>
      <c r="AA1982"/>
      <c r="AB1982"/>
    </row>
    <row r="1983" spans="3:28">
      <c r="C1983" s="1461" t="s">
        <v>5765</v>
      </c>
      <c r="D1983" s="1458">
        <v>0</v>
      </c>
      <c r="E1983" s="1458">
        <v>0</v>
      </c>
      <c r="F1983" s="1459">
        <v>0</v>
      </c>
      <c r="G1983" s="1470" t="s">
        <v>5765</v>
      </c>
      <c r="H1983" s="1456">
        <v>0</v>
      </c>
      <c r="I1983" s="1456">
        <v>1</v>
      </c>
      <c r="J1983" s="1471">
        <v>1</v>
      </c>
      <c r="K1983" s="1460"/>
      <c r="L1983" s="1454">
        <v>13233010200</v>
      </c>
      <c r="M1983" s="1455">
        <v>0</v>
      </c>
      <c r="N1983" s="1455">
        <v>1</v>
      </c>
      <c r="O1983" s="1456">
        <v>1</v>
      </c>
      <c r="AA1983"/>
      <c r="AB1983"/>
    </row>
    <row r="1984" spans="3:28">
      <c r="C1984" s="1461" t="s">
        <v>5766</v>
      </c>
      <c r="D1984" s="1458">
        <v>0</v>
      </c>
      <c r="E1984" s="1458">
        <v>0</v>
      </c>
      <c r="F1984" s="1459">
        <v>0</v>
      </c>
      <c r="G1984" s="1470" t="s">
        <v>5766</v>
      </c>
      <c r="H1984" s="1456">
        <v>0</v>
      </c>
      <c r="I1984" s="1456">
        <v>0</v>
      </c>
      <c r="J1984" s="1471">
        <v>0</v>
      </c>
      <c r="K1984" s="1460"/>
      <c r="L1984" s="1454">
        <v>13233010300</v>
      </c>
      <c r="M1984" s="1455">
        <v>0</v>
      </c>
      <c r="N1984" s="1455">
        <v>0</v>
      </c>
      <c r="O1984" s="1456">
        <v>0</v>
      </c>
      <c r="AA1984"/>
      <c r="AB1984"/>
    </row>
    <row r="1985" spans="3:28">
      <c r="C1985" s="1461" t="s">
        <v>5767</v>
      </c>
      <c r="D1985" s="1458">
        <v>0</v>
      </c>
      <c r="E1985" s="1458">
        <v>0</v>
      </c>
      <c r="F1985" s="1459">
        <v>0</v>
      </c>
      <c r="G1985" s="1470" t="s">
        <v>5767</v>
      </c>
      <c r="H1985" s="1456">
        <v>0</v>
      </c>
      <c r="I1985" s="1456">
        <v>0</v>
      </c>
      <c r="J1985" s="1471">
        <v>0</v>
      </c>
      <c r="K1985" s="1460"/>
      <c r="L1985" s="1454">
        <v>13233010400</v>
      </c>
      <c r="M1985" s="1455">
        <v>0</v>
      </c>
      <c r="N1985" s="1455">
        <v>0</v>
      </c>
      <c r="O1985" s="1456">
        <v>0</v>
      </c>
      <c r="AA1985"/>
      <c r="AB1985"/>
    </row>
    <row r="1986" spans="3:28">
      <c r="C1986" s="1461" t="s">
        <v>5768</v>
      </c>
      <c r="D1986" s="1458">
        <v>0</v>
      </c>
      <c r="E1986" s="1458">
        <v>0</v>
      </c>
      <c r="F1986" s="1459">
        <v>0</v>
      </c>
      <c r="G1986" s="1470" t="s">
        <v>5768</v>
      </c>
      <c r="H1986" s="1456">
        <v>0</v>
      </c>
      <c r="I1986" s="1456">
        <v>0</v>
      </c>
      <c r="J1986" s="1471">
        <v>0</v>
      </c>
      <c r="K1986" s="1460"/>
      <c r="L1986" s="1454">
        <v>13233010500</v>
      </c>
      <c r="M1986" s="1455">
        <v>0</v>
      </c>
      <c r="N1986" s="1455">
        <v>0</v>
      </c>
      <c r="O1986" s="1456">
        <v>0</v>
      </c>
      <c r="AA1986"/>
      <c r="AB1986"/>
    </row>
    <row r="1987" spans="3:28">
      <c r="C1987" s="1461" t="s">
        <v>5769</v>
      </c>
      <c r="D1987" s="1458">
        <v>0</v>
      </c>
      <c r="E1987" s="1458">
        <v>0</v>
      </c>
      <c r="F1987" s="1459">
        <v>0</v>
      </c>
      <c r="G1987" s="1470" t="s">
        <v>5769</v>
      </c>
      <c r="H1987" s="1456">
        <v>0</v>
      </c>
      <c r="I1987" s="1456">
        <v>1</v>
      </c>
      <c r="J1987" s="1471">
        <v>1</v>
      </c>
      <c r="K1987" s="1460"/>
      <c r="L1987" s="1454">
        <v>13233010600</v>
      </c>
      <c r="M1987" s="1455">
        <v>0</v>
      </c>
      <c r="N1987" s="1455">
        <v>1</v>
      </c>
      <c r="O1987" s="1456">
        <v>1</v>
      </c>
      <c r="AA1987"/>
      <c r="AB1987"/>
    </row>
    <row r="1988" spans="3:28">
      <c r="C1988" s="1461" t="s">
        <v>5770</v>
      </c>
      <c r="D1988" s="1458">
        <v>0</v>
      </c>
      <c r="E1988" s="1458">
        <v>0</v>
      </c>
      <c r="F1988" s="1459">
        <v>0</v>
      </c>
      <c r="G1988" s="1470" t="s">
        <v>5770</v>
      </c>
      <c r="H1988" s="1456">
        <v>0</v>
      </c>
      <c r="I1988" s="1456">
        <v>0</v>
      </c>
      <c r="J1988" s="1471">
        <v>0</v>
      </c>
      <c r="K1988" s="1460"/>
      <c r="L1988" s="1454">
        <v>13233010700</v>
      </c>
      <c r="M1988" s="1455">
        <v>0</v>
      </c>
      <c r="N1988" s="1455">
        <v>0</v>
      </c>
      <c r="O1988" s="1456">
        <v>0</v>
      </c>
      <c r="AA1988"/>
      <c r="AB1988"/>
    </row>
    <row r="1989" spans="3:28">
      <c r="C1989" s="1461" t="s">
        <v>5771</v>
      </c>
      <c r="D1989" s="1458">
        <v>0</v>
      </c>
      <c r="E1989" s="1458">
        <v>0</v>
      </c>
      <c r="F1989" s="1459">
        <v>0</v>
      </c>
      <c r="G1989" s="1470" t="s">
        <v>5771</v>
      </c>
      <c r="H1989" s="1456">
        <v>0</v>
      </c>
      <c r="I1989" s="1456">
        <v>0</v>
      </c>
      <c r="J1989" s="1471">
        <v>0</v>
      </c>
      <c r="K1989" s="1460"/>
      <c r="L1989" s="1454">
        <v>13235950100</v>
      </c>
      <c r="M1989" s="1455">
        <v>0</v>
      </c>
      <c r="N1989" s="1455">
        <v>0</v>
      </c>
      <c r="O1989" s="1456">
        <v>0</v>
      </c>
      <c r="AA1989"/>
      <c r="AB1989"/>
    </row>
    <row r="1990" spans="3:28">
      <c r="C1990" s="1461" t="s">
        <v>5772</v>
      </c>
      <c r="D1990" s="1458">
        <v>0</v>
      </c>
      <c r="E1990" s="1458">
        <v>0</v>
      </c>
      <c r="F1990" s="1459">
        <v>0</v>
      </c>
      <c r="G1990" s="1470" t="s">
        <v>5772</v>
      </c>
      <c r="H1990" s="1456">
        <v>0</v>
      </c>
      <c r="I1990" s="1456">
        <v>1</v>
      </c>
      <c r="J1990" s="1471">
        <v>1</v>
      </c>
      <c r="K1990" s="1460"/>
      <c r="L1990" s="1454">
        <v>13235950200</v>
      </c>
      <c r="M1990" s="1455">
        <v>0</v>
      </c>
      <c r="N1990" s="1455">
        <v>1</v>
      </c>
      <c r="O1990" s="1456">
        <v>1</v>
      </c>
      <c r="AA1990"/>
      <c r="AB1990"/>
    </row>
    <row r="1991" spans="3:28">
      <c r="C1991" s="1461" t="s">
        <v>5773</v>
      </c>
      <c r="D1991" s="1458">
        <v>0</v>
      </c>
      <c r="E1991" s="1458">
        <v>0</v>
      </c>
      <c r="F1991" s="1459">
        <v>0</v>
      </c>
      <c r="G1991" s="1470" t="s">
        <v>5773</v>
      </c>
      <c r="H1991" s="1456">
        <v>0</v>
      </c>
      <c r="I1991" s="1456">
        <v>0</v>
      </c>
      <c r="J1991" s="1471">
        <v>0</v>
      </c>
      <c r="K1991" s="1460"/>
      <c r="L1991" s="1454">
        <v>13235950300</v>
      </c>
      <c r="M1991" s="1455">
        <v>0</v>
      </c>
      <c r="N1991" s="1455">
        <v>0</v>
      </c>
      <c r="O1991" s="1456">
        <v>0</v>
      </c>
      <c r="AA1991"/>
      <c r="AB1991"/>
    </row>
    <row r="1992" spans="3:28">
      <c r="C1992" s="1461" t="s">
        <v>5774</v>
      </c>
      <c r="D1992" s="1458">
        <v>0</v>
      </c>
      <c r="E1992" s="1458">
        <v>0</v>
      </c>
      <c r="F1992" s="1459">
        <v>0</v>
      </c>
      <c r="G1992" s="1470" t="s">
        <v>5774</v>
      </c>
      <c r="H1992" s="1456">
        <v>0</v>
      </c>
      <c r="I1992" s="1456">
        <v>1</v>
      </c>
      <c r="J1992" s="1471">
        <v>1</v>
      </c>
      <c r="K1992" s="1460"/>
      <c r="L1992" s="1454">
        <v>13237960101</v>
      </c>
      <c r="M1992" s="1455">
        <v>0</v>
      </c>
      <c r="N1992" s="1455">
        <v>1</v>
      </c>
      <c r="O1992" s="1456">
        <v>1</v>
      </c>
      <c r="AA1992"/>
      <c r="AB1992"/>
    </row>
    <row r="1993" spans="3:28">
      <c r="C1993" s="1461" t="s">
        <v>5775</v>
      </c>
      <c r="D1993" s="1458">
        <v>1</v>
      </c>
      <c r="E1993" s="1458">
        <v>1</v>
      </c>
      <c r="F1993" s="1459">
        <v>2</v>
      </c>
      <c r="G1993" s="1470" t="s">
        <v>5775</v>
      </c>
      <c r="H1993" s="1456">
        <v>1</v>
      </c>
      <c r="I1993" s="1456" t="s">
        <v>3906</v>
      </c>
      <c r="J1993" s="1471">
        <v>1</v>
      </c>
      <c r="K1993" s="1460"/>
      <c r="L1993" s="1454">
        <v>13237960102</v>
      </c>
      <c r="M1993" s="1455">
        <v>1</v>
      </c>
      <c r="N1993" s="1455">
        <v>1</v>
      </c>
      <c r="O1993" s="1456">
        <v>2</v>
      </c>
      <c r="AA1993"/>
      <c r="AB1993"/>
    </row>
    <row r="1994" spans="3:28">
      <c r="C1994" s="1461" t="s">
        <v>5776</v>
      </c>
      <c r="D1994" s="1458">
        <v>0</v>
      </c>
      <c r="E1994" s="1458">
        <v>0</v>
      </c>
      <c r="F1994" s="1459">
        <v>0</v>
      </c>
      <c r="G1994" s="1470" t="s">
        <v>5776</v>
      </c>
      <c r="H1994" s="1456">
        <v>0</v>
      </c>
      <c r="I1994" s="1456" t="s">
        <v>3906</v>
      </c>
      <c r="J1994" s="1471">
        <v>0</v>
      </c>
      <c r="K1994" s="1460"/>
      <c r="L1994" s="1454">
        <v>13237960201</v>
      </c>
      <c r="M1994" s="1455">
        <v>0</v>
      </c>
      <c r="N1994" s="1455">
        <v>0</v>
      </c>
      <c r="O1994" s="1456">
        <v>0</v>
      </c>
      <c r="AA1994"/>
      <c r="AB1994"/>
    </row>
    <row r="1995" spans="3:28">
      <c r="C1995" s="1461" t="s">
        <v>5777</v>
      </c>
      <c r="D1995" s="1458">
        <v>0</v>
      </c>
      <c r="E1995" s="1458">
        <v>0</v>
      </c>
      <c r="F1995" s="1459">
        <v>0</v>
      </c>
      <c r="G1995" s="1470" t="s">
        <v>5777</v>
      </c>
      <c r="H1995" s="1456">
        <v>0</v>
      </c>
      <c r="I1995" s="1456">
        <v>0</v>
      </c>
      <c r="J1995" s="1471">
        <v>0</v>
      </c>
      <c r="K1995" s="1460"/>
      <c r="L1995" s="1454">
        <v>13237960202</v>
      </c>
      <c r="M1995" s="1455">
        <v>0</v>
      </c>
      <c r="N1995" s="1455">
        <v>0</v>
      </c>
      <c r="O1995" s="1456">
        <v>0</v>
      </c>
      <c r="AA1995"/>
      <c r="AB1995"/>
    </row>
    <row r="1996" spans="3:28">
      <c r="C1996" s="1461" t="s">
        <v>5778</v>
      </c>
      <c r="D1996" s="1458">
        <v>0</v>
      </c>
      <c r="E1996" s="1458">
        <v>1</v>
      </c>
      <c r="F1996" s="1459">
        <v>1</v>
      </c>
      <c r="G1996" s="1470" t="s">
        <v>5778</v>
      </c>
      <c r="H1996" s="1456">
        <v>0</v>
      </c>
      <c r="I1996" s="1456">
        <v>0</v>
      </c>
      <c r="J1996" s="1471">
        <v>0</v>
      </c>
      <c r="K1996" s="1460"/>
      <c r="L1996" s="1454">
        <v>13237960300</v>
      </c>
      <c r="M1996" s="1455">
        <v>0</v>
      </c>
      <c r="N1996" s="1455">
        <v>1</v>
      </c>
      <c r="O1996" s="1456">
        <v>1</v>
      </c>
      <c r="AA1996"/>
      <c r="AB1996"/>
    </row>
    <row r="1997" spans="3:28">
      <c r="C1997" s="1461" t="s">
        <v>5779</v>
      </c>
      <c r="D1997" s="1458">
        <v>0</v>
      </c>
      <c r="E1997" s="1458">
        <v>0</v>
      </c>
      <c r="F1997" s="1459">
        <v>0</v>
      </c>
      <c r="G1997" s="1470" t="s">
        <v>5779</v>
      </c>
      <c r="H1997" s="1456">
        <v>0</v>
      </c>
      <c r="I1997" s="1456">
        <v>0</v>
      </c>
      <c r="J1997" s="1471">
        <v>0</v>
      </c>
      <c r="K1997" s="1460"/>
      <c r="L1997" s="1454">
        <v>13239960300</v>
      </c>
      <c r="M1997" s="1455">
        <v>0</v>
      </c>
      <c r="N1997" s="1455">
        <v>0</v>
      </c>
      <c r="O1997" s="1456">
        <v>0</v>
      </c>
      <c r="AA1997"/>
      <c r="AB1997"/>
    </row>
    <row r="1998" spans="3:28">
      <c r="C1998" s="1461" t="s">
        <v>5780</v>
      </c>
      <c r="D1998" s="1458">
        <v>0</v>
      </c>
      <c r="E1998" s="1458">
        <v>0</v>
      </c>
      <c r="F1998" s="1459">
        <v>0</v>
      </c>
      <c r="G1998" s="1470" t="s">
        <v>5780</v>
      </c>
      <c r="H1998" s="1456">
        <v>0</v>
      </c>
      <c r="I1998" s="1456">
        <v>1</v>
      </c>
      <c r="J1998" s="1471">
        <v>1</v>
      </c>
      <c r="K1998" s="1460"/>
      <c r="L1998" s="1454">
        <v>13241970100</v>
      </c>
      <c r="M1998" s="1455">
        <v>0</v>
      </c>
      <c r="N1998" s="1455">
        <v>1</v>
      </c>
      <c r="O1998" s="1456">
        <v>1</v>
      </c>
      <c r="AA1998"/>
      <c r="AB1998"/>
    </row>
    <row r="1999" spans="3:28">
      <c r="C1999" s="1461" t="s">
        <v>5781</v>
      </c>
      <c r="D1999" s="1458">
        <v>0</v>
      </c>
      <c r="E1999" s="1458">
        <v>0</v>
      </c>
      <c r="F1999" s="1459">
        <v>0</v>
      </c>
      <c r="G1999" s="1470" t="s">
        <v>5781</v>
      </c>
      <c r="H1999" s="1456">
        <v>0</v>
      </c>
      <c r="I1999" s="1456">
        <v>0</v>
      </c>
      <c r="J1999" s="1471">
        <v>0</v>
      </c>
      <c r="K1999" s="1460"/>
      <c r="L1999" s="1454">
        <v>13241970201</v>
      </c>
      <c r="M1999" s="1455">
        <v>0</v>
      </c>
      <c r="N1999" s="1455">
        <v>0</v>
      </c>
      <c r="O1999" s="1456">
        <v>0</v>
      </c>
      <c r="AA1999"/>
      <c r="AB1999"/>
    </row>
    <row r="2000" spans="3:28">
      <c r="C2000" s="1461" t="s">
        <v>5782</v>
      </c>
      <c r="D2000" s="1458">
        <v>0</v>
      </c>
      <c r="E2000" s="1458">
        <v>0</v>
      </c>
      <c r="F2000" s="1459">
        <v>0</v>
      </c>
      <c r="G2000" s="1470" t="s">
        <v>5782</v>
      </c>
      <c r="H2000" s="1456">
        <v>0</v>
      </c>
      <c r="I2000" s="1456">
        <v>0</v>
      </c>
      <c r="J2000" s="1471">
        <v>0</v>
      </c>
      <c r="K2000" s="1460"/>
      <c r="L2000" s="1454">
        <v>13241970202</v>
      </c>
      <c r="M2000" s="1455">
        <v>0</v>
      </c>
      <c r="N2000" s="1455">
        <v>0</v>
      </c>
      <c r="O2000" s="1456">
        <v>0</v>
      </c>
      <c r="AA2000"/>
      <c r="AB2000"/>
    </row>
    <row r="2001" spans="3:28">
      <c r="C2001" s="1461" t="s">
        <v>5783</v>
      </c>
      <c r="D2001" s="1458">
        <v>0</v>
      </c>
      <c r="E2001" s="1458">
        <v>0</v>
      </c>
      <c r="F2001" s="1459">
        <v>0</v>
      </c>
      <c r="G2001" s="1470" t="s">
        <v>5783</v>
      </c>
      <c r="H2001" s="1456">
        <v>0</v>
      </c>
      <c r="I2001" s="1456">
        <v>1</v>
      </c>
      <c r="J2001" s="1471">
        <v>1</v>
      </c>
      <c r="K2001" s="1460"/>
      <c r="L2001" s="1454">
        <v>13241970301</v>
      </c>
      <c r="M2001" s="1455">
        <v>0</v>
      </c>
      <c r="N2001" s="1455">
        <v>1</v>
      </c>
      <c r="O2001" s="1456">
        <v>1</v>
      </c>
      <c r="AA2001"/>
      <c r="AB2001"/>
    </row>
    <row r="2002" spans="3:28">
      <c r="C2002" s="1461" t="s">
        <v>5784</v>
      </c>
      <c r="D2002" s="1458">
        <v>0</v>
      </c>
      <c r="E2002" s="1458">
        <v>0</v>
      </c>
      <c r="F2002" s="1459">
        <v>0</v>
      </c>
      <c r="G2002" s="1470" t="s">
        <v>5784</v>
      </c>
      <c r="H2002" s="1456">
        <v>0</v>
      </c>
      <c r="I2002" s="1456">
        <v>0</v>
      </c>
      <c r="J2002" s="1471">
        <v>0</v>
      </c>
      <c r="K2002" s="1460"/>
      <c r="L2002" s="1454">
        <v>13241970302</v>
      </c>
      <c r="M2002" s="1455">
        <v>0</v>
      </c>
      <c r="N2002" s="1455">
        <v>0</v>
      </c>
      <c r="O2002" s="1456">
        <v>0</v>
      </c>
      <c r="AA2002"/>
      <c r="AB2002"/>
    </row>
    <row r="2003" spans="3:28">
      <c r="C2003" s="1461" t="s">
        <v>5785</v>
      </c>
      <c r="D2003" s="1458">
        <v>0</v>
      </c>
      <c r="E2003" s="1458">
        <v>0</v>
      </c>
      <c r="F2003" s="1459">
        <v>0</v>
      </c>
      <c r="G2003" s="1470" t="s">
        <v>5785</v>
      </c>
      <c r="H2003" s="1456">
        <v>0</v>
      </c>
      <c r="I2003" s="1456">
        <v>0</v>
      </c>
      <c r="J2003" s="1471">
        <v>0</v>
      </c>
      <c r="K2003" s="1460"/>
      <c r="L2003" s="1454">
        <v>13243790100</v>
      </c>
      <c r="M2003" s="1455">
        <v>0</v>
      </c>
      <c r="N2003" s="1455">
        <v>0</v>
      </c>
      <c r="O2003" s="1456">
        <v>0</v>
      </c>
      <c r="AA2003"/>
      <c r="AB2003"/>
    </row>
    <row r="2004" spans="3:28">
      <c r="C2004" s="1461" t="s">
        <v>5786</v>
      </c>
      <c r="D2004" s="1458">
        <v>0</v>
      </c>
      <c r="E2004" s="1458">
        <v>0</v>
      </c>
      <c r="F2004" s="1459">
        <v>0</v>
      </c>
      <c r="G2004" s="1470" t="s">
        <v>5786</v>
      </c>
      <c r="H2004" s="1456">
        <v>0</v>
      </c>
      <c r="I2004" s="1456">
        <v>0</v>
      </c>
      <c r="J2004" s="1471">
        <v>0</v>
      </c>
      <c r="K2004" s="1460"/>
      <c r="L2004" s="1454">
        <v>13243790200</v>
      </c>
      <c r="M2004" s="1455">
        <v>0</v>
      </c>
      <c r="N2004" s="1455">
        <v>0</v>
      </c>
      <c r="O2004" s="1456">
        <v>0</v>
      </c>
      <c r="AA2004"/>
      <c r="AB2004"/>
    </row>
    <row r="2005" spans="3:28">
      <c r="C2005" s="1461" t="s">
        <v>5787</v>
      </c>
      <c r="D2005" s="1458">
        <v>0</v>
      </c>
      <c r="E2005" s="1458">
        <v>0</v>
      </c>
      <c r="F2005" s="1459">
        <v>0</v>
      </c>
      <c r="G2005" s="1470" t="s">
        <v>5787</v>
      </c>
      <c r="H2005" s="1456">
        <v>0</v>
      </c>
      <c r="I2005" s="1456">
        <v>0</v>
      </c>
      <c r="J2005" s="1471">
        <v>0</v>
      </c>
      <c r="K2005" s="1460"/>
      <c r="L2005" s="1454">
        <v>13245000100</v>
      </c>
      <c r="M2005" s="1455">
        <v>0</v>
      </c>
      <c r="N2005" s="1455">
        <v>0</v>
      </c>
      <c r="O2005" s="1456">
        <v>0</v>
      </c>
      <c r="AA2005"/>
      <c r="AB2005"/>
    </row>
    <row r="2006" spans="3:28">
      <c r="C2006" s="1461" t="s">
        <v>5788</v>
      </c>
      <c r="D2006" s="1458">
        <v>0</v>
      </c>
      <c r="E2006" s="1458">
        <v>0</v>
      </c>
      <c r="F2006" s="1459">
        <v>0</v>
      </c>
      <c r="G2006" s="1470" t="s">
        <v>5788</v>
      </c>
      <c r="H2006" s="1456">
        <v>0</v>
      </c>
      <c r="I2006" s="1456">
        <v>0</v>
      </c>
      <c r="J2006" s="1471">
        <v>0</v>
      </c>
      <c r="K2006" s="1460"/>
      <c r="L2006" s="1454">
        <v>13245000200</v>
      </c>
      <c r="M2006" s="1455">
        <v>0</v>
      </c>
      <c r="N2006" s="1455">
        <v>0</v>
      </c>
      <c r="O2006" s="1456">
        <v>0</v>
      </c>
      <c r="AA2006"/>
      <c r="AB2006"/>
    </row>
    <row r="2007" spans="3:28">
      <c r="C2007" s="1461" t="s">
        <v>5789</v>
      </c>
      <c r="D2007" s="1458">
        <v>0</v>
      </c>
      <c r="E2007" s="1458">
        <v>0</v>
      </c>
      <c r="F2007" s="1459">
        <v>0</v>
      </c>
      <c r="G2007" s="1470" t="s">
        <v>5789</v>
      </c>
      <c r="H2007" s="1456">
        <v>0</v>
      </c>
      <c r="I2007" s="1456">
        <v>0</v>
      </c>
      <c r="J2007" s="1471">
        <v>0</v>
      </c>
      <c r="K2007" s="1460"/>
      <c r="L2007" s="1454">
        <v>13245000300</v>
      </c>
      <c r="M2007" s="1455">
        <v>0</v>
      </c>
      <c r="N2007" s="1455">
        <v>0</v>
      </c>
      <c r="O2007" s="1456">
        <v>0</v>
      </c>
      <c r="AA2007"/>
      <c r="AB2007"/>
    </row>
    <row r="2008" spans="3:28">
      <c r="C2008" s="1461" t="s">
        <v>5790</v>
      </c>
      <c r="D2008" s="1458">
        <v>0</v>
      </c>
      <c r="E2008" s="1458">
        <v>0</v>
      </c>
      <c r="F2008" s="1459">
        <v>0</v>
      </c>
      <c r="G2008" s="1470" t="s">
        <v>5790</v>
      </c>
      <c r="H2008" s="1456">
        <v>0</v>
      </c>
      <c r="I2008" s="1456" t="s">
        <v>3906</v>
      </c>
      <c r="J2008" s="1471">
        <v>0</v>
      </c>
      <c r="K2008" s="1460"/>
      <c r="L2008" s="1454">
        <v>13245000600</v>
      </c>
      <c r="M2008" s="1455">
        <v>0</v>
      </c>
      <c r="N2008" s="1455">
        <v>0</v>
      </c>
      <c r="O2008" s="1456">
        <v>0</v>
      </c>
      <c r="AA2008"/>
      <c r="AB2008"/>
    </row>
    <row r="2009" spans="3:28">
      <c r="C2009" s="1461" t="s">
        <v>5791</v>
      </c>
      <c r="D2009" s="1458">
        <v>0</v>
      </c>
      <c r="E2009" s="1458">
        <v>0</v>
      </c>
      <c r="F2009" s="1459">
        <v>0</v>
      </c>
      <c r="G2009" s="1470" t="s">
        <v>5791</v>
      </c>
      <c r="H2009" s="1456">
        <v>0</v>
      </c>
      <c r="I2009" s="1456">
        <v>0</v>
      </c>
      <c r="J2009" s="1471">
        <v>0</v>
      </c>
      <c r="K2009" s="1460"/>
      <c r="L2009" s="1454">
        <v>13245000700</v>
      </c>
      <c r="M2009" s="1455">
        <v>0</v>
      </c>
      <c r="N2009" s="1455">
        <v>0</v>
      </c>
      <c r="O2009" s="1456">
        <v>0</v>
      </c>
      <c r="AA2009"/>
      <c r="AB2009"/>
    </row>
    <row r="2010" spans="3:28">
      <c r="C2010" s="1461" t="s">
        <v>5792</v>
      </c>
      <c r="D2010" s="1458">
        <v>0</v>
      </c>
      <c r="E2010" s="1458">
        <v>0</v>
      </c>
      <c r="F2010" s="1459">
        <v>0</v>
      </c>
      <c r="G2010" s="1470" t="s">
        <v>5792</v>
      </c>
      <c r="H2010" s="1456">
        <v>0</v>
      </c>
      <c r="I2010" s="1456">
        <v>0</v>
      </c>
      <c r="J2010" s="1471">
        <v>0</v>
      </c>
      <c r="K2010" s="1460"/>
      <c r="L2010" s="1454">
        <v>13245000900</v>
      </c>
      <c r="M2010" s="1455">
        <v>0</v>
      </c>
      <c r="N2010" s="1455">
        <v>0</v>
      </c>
      <c r="O2010" s="1456">
        <v>0</v>
      </c>
      <c r="AA2010"/>
      <c r="AB2010"/>
    </row>
    <row r="2011" spans="3:28">
      <c r="C2011" s="1461" t="s">
        <v>5793</v>
      </c>
      <c r="D2011" s="1458">
        <v>0</v>
      </c>
      <c r="E2011" s="1458">
        <v>0</v>
      </c>
      <c r="F2011" s="1459">
        <v>0</v>
      </c>
      <c r="G2011" s="1470" t="s">
        <v>5793</v>
      </c>
      <c r="H2011" s="1456">
        <v>0</v>
      </c>
      <c r="I2011" s="1456">
        <v>0</v>
      </c>
      <c r="J2011" s="1471">
        <v>0</v>
      </c>
      <c r="K2011" s="1460"/>
      <c r="L2011" s="1454">
        <v>13245001000</v>
      </c>
      <c r="M2011" s="1455">
        <v>0</v>
      </c>
      <c r="N2011" s="1455">
        <v>0</v>
      </c>
      <c r="O2011" s="1456">
        <v>0</v>
      </c>
      <c r="AA2011"/>
      <c r="AB2011"/>
    </row>
    <row r="2012" spans="3:28">
      <c r="C2012" s="1461" t="s">
        <v>5794</v>
      </c>
      <c r="D2012" s="1458">
        <v>1</v>
      </c>
      <c r="E2012" s="1458">
        <v>1</v>
      </c>
      <c r="F2012" s="1459">
        <v>2</v>
      </c>
      <c r="G2012" s="1470" t="s">
        <v>5794</v>
      </c>
      <c r="H2012" s="1456">
        <v>1</v>
      </c>
      <c r="I2012" s="1456" t="s">
        <v>3906</v>
      </c>
      <c r="J2012" s="1471">
        <v>1</v>
      </c>
      <c r="K2012" s="1460"/>
      <c r="L2012" s="1454">
        <v>13245001100</v>
      </c>
      <c r="M2012" s="1455">
        <v>1</v>
      </c>
      <c r="N2012" s="1455">
        <v>1</v>
      </c>
      <c r="O2012" s="1456">
        <v>2</v>
      </c>
      <c r="AA2012"/>
      <c r="AB2012"/>
    </row>
    <row r="2013" spans="3:28">
      <c r="C2013" s="1461" t="s">
        <v>5795</v>
      </c>
      <c r="D2013" s="1458">
        <v>0</v>
      </c>
      <c r="E2013" s="1458">
        <v>0</v>
      </c>
      <c r="F2013" s="1459">
        <v>0</v>
      </c>
      <c r="G2013" s="1470" t="s">
        <v>5795</v>
      </c>
      <c r="H2013" s="1456">
        <v>0</v>
      </c>
      <c r="I2013" s="1456">
        <v>0</v>
      </c>
      <c r="J2013" s="1471">
        <v>0</v>
      </c>
      <c r="K2013" s="1460"/>
      <c r="L2013" s="1454">
        <v>13245001200</v>
      </c>
      <c r="M2013" s="1455">
        <v>0</v>
      </c>
      <c r="N2013" s="1455">
        <v>0</v>
      </c>
      <c r="O2013" s="1456">
        <v>0</v>
      </c>
      <c r="AA2013"/>
      <c r="AB2013"/>
    </row>
    <row r="2014" spans="3:28">
      <c r="C2014" s="1461" t="s">
        <v>5796</v>
      </c>
      <c r="D2014" s="1458">
        <v>0</v>
      </c>
      <c r="E2014" s="1458">
        <v>0</v>
      </c>
      <c r="F2014" s="1459">
        <v>0</v>
      </c>
      <c r="G2014" s="1470" t="s">
        <v>5796</v>
      </c>
      <c r="H2014" s="1456">
        <v>0</v>
      </c>
      <c r="I2014" s="1456">
        <v>0</v>
      </c>
      <c r="J2014" s="1471">
        <v>0</v>
      </c>
      <c r="K2014" s="1460"/>
      <c r="L2014" s="1454">
        <v>13245001300</v>
      </c>
      <c r="M2014" s="1455">
        <v>0</v>
      </c>
      <c r="N2014" s="1455">
        <v>0</v>
      </c>
      <c r="O2014" s="1456">
        <v>0</v>
      </c>
      <c r="AA2014"/>
      <c r="AB2014"/>
    </row>
    <row r="2015" spans="3:28">
      <c r="C2015" s="1461" t="s">
        <v>5797</v>
      </c>
      <c r="D2015" s="1458">
        <v>0</v>
      </c>
      <c r="E2015" s="1458">
        <v>0</v>
      </c>
      <c r="F2015" s="1459">
        <v>0</v>
      </c>
      <c r="G2015" s="1470" t="s">
        <v>5797</v>
      </c>
      <c r="H2015" s="1456">
        <v>0</v>
      </c>
      <c r="I2015" s="1456">
        <v>0</v>
      </c>
      <c r="J2015" s="1471">
        <v>0</v>
      </c>
      <c r="K2015" s="1460"/>
      <c r="L2015" s="1454">
        <v>13245001400</v>
      </c>
      <c r="M2015" s="1455">
        <v>0</v>
      </c>
      <c r="N2015" s="1455">
        <v>0</v>
      </c>
      <c r="O2015" s="1456">
        <v>0</v>
      </c>
      <c r="AA2015"/>
      <c r="AB2015"/>
    </row>
    <row r="2016" spans="3:28">
      <c r="C2016" s="1461" t="s">
        <v>5798</v>
      </c>
      <c r="D2016" s="1458">
        <v>0</v>
      </c>
      <c r="E2016" s="1458">
        <v>0</v>
      </c>
      <c r="F2016" s="1459">
        <v>0</v>
      </c>
      <c r="G2016" s="1470" t="s">
        <v>5798</v>
      </c>
      <c r="H2016" s="1456">
        <v>0</v>
      </c>
      <c r="I2016" s="1456" t="s">
        <v>3906</v>
      </c>
      <c r="J2016" s="1471">
        <v>0</v>
      </c>
      <c r="K2016" s="1460"/>
      <c r="L2016" s="1454">
        <v>13245001500</v>
      </c>
      <c r="M2016" s="1455">
        <v>0</v>
      </c>
      <c r="N2016" s="1455">
        <v>0</v>
      </c>
      <c r="O2016" s="1456">
        <v>0</v>
      </c>
      <c r="AA2016"/>
      <c r="AB2016"/>
    </row>
    <row r="2017" spans="3:28">
      <c r="C2017" s="1461" t="s">
        <v>5799</v>
      </c>
      <c r="D2017" s="1458">
        <v>0</v>
      </c>
      <c r="E2017" s="1458">
        <v>0</v>
      </c>
      <c r="F2017" s="1459">
        <v>0</v>
      </c>
      <c r="G2017" s="1470" t="s">
        <v>5799</v>
      </c>
      <c r="H2017" s="1456">
        <v>0</v>
      </c>
      <c r="I2017" s="1456">
        <v>0</v>
      </c>
      <c r="J2017" s="1471">
        <v>0</v>
      </c>
      <c r="K2017" s="1460"/>
      <c r="L2017" s="1454">
        <v>13245001601</v>
      </c>
      <c r="M2017" s="1455">
        <v>0</v>
      </c>
      <c r="N2017" s="1455">
        <v>0</v>
      </c>
      <c r="O2017" s="1456">
        <v>0</v>
      </c>
      <c r="AA2017"/>
      <c r="AB2017"/>
    </row>
    <row r="2018" spans="3:28">
      <c r="C2018" s="1461" t="s">
        <v>5800</v>
      </c>
      <c r="D2018" s="1458">
        <v>1</v>
      </c>
      <c r="E2018" s="1458">
        <v>1</v>
      </c>
      <c r="F2018" s="1459">
        <v>2</v>
      </c>
      <c r="G2018" s="1470" t="s">
        <v>5800</v>
      </c>
      <c r="H2018" s="1456">
        <v>1</v>
      </c>
      <c r="I2018" s="1456">
        <v>1</v>
      </c>
      <c r="J2018" s="1471">
        <v>2</v>
      </c>
      <c r="K2018" s="1460"/>
      <c r="L2018" s="1454">
        <v>13245001602</v>
      </c>
      <c r="M2018" s="1455">
        <v>1</v>
      </c>
      <c r="N2018" s="1455">
        <v>1</v>
      </c>
      <c r="O2018" s="1456">
        <v>2</v>
      </c>
      <c r="AA2018"/>
      <c r="AB2018"/>
    </row>
    <row r="2019" spans="3:28">
      <c r="C2019" s="1461" t="s">
        <v>5801</v>
      </c>
      <c r="D2019" s="1458">
        <v>0</v>
      </c>
      <c r="E2019" s="1458">
        <v>0</v>
      </c>
      <c r="F2019" s="1459">
        <v>0</v>
      </c>
      <c r="G2019" s="1470" t="s">
        <v>5801</v>
      </c>
      <c r="H2019" s="1456">
        <v>1</v>
      </c>
      <c r="I2019" s="1456">
        <v>0</v>
      </c>
      <c r="J2019" s="1471">
        <v>1</v>
      </c>
      <c r="K2019" s="1460"/>
      <c r="L2019" s="1454">
        <v>13245010101</v>
      </c>
      <c r="M2019" s="1455">
        <v>1</v>
      </c>
      <c r="N2019" s="1455">
        <v>0</v>
      </c>
      <c r="O2019" s="1456">
        <v>1</v>
      </c>
      <c r="AA2019"/>
      <c r="AB2019"/>
    </row>
    <row r="2020" spans="3:28">
      <c r="C2020" s="1461" t="s">
        <v>5802</v>
      </c>
      <c r="D2020" s="1458">
        <v>1</v>
      </c>
      <c r="E2020" s="1458">
        <v>1</v>
      </c>
      <c r="F2020" s="1459">
        <v>2</v>
      </c>
      <c r="G2020" s="1470" t="s">
        <v>5802</v>
      </c>
      <c r="H2020" s="1456">
        <v>1</v>
      </c>
      <c r="I2020" s="1456">
        <v>0</v>
      </c>
      <c r="J2020" s="1471">
        <v>1</v>
      </c>
      <c r="K2020" s="1460"/>
      <c r="L2020" s="1454">
        <v>13245010104</v>
      </c>
      <c r="M2020" s="1455">
        <v>1</v>
      </c>
      <c r="N2020" s="1455">
        <v>1</v>
      </c>
      <c r="O2020" s="1456">
        <v>2</v>
      </c>
      <c r="AA2020"/>
      <c r="AB2020"/>
    </row>
    <row r="2021" spans="3:28">
      <c r="C2021" s="1461" t="s">
        <v>5803</v>
      </c>
      <c r="D2021" s="1458">
        <v>0</v>
      </c>
      <c r="E2021" s="1458">
        <v>0</v>
      </c>
      <c r="F2021" s="1459">
        <v>0</v>
      </c>
      <c r="G2021" s="1470" t="s">
        <v>5803</v>
      </c>
      <c r="H2021" s="1456">
        <v>0</v>
      </c>
      <c r="I2021" s="1456">
        <v>0</v>
      </c>
      <c r="J2021" s="1471">
        <v>0</v>
      </c>
      <c r="K2021" s="1460"/>
      <c r="L2021" s="1454">
        <v>13245010105</v>
      </c>
      <c r="M2021" s="1455">
        <v>0</v>
      </c>
      <c r="N2021" s="1455">
        <v>0</v>
      </c>
      <c r="O2021" s="1456">
        <v>0</v>
      </c>
      <c r="AA2021"/>
      <c r="AB2021"/>
    </row>
    <row r="2022" spans="3:28">
      <c r="C2022" s="1461" t="s">
        <v>5804</v>
      </c>
      <c r="D2022" s="1458">
        <v>1</v>
      </c>
      <c r="E2022" s="1458">
        <v>0</v>
      </c>
      <c r="F2022" s="1459">
        <v>1</v>
      </c>
      <c r="G2022" s="1470" t="s">
        <v>5804</v>
      </c>
      <c r="H2022" s="1456">
        <v>1</v>
      </c>
      <c r="I2022" s="1456">
        <v>1</v>
      </c>
      <c r="J2022" s="1471">
        <v>2</v>
      </c>
      <c r="K2022" s="1460"/>
      <c r="L2022" s="1454">
        <v>13245010106</v>
      </c>
      <c r="M2022" s="1455">
        <v>1</v>
      </c>
      <c r="N2022" s="1455">
        <v>1</v>
      </c>
      <c r="O2022" s="1456">
        <v>2</v>
      </c>
      <c r="AA2022"/>
      <c r="AB2022"/>
    </row>
    <row r="2023" spans="3:28">
      <c r="C2023" s="1461" t="s">
        <v>5805</v>
      </c>
      <c r="D2023" s="1458">
        <v>1</v>
      </c>
      <c r="E2023" s="1458">
        <v>0</v>
      </c>
      <c r="F2023" s="1459">
        <v>1</v>
      </c>
      <c r="G2023" s="1470" t="s">
        <v>5805</v>
      </c>
      <c r="H2023" s="1456">
        <v>1</v>
      </c>
      <c r="I2023" s="1456">
        <v>1</v>
      </c>
      <c r="J2023" s="1471">
        <v>2</v>
      </c>
      <c r="K2023" s="1460"/>
      <c r="L2023" s="1454">
        <v>13245010107</v>
      </c>
      <c r="M2023" s="1455">
        <v>1</v>
      </c>
      <c r="N2023" s="1455">
        <v>1</v>
      </c>
      <c r="O2023" s="1456">
        <v>2</v>
      </c>
      <c r="AA2023"/>
      <c r="AB2023"/>
    </row>
    <row r="2024" spans="3:28">
      <c r="C2024" s="1461" t="s">
        <v>5806</v>
      </c>
      <c r="D2024" s="1458">
        <v>1</v>
      </c>
      <c r="E2024" s="1458">
        <v>1</v>
      </c>
      <c r="F2024" s="1459">
        <v>2</v>
      </c>
      <c r="G2024" s="1470" t="s">
        <v>5806</v>
      </c>
      <c r="H2024" s="1456">
        <v>1</v>
      </c>
      <c r="I2024" s="1456">
        <v>1</v>
      </c>
      <c r="J2024" s="1471">
        <v>2</v>
      </c>
      <c r="K2024" s="1460"/>
      <c r="L2024" s="1454">
        <v>13245010201</v>
      </c>
      <c r="M2024" s="1455">
        <v>1</v>
      </c>
      <c r="N2024" s="1455">
        <v>1</v>
      </c>
      <c r="O2024" s="1456">
        <v>2</v>
      </c>
      <c r="AA2024"/>
      <c r="AB2024"/>
    </row>
    <row r="2025" spans="3:28">
      <c r="C2025" s="1461" t="s">
        <v>5807</v>
      </c>
      <c r="D2025" s="1458">
        <v>0</v>
      </c>
      <c r="E2025" s="1458">
        <v>0</v>
      </c>
      <c r="F2025" s="1459">
        <v>0</v>
      </c>
      <c r="G2025" s="1470" t="s">
        <v>5807</v>
      </c>
      <c r="H2025" s="1456">
        <v>0</v>
      </c>
      <c r="I2025" s="1456">
        <v>0</v>
      </c>
      <c r="J2025" s="1471">
        <v>0</v>
      </c>
      <c r="K2025" s="1460"/>
      <c r="L2025" s="1454">
        <v>13245010203</v>
      </c>
      <c r="M2025" s="1455">
        <v>0</v>
      </c>
      <c r="N2025" s="1455">
        <v>0</v>
      </c>
      <c r="O2025" s="1456">
        <v>0</v>
      </c>
      <c r="AA2025"/>
      <c r="AB2025"/>
    </row>
    <row r="2026" spans="3:28">
      <c r="C2026" s="1461" t="s">
        <v>5808</v>
      </c>
      <c r="D2026" s="1458">
        <v>0</v>
      </c>
      <c r="E2026" s="1458">
        <v>0</v>
      </c>
      <c r="F2026" s="1459">
        <v>0</v>
      </c>
      <c r="G2026" s="1470" t="s">
        <v>5808</v>
      </c>
      <c r="H2026" s="1456">
        <v>0</v>
      </c>
      <c r="I2026" s="1456">
        <v>0</v>
      </c>
      <c r="J2026" s="1471">
        <v>0</v>
      </c>
      <c r="K2026" s="1460"/>
      <c r="L2026" s="1454">
        <v>13245010204</v>
      </c>
      <c r="M2026" s="1455">
        <v>0</v>
      </c>
      <c r="N2026" s="1455">
        <v>0</v>
      </c>
      <c r="O2026" s="1456">
        <v>0</v>
      </c>
      <c r="AA2026"/>
      <c r="AB2026"/>
    </row>
    <row r="2027" spans="3:28">
      <c r="C2027" s="1461" t="s">
        <v>5809</v>
      </c>
      <c r="D2027" s="1458">
        <v>0</v>
      </c>
      <c r="E2027" s="1458">
        <v>0</v>
      </c>
      <c r="F2027" s="1459">
        <v>0</v>
      </c>
      <c r="G2027" s="1470" t="s">
        <v>5809</v>
      </c>
      <c r="H2027" s="1456">
        <v>0</v>
      </c>
      <c r="I2027" s="1456">
        <v>0</v>
      </c>
      <c r="J2027" s="1471">
        <v>0</v>
      </c>
      <c r="K2027" s="1460"/>
      <c r="L2027" s="1454">
        <v>13245010300</v>
      </c>
      <c r="M2027" s="1455">
        <v>0</v>
      </c>
      <c r="N2027" s="1455">
        <v>0</v>
      </c>
      <c r="O2027" s="1456">
        <v>0</v>
      </c>
      <c r="AA2027"/>
      <c r="AB2027"/>
    </row>
    <row r="2028" spans="3:28">
      <c r="C2028" s="1461" t="s">
        <v>5810</v>
      </c>
      <c r="D2028" s="1458">
        <v>0</v>
      </c>
      <c r="E2028" s="1458">
        <v>0</v>
      </c>
      <c r="F2028" s="1459">
        <v>0</v>
      </c>
      <c r="G2028" s="1470" t="s">
        <v>5810</v>
      </c>
      <c r="H2028" s="1456">
        <v>0</v>
      </c>
      <c r="I2028" s="1456">
        <v>0</v>
      </c>
      <c r="J2028" s="1471">
        <v>0</v>
      </c>
      <c r="K2028" s="1460"/>
      <c r="L2028" s="1454">
        <v>13245010400</v>
      </c>
      <c r="M2028" s="1455">
        <v>0</v>
      </c>
      <c r="N2028" s="1455">
        <v>0</v>
      </c>
      <c r="O2028" s="1456">
        <v>0</v>
      </c>
      <c r="AA2028"/>
      <c r="AB2028"/>
    </row>
    <row r="2029" spans="3:28">
      <c r="C2029" s="1461" t="s">
        <v>5811</v>
      </c>
      <c r="D2029" s="1458">
        <v>0</v>
      </c>
      <c r="E2029" s="1458">
        <v>0</v>
      </c>
      <c r="F2029" s="1459">
        <v>0</v>
      </c>
      <c r="G2029" s="1470" t="s">
        <v>5811</v>
      </c>
      <c r="H2029" s="1456">
        <v>0</v>
      </c>
      <c r="I2029" s="1456">
        <v>0</v>
      </c>
      <c r="J2029" s="1471">
        <v>0</v>
      </c>
      <c r="K2029" s="1460"/>
      <c r="L2029" s="1454">
        <v>13245010504</v>
      </c>
      <c r="M2029" s="1455">
        <v>0</v>
      </c>
      <c r="N2029" s="1455">
        <v>0</v>
      </c>
      <c r="O2029" s="1456">
        <v>0</v>
      </c>
      <c r="AA2029"/>
      <c r="AB2029"/>
    </row>
    <row r="2030" spans="3:28">
      <c r="C2030" s="1461" t="s">
        <v>5812</v>
      </c>
      <c r="D2030" s="1458">
        <v>0</v>
      </c>
      <c r="E2030" s="1458">
        <v>0</v>
      </c>
      <c r="F2030" s="1459">
        <v>0</v>
      </c>
      <c r="G2030" s="1470" t="s">
        <v>5812</v>
      </c>
      <c r="H2030" s="1456">
        <v>0</v>
      </c>
      <c r="I2030" s="1456">
        <v>1</v>
      </c>
      <c r="J2030" s="1471">
        <v>1</v>
      </c>
      <c r="K2030" s="1460"/>
      <c r="L2030" s="1454">
        <v>13245010506</v>
      </c>
      <c r="M2030" s="1455">
        <v>0</v>
      </c>
      <c r="N2030" s="1455">
        <v>1</v>
      </c>
      <c r="O2030" s="1456">
        <v>1</v>
      </c>
      <c r="AA2030"/>
      <c r="AB2030"/>
    </row>
    <row r="2031" spans="3:28">
      <c r="C2031" s="1461" t="s">
        <v>5813</v>
      </c>
      <c r="D2031" s="1458">
        <v>0</v>
      </c>
      <c r="E2031" s="1458">
        <v>0</v>
      </c>
      <c r="F2031" s="1459">
        <v>0</v>
      </c>
      <c r="G2031" s="1470" t="s">
        <v>5813</v>
      </c>
      <c r="H2031" s="1456">
        <v>0</v>
      </c>
      <c r="I2031" s="1456">
        <v>0</v>
      </c>
      <c r="J2031" s="1471">
        <v>0</v>
      </c>
      <c r="K2031" s="1460"/>
      <c r="L2031" s="1454">
        <v>13245010507</v>
      </c>
      <c r="M2031" s="1455">
        <v>0</v>
      </c>
      <c r="N2031" s="1455">
        <v>0</v>
      </c>
      <c r="O2031" s="1456">
        <v>0</v>
      </c>
      <c r="AA2031"/>
      <c r="AB2031"/>
    </row>
    <row r="2032" spans="3:28">
      <c r="C2032" s="1461" t="s">
        <v>5814</v>
      </c>
      <c r="D2032" s="1458">
        <v>0</v>
      </c>
      <c r="E2032" s="1458">
        <v>0</v>
      </c>
      <c r="F2032" s="1459">
        <v>0</v>
      </c>
      <c r="G2032" s="1470" t="s">
        <v>5814</v>
      </c>
      <c r="H2032" s="1456">
        <v>0</v>
      </c>
      <c r="I2032" s="1456">
        <v>0</v>
      </c>
      <c r="J2032" s="1471">
        <v>0</v>
      </c>
      <c r="K2032" s="1460"/>
      <c r="L2032" s="1454">
        <v>13245010508</v>
      </c>
      <c r="M2032" s="1455">
        <v>0</v>
      </c>
      <c r="N2032" s="1455">
        <v>0</v>
      </c>
      <c r="O2032" s="1456">
        <v>0</v>
      </c>
      <c r="AA2032"/>
      <c r="AB2032"/>
    </row>
    <row r="2033" spans="3:28">
      <c r="C2033" s="1461" t="s">
        <v>5815</v>
      </c>
      <c r="D2033" s="1458">
        <v>0</v>
      </c>
      <c r="E2033" s="1458">
        <v>0</v>
      </c>
      <c r="F2033" s="1459">
        <v>0</v>
      </c>
      <c r="G2033" s="1470" t="s">
        <v>5815</v>
      </c>
      <c r="H2033" s="1456">
        <v>0</v>
      </c>
      <c r="I2033" s="1456">
        <v>0</v>
      </c>
      <c r="J2033" s="1471">
        <v>0</v>
      </c>
      <c r="K2033" s="1460"/>
      <c r="L2033" s="1454">
        <v>13245010509</v>
      </c>
      <c r="M2033" s="1455">
        <v>0</v>
      </c>
      <c r="N2033" s="1455">
        <v>0</v>
      </c>
      <c r="O2033" s="1456">
        <v>0</v>
      </c>
      <c r="AA2033"/>
      <c r="AB2033"/>
    </row>
    <row r="2034" spans="3:28">
      <c r="C2034" s="1461" t="s">
        <v>5816</v>
      </c>
      <c r="D2034" s="1458">
        <v>0</v>
      </c>
      <c r="E2034" s="1458">
        <v>0</v>
      </c>
      <c r="F2034" s="1459">
        <v>0</v>
      </c>
      <c r="G2034" s="1470" t="s">
        <v>5816</v>
      </c>
      <c r="H2034" s="1456">
        <v>0</v>
      </c>
      <c r="I2034" s="1456">
        <v>0</v>
      </c>
      <c r="J2034" s="1471">
        <v>0</v>
      </c>
      <c r="K2034" s="1460"/>
      <c r="L2034" s="1454">
        <v>13245010510</v>
      </c>
      <c r="M2034" s="1455">
        <v>0</v>
      </c>
      <c r="N2034" s="1455">
        <v>0</v>
      </c>
      <c r="O2034" s="1456">
        <v>0</v>
      </c>
      <c r="AA2034"/>
      <c r="AB2034"/>
    </row>
    <row r="2035" spans="3:28">
      <c r="C2035" s="1461" t="s">
        <v>5817</v>
      </c>
      <c r="D2035" s="1458">
        <v>0</v>
      </c>
      <c r="E2035" s="1458">
        <v>0</v>
      </c>
      <c r="F2035" s="1459">
        <v>0</v>
      </c>
      <c r="G2035" s="1470" t="s">
        <v>5817</v>
      </c>
      <c r="H2035" s="1456">
        <v>0</v>
      </c>
      <c r="I2035" s="1456">
        <v>0</v>
      </c>
      <c r="J2035" s="1471">
        <v>0</v>
      </c>
      <c r="K2035" s="1460"/>
      <c r="L2035" s="1454">
        <v>13245010511</v>
      </c>
      <c r="M2035" s="1455">
        <v>0</v>
      </c>
      <c r="N2035" s="1455">
        <v>0</v>
      </c>
      <c r="O2035" s="1456">
        <v>0</v>
      </c>
      <c r="AA2035"/>
      <c r="AB2035"/>
    </row>
    <row r="2036" spans="3:28">
      <c r="C2036" s="1461" t="s">
        <v>5818</v>
      </c>
      <c r="D2036" s="1458">
        <v>0</v>
      </c>
      <c r="E2036" s="1458">
        <v>0</v>
      </c>
      <c r="F2036" s="1459">
        <v>0</v>
      </c>
      <c r="G2036" s="1470" t="s">
        <v>5818</v>
      </c>
      <c r="H2036" s="1456">
        <v>0</v>
      </c>
      <c r="I2036" s="1456">
        <v>0</v>
      </c>
      <c r="J2036" s="1471">
        <v>0</v>
      </c>
      <c r="K2036" s="1460"/>
      <c r="L2036" s="1454">
        <v>13245010512</v>
      </c>
      <c r="M2036" s="1455">
        <v>0</v>
      </c>
      <c r="N2036" s="1455">
        <v>0</v>
      </c>
      <c r="O2036" s="1456">
        <v>0</v>
      </c>
      <c r="AA2036"/>
      <c r="AB2036"/>
    </row>
    <row r="2037" spans="3:28">
      <c r="C2037" s="1461" t="s">
        <v>5819</v>
      </c>
      <c r="D2037" s="1458">
        <v>0</v>
      </c>
      <c r="E2037" s="1458">
        <v>0</v>
      </c>
      <c r="F2037" s="1459">
        <v>0</v>
      </c>
      <c r="G2037" s="1470" t="s">
        <v>5819</v>
      </c>
      <c r="H2037" s="1456">
        <v>0</v>
      </c>
      <c r="I2037" s="1456" t="s">
        <v>3906</v>
      </c>
      <c r="J2037" s="1471">
        <v>0</v>
      </c>
      <c r="K2037" s="1460"/>
      <c r="L2037" s="1454">
        <v>13245010513</v>
      </c>
      <c r="M2037" s="1455">
        <v>0</v>
      </c>
      <c r="N2037" s="1455">
        <v>0</v>
      </c>
      <c r="O2037" s="1456">
        <v>0</v>
      </c>
      <c r="AA2037"/>
      <c r="AB2037"/>
    </row>
    <row r="2038" spans="3:28">
      <c r="C2038" s="1461" t="s">
        <v>5820</v>
      </c>
      <c r="D2038" s="1458">
        <v>0</v>
      </c>
      <c r="E2038" s="1458">
        <v>0</v>
      </c>
      <c r="F2038" s="1459">
        <v>0</v>
      </c>
      <c r="G2038" s="1470" t="s">
        <v>5820</v>
      </c>
      <c r="H2038" s="1456">
        <v>0</v>
      </c>
      <c r="I2038" s="1456">
        <v>0</v>
      </c>
      <c r="J2038" s="1471">
        <v>0</v>
      </c>
      <c r="K2038" s="1460"/>
      <c r="L2038" s="1454">
        <v>13245010600</v>
      </c>
      <c r="M2038" s="1455">
        <v>0</v>
      </c>
      <c r="N2038" s="1455">
        <v>0</v>
      </c>
      <c r="O2038" s="1456">
        <v>0</v>
      </c>
      <c r="AA2038"/>
      <c r="AB2038"/>
    </row>
    <row r="2039" spans="3:28">
      <c r="C2039" s="1461" t="s">
        <v>5821</v>
      </c>
      <c r="D2039" s="1458">
        <v>0</v>
      </c>
      <c r="E2039" s="1458">
        <v>0</v>
      </c>
      <c r="F2039" s="1459">
        <v>0</v>
      </c>
      <c r="G2039" s="1470" t="s">
        <v>5821</v>
      </c>
      <c r="H2039" s="1456">
        <v>0</v>
      </c>
      <c r="I2039" s="1456">
        <v>0</v>
      </c>
      <c r="J2039" s="1471">
        <v>0</v>
      </c>
      <c r="K2039" s="1460"/>
      <c r="L2039" s="1454">
        <v>13245010706</v>
      </c>
      <c r="M2039" s="1455">
        <v>0</v>
      </c>
      <c r="N2039" s="1455">
        <v>0</v>
      </c>
      <c r="O2039" s="1456">
        <v>0</v>
      </c>
      <c r="AA2039"/>
      <c r="AB2039"/>
    </row>
    <row r="2040" spans="3:28">
      <c r="C2040" s="1461" t="s">
        <v>5822</v>
      </c>
      <c r="D2040" s="1458">
        <v>0</v>
      </c>
      <c r="E2040" s="1458">
        <v>0</v>
      </c>
      <c r="F2040" s="1459">
        <v>0</v>
      </c>
      <c r="G2040" s="1470" t="s">
        <v>5822</v>
      </c>
      <c r="H2040" s="1456">
        <v>0</v>
      </c>
      <c r="I2040" s="1456">
        <v>0</v>
      </c>
      <c r="J2040" s="1471">
        <v>0</v>
      </c>
      <c r="K2040" s="1460"/>
      <c r="L2040" s="1454">
        <v>13245010707</v>
      </c>
      <c r="M2040" s="1455">
        <v>0</v>
      </c>
      <c r="N2040" s="1455">
        <v>0</v>
      </c>
      <c r="O2040" s="1456">
        <v>0</v>
      </c>
      <c r="AA2040"/>
      <c r="AB2040"/>
    </row>
    <row r="2041" spans="3:28">
      <c r="C2041" s="1461" t="s">
        <v>5823</v>
      </c>
      <c r="D2041" s="1458">
        <v>0</v>
      </c>
      <c r="E2041" s="1458">
        <v>0</v>
      </c>
      <c r="F2041" s="1459">
        <v>0</v>
      </c>
      <c r="G2041" s="1470" t="s">
        <v>5823</v>
      </c>
      <c r="H2041" s="1456">
        <v>0</v>
      </c>
      <c r="I2041" s="1456">
        <v>1</v>
      </c>
      <c r="J2041" s="1471">
        <v>1</v>
      </c>
      <c r="K2041" s="1460"/>
      <c r="L2041" s="1454">
        <v>13245010708</v>
      </c>
      <c r="M2041" s="1455">
        <v>0</v>
      </c>
      <c r="N2041" s="1455">
        <v>1</v>
      </c>
      <c r="O2041" s="1456">
        <v>1</v>
      </c>
      <c r="AA2041"/>
      <c r="AB2041"/>
    </row>
    <row r="2042" spans="3:28">
      <c r="C2042" s="1461" t="s">
        <v>5824</v>
      </c>
      <c r="D2042" s="1458">
        <v>1</v>
      </c>
      <c r="E2042" s="1458">
        <v>0</v>
      </c>
      <c r="F2042" s="1459">
        <v>1</v>
      </c>
      <c r="G2042" s="1470" t="s">
        <v>5824</v>
      </c>
      <c r="H2042" s="1456">
        <v>1</v>
      </c>
      <c r="I2042" s="1456">
        <v>1</v>
      </c>
      <c r="J2042" s="1471">
        <v>2</v>
      </c>
      <c r="K2042" s="1460"/>
      <c r="L2042" s="1454">
        <v>13245010709</v>
      </c>
      <c r="M2042" s="1455">
        <v>1</v>
      </c>
      <c r="N2042" s="1455">
        <v>1</v>
      </c>
      <c r="O2042" s="1456">
        <v>2</v>
      </c>
      <c r="AA2042"/>
      <c r="AB2042"/>
    </row>
    <row r="2043" spans="3:28">
      <c r="C2043" s="1461" t="s">
        <v>5825</v>
      </c>
      <c r="D2043" s="1458">
        <v>0</v>
      </c>
      <c r="E2043" s="1458">
        <v>0</v>
      </c>
      <c r="F2043" s="1459">
        <v>0</v>
      </c>
      <c r="G2043" s="1470" t="s">
        <v>5825</v>
      </c>
      <c r="H2043" s="1456">
        <v>0</v>
      </c>
      <c r="I2043" s="1456" t="s">
        <v>3906</v>
      </c>
      <c r="J2043" s="1471">
        <v>0</v>
      </c>
      <c r="K2043" s="1460"/>
      <c r="L2043" s="1454">
        <v>13245010710</v>
      </c>
      <c r="M2043" s="1455">
        <v>0</v>
      </c>
      <c r="N2043" s="1455">
        <v>0</v>
      </c>
      <c r="O2043" s="1456">
        <v>0</v>
      </c>
      <c r="AA2043"/>
      <c r="AB2043"/>
    </row>
    <row r="2044" spans="3:28">
      <c r="C2044" s="1461" t="s">
        <v>5826</v>
      </c>
      <c r="D2044" s="1458">
        <v>0</v>
      </c>
      <c r="E2044" s="1458">
        <v>0</v>
      </c>
      <c r="F2044" s="1459">
        <v>0</v>
      </c>
      <c r="G2044" s="1470" t="s">
        <v>5826</v>
      </c>
      <c r="H2044" s="1456">
        <v>0</v>
      </c>
      <c r="I2044" s="1456">
        <v>0</v>
      </c>
      <c r="J2044" s="1471">
        <v>0</v>
      </c>
      <c r="K2044" s="1460"/>
      <c r="L2044" s="1454">
        <v>13245010711</v>
      </c>
      <c r="M2044" s="1455">
        <v>0</v>
      </c>
      <c r="N2044" s="1455">
        <v>0</v>
      </c>
      <c r="O2044" s="1456">
        <v>0</v>
      </c>
      <c r="AA2044"/>
      <c r="AB2044"/>
    </row>
    <row r="2045" spans="3:28">
      <c r="C2045" s="1461" t="s">
        <v>5827</v>
      </c>
      <c r="D2045" s="1458">
        <v>0</v>
      </c>
      <c r="E2045" s="1458">
        <v>0</v>
      </c>
      <c r="F2045" s="1459">
        <v>0</v>
      </c>
      <c r="G2045" s="1470" t="s">
        <v>5827</v>
      </c>
      <c r="H2045" s="1456">
        <v>0</v>
      </c>
      <c r="I2045" s="1456">
        <v>0</v>
      </c>
      <c r="J2045" s="1471">
        <v>0</v>
      </c>
      <c r="K2045" s="1460"/>
      <c r="L2045" s="1454">
        <v>13245010712</v>
      </c>
      <c r="M2045" s="1455">
        <v>0</v>
      </c>
      <c r="N2045" s="1455">
        <v>0</v>
      </c>
      <c r="O2045" s="1456">
        <v>0</v>
      </c>
      <c r="AA2045"/>
      <c r="AB2045"/>
    </row>
    <row r="2046" spans="3:28">
      <c r="C2046" s="1461" t="s">
        <v>5828</v>
      </c>
      <c r="D2046" s="1458">
        <v>0</v>
      </c>
      <c r="E2046" s="1458">
        <v>1</v>
      </c>
      <c r="F2046" s="1459">
        <v>1</v>
      </c>
      <c r="G2046" s="1470" t="s">
        <v>5828</v>
      </c>
      <c r="H2046" s="1456">
        <v>0</v>
      </c>
      <c r="I2046" s="1456" t="s">
        <v>3906</v>
      </c>
      <c r="J2046" s="1471">
        <v>0</v>
      </c>
      <c r="K2046" s="1460"/>
      <c r="L2046" s="1454">
        <v>13245010800</v>
      </c>
      <c r="M2046" s="1455">
        <v>0</v>
      </c>
      <c r="N2046" s="1455">
        <v>1</v>
      </c>
      <c r="O2046" s="1456">
        <v>1</v>
      </c>
      <c r="AA2046"/>
      <c r="AB2046"/>
    </row>
    <row r="2047" spans="3:28">
      <c r="C2047" s="1461" t="s">
        <v>5829</v>
      </c>
      <c r="D2047" s="1458">
        <v>0</v>
      </c>
      <c r="E2047" s="1458">
        <v>0</v>
      </c>
      <c r="F2047" s="1459">
        <v>0</v>
      </c>
      <c r="G2047" s="1470" t="s">
        <v>5829</v>
      </c>
      <c r="H2047" s="1456">
        <v>0</v>
      </c>
      <c r="I2047" s="1456">
        <v>0</v>
      </c>
      <c r="J2047" s="1471">
        <v>0</v>
      </c>
      <c r="K2047" s="1460"/>
      <c r="L2047" s="1454">
        <v>13245010903</v>
      </c>
      <c r="M2047" s="1455">
        <v>0</v>
      </c>
      <c r="N2047" s="1455">
        <v>0</v>
      </c>
      <c r="O2047" s="1456">
        <v>0</v>
      </c>
      <c r="AA2047"/>
      <c r="AB2047"/>
    </row>
    <row r="2048" spans="3:28">
      <c r="C2048" s="1461" t="s">
        <v>5830</v>
      </c>
      <c r="D2048" s="1458">
        <v>0</v>
      </c>
      <c r="E2048" s="1458">
        <v>0</v>
      </c>
      <c r="F2048" s="1459">
        <v>0</v>
      </c>
      <c r="G2048" s="1470" t="s">
        <v>5830</v>
      </c>
      <c r="H2048" s="1456">
        <v>0</v>
      </c>
      <c r="I2048" s="1456">
        <v>0</v>
      </c>
      <c r="J2048" s="1471">
        <v>0</v>
      </c>
      <c r="K2048" s="1460"/>
      <c r="L2048" s="1454">
        <v>13245010904</v>
      </c>
      <c r="M2048" s="1455">
        <v>0</v>
      </c>
      <c r="N2048" s="1455">
        <v>0</v>
      </c>
      <c r="O2048" s="1456">
        <v>0</v>
      </c>
      <c r="AA2048"/>
      <c r="AB2048"/>
    </row>
    <row r="2049" spans="3:28">
      <c r="C2049" s="1461" t="s">
        <v>5831</v>
      </c>
      <c r="D2049" s="1458">
        <v>0</v>
      </c>
      <c r="E2049" s="1458">
        <v>0</v>
      </c>
      <c r="F2049" s="1459">
        <v>0</v>
      </c>
      <c r="G2049" s="1470" t="s">
        <v>5831</v>
      </c>
      <c r="H2049" s="1456">
        <v>0</v>
      </c>
      <c r="I2049" s="1456">
        <v>0</v>
      </c>
      <c r="J2049" s="1471">
        <v>0</v>
      </c>
      <c r="K2049" s="1460"/>
      <c r="L2049" s="1454">
        <v>13245010905</v>
      </c>
      <c r="M2049" s="1455">
        <v>0</v>
      </c>
      <c r="N2049" s="1455">
        <v>0</v>
      </c>
      <c r="O2049" s="1456">
        <v>0</v>
      </c>
      <c r="AA2049"/>
      <c r="AB2049"/>
    </row>
    <row r="2050" spans="3:28">
      <c r="C2050" s="1461" t="s">
        <v>5832</v>
      </c>
      <c r="D2050" s="1458">
        <v>0</v>
      </c>
      <c r="E2050" s="1458">
        <v>1</v>
      </c>
      <c r="F2050" s="1459">
        <v>1</v>
      </c>
      <c r="G2050" s="1470" t="s">
        <v>5832</v>
      </c>
      <c r="H2050" s="1456">
        <v>0</v>
      </c>
      <c r="I2050" s="1456">
        <v>1</v>
      </c>
      <c r="J2050" s="1471">
        <v>1</v>
      </c>
      <c r="K2050" s="1460"/>
      <c r="L2050" s="1454">
        <v>13245010906</v>
      </c>
      <c r="M2050" s="1455">
        <v>0</v>
      </c>
      <c r="N2050" s="1455">
        <v>1</v>
      </c>
      <c r="O2050" s="1456">
        <v>1</v>
      </c>
      <c r="AA2050"/>
      <c r="AB2050"/>
    </row>
    <row r="2051" spans="3:28">
      <c r="C2051" s="1461" t="s">
        <v>5833</v>
      </c>
      <c r="D2051" s="1458">
        <v>0</v>
      </c>
      <c r="E2051" s="1458">
        <v>0</v>
      </c>
      <c r="F2051" s="1459">
        <v>0</v>
      </c>
      <c r="G2051" s="1470" t="s">
        <v>5833</v>
      </c>
      <c r="H2051" s="1456">
        <v>0</v>
      </c>
      <c r="I2051" s="1456">
        <v>0</v>
      </c>
      <c r="J2051" s="1471">
        <v>0</v>
      </c>
      <c r="K2051" s="1460"/>
      <c r="L2051" s="1454">
        <v>13245011000</v>
      </c>
      <c r="M2051" s="1455">
        <v>0</v>
      </c>
      <c r="N2051" s="1455">
        <v>0</v>
      </c>
      <c r="O2051" s="1456">
        <v>0</v>
      </c>
      <c r="AA2051"/>
      <c r="AB2051"/>
    </row>
    <row r="2052" spans="3:28">
      <c r="C2052" s="1461" t="s">
        <v>5834</v>
      </c>
      <c r="D2052" s="1458">
        <v>0</v>
      </c>
      <c r="E2052" s="1458">
        <v>1</v>
      </c>
      <c r="F2052" s="1459">
        <v>1</v>
      </c>
      <c r="G2052" s="1470" t="s">
        <v>5834</v>
      </c>
      <c r="H2052" s="1456">
        <v>1</v>
      </c>
      <c r="I2052" s="1456">
        <v>1</v>
      </c>
      <c r="J2052" s="1471">
        <v>2</v>
      </c>
      <c r="K2052" s="1460"/>
      <c r="L2052" s="1454">
        <v>13247060101</v>
      </c>
      <c r="M2052" s="1455">
        <v>1</v>
      </c>
      <c r="N2052" s="1455">
        <v>1</v>
      </c>
      <c r="O2052" s="1456">
        <v>2</v>
      </c>
      <c r="AA2052"/>
      <c r="AB2052"/>
    </row>
    <row r="2053" spans="3:28">
      <c r="C2053" s="1461" t="s">
        <v>5835</v>
      </c>
      <c r="D2053" s="1458">
        <v>0</v>
      </c>
      <c r="E2053" s="1458">
        <v>1</v>
      </c>
      <c r="F2053" s="1459">
        <v>1</v>
      </c>
      <c r="G2053" s="1470" t="s">
        <v>5835</v>
      </c>
      <c r="H2053" s="1456">
        <v>1</v>
      </c>
      <c r="I2053" s="1456">
        <v>1</v>
      </c>
      <c r="J2053" s="1471">
        <v>2</v>
      </c>
      <c r="K2053" s="1460"/>
      <c r="L2053" s="1454">
        <v>13247060102</v>
      </c>
      <c r="M2053" s="1455">
        <v>1</v>
      </c>
      <c r="N2053" s="1455">
        <v>1</v>
      </c>
      <c r="O2053" s="1456">
        <v>2</v>
      </c>
      <c r="AA2053"/>
      <c r="AB2053"/>
    </row>
    <row r="2054" spans="3:28">
      <c r="C2054" s="1461" t="s">
        <v>5836</v>
      </c>
      <c r="D2054" s="1458">
        <v>0</v>
      </c>
      <c r="E2054" s="1458">
        <v>0</v>
      </c>
      <c r="F2054" s="1459">
        <v>0</v>
      </c>
      <c r="G2054" s="1470" t="s">
        <v>5836</v>
      </c>
      <c r="H2054" s="1456">
        <v>0</v>
      </c>
      <c r="I2054" s="1456">
        <v>0</v>
      </c>
      <c r="J2054" s="1471">
        <v>0</v>
      </c>
      <c r="K2054" s="1460"/>
      <c r="L2054" s="1454">
        <v>13247060201</v>
      </c>
      <c r="M2054" s="1455">
        <v>0</v>
      </c>
      <c r="N2054" s="1455">
        <v>0</v>
      </c>
      <c r="O2054" s="1456">
        <v>0</v>
      </c>
      <c r="AA2054"/>
      <c r="AB2054"/>
    </row>
    <row r="2055" spans="3:28">
      <c r="C2055" s="1461" t="s">
        <v>5837</v>
      </c>
      <c r="D2055" s="1458">
        <v>1</v>
      </c>
      <c r="E2055" s="1458">
        <v>1</v>
      </c>
      <c r="F2055" s="1459">
        <v>2</v>
      </c>
      <c r="G2055" s="1470" t="s">
        <v>5837</v>
      </c>
      <c r="H2055" s="1456">
        <v>1</v>
      </c>
      <c r="I2055" s="1456">
        <v>1</v>
      </c>
      <c r="J2055" s="1471">
        <v>2</v>
      </c>
      <c r="K2055" s="1460"/>
      <c r="L2055" s="1454">
        <v>13247060202</v>
      </c>
      <c r="M2055" s="1455">
        <v>1</v>
      </c>
      <c r="N2055" s="1455">
        <v>1</v>
      </c>
      <c r="O2055" s="1456">
        <v>2</v>
      </c>
      <c r="AA2055"/>
      <c r="AB2055"/>
    </row>
    <row r="2056" spans="3:28">
      <c r="C2056" s="1461" t="s">
        <v>5838</v>
      </c>
      <c r="D2056" s="1458">
        <v>0</v>
      </c>
      <c r="E2056" s="1458">
        <v>0</v>
      </c>
      <c r="F2056" s="1459">
        <v>0</v>
      </c>
      <c r="G2056" s="1470" t="s">
        <v>5838</v>
      </c>
      <c r="H2056" s="1456">
        <v>0</v>
      </c>
      <c r="I2056" s="1456">
        <v>0</v>
      </c>
      <c r="J2056" s="1471">
        <v>0</v>
      </c>
      <c r="K2056" s="1460"/>
      <c r="L2056" s="1454">
        <v>13247060304</v>
      </c>
      <c r="M2056" s="1455">
        <v>0</v>
      </c>
      <c r="N2056" s="1455">
        <v>0</v>
      </c>
      <c r="O2056" s="1456">
        <v>0</v>
      </c>
      <c r="AA2056"/>
      <c r="AB2056"/>
    </row>
    <row r="2057" spans="3:28">
      <c r="C2057" s="1461" t="s">
        <v>5839</v>
      </c>
      <c r="D2057" s="1458">
        <v>0</v>
      </c>
      <c r="E2057" s="1458">
        <v>0</v>
      </c>
      <c r="F2057" s="1459">
        <v>0</v>
      </c>
      <c r="G2057" s="1470" t="s">
        <v>5839</v>
      </c>
      <c r="H2057" s="1456">
        <v>0</v>
      </c>
      <c r="I2057" s="1456">
        <v>0</v>
      </c>
      <c r="J2057" s="1471">
        <v>0</v>
      </c>
      <c r="K2057" s="1460"/>
      <c r="L2057" s="1454">
        <v>13247060305</v>
      </c>
      <c r="M2057" s="1455">
        <v>0</v>
      </c>
      <c r="N2057" s="1455">
        <v>0</v>
      </c>
      <c r="O2057" s="1456">
        <v>0</v>
      </c>
      <c r="AA2057"/>
      <c r="AB2057"/>
    </row>
    <row r="2058" spans="3:28">
      <c r="C2058" s="1461" t="s">
        <v>5840</v>
      </c>
      <c r="D2058" s="1458">
        <v>1</v>
      </c>
      <c r="E2058" s="1458">
        <v>1</v>
      </c>
      <c r="F2058" s="1459">
        <v>2</v>
      </c>
      <c r="G2058" s="1470" t="s">
        <v>5840</v>
      </c>
      <c r="H2058" s="1456">
        <v>1</v>
      </c>
      <c r="I2058" s="1456">
        <v>1</v>
      </c>
      <c r="J2058" s="1471">
        <v>2</v>
      </c>
      <c r="K2058" s="1460"/>
      <c r="L2058" s="1454">
        <v>13247060306</v>
      </c>
      <c r="M2058" s="1455">
        <v>1</v>
      </c>
      <c r="N2058" s="1455">
        <v>1</v>
      </c>
      <c r="O2058" s="1456">
        <v>2</v>
      </c>
      <c r="AA2058"/>
      <c r="AB2058"/>
    </row>
    <row r="2059" spans="3:28">
      <c r="C2059" s="1461" t="s">
        <v>5841</v>
      </c>
      <c r="D2059" s="1458">
        <v>0</v>
      </c>
      <c r="E2059" s="1458">
        <v>1</v>
      </c>
      <c r="F2059" s="1459">
        <v>1</v>
      </c>
      <c r="G2059" s="1470" t="s">
        <v>5841</v>
      </c>
      <c r="H2059" s="1456">
        <v>0</v>
      </c>
      <c r="I2059" s="1456">
        <v>1</v>
      </c>
      <c r="J2059" s="1471">
        <v>1</v>
      </c>
      <c r="K2059" s="1460"/>
      <c r="L2059" s="1454">
        <v>13247060307</v>
      </c>
      <c r="M2059" s="1455">
        <v>0</v>
      </c>
      <c r="N2059" s="1455">
        <v>1</v>
      </c>
      <c r="O2059" s="1456">
        <v>1</v>
      </c>
      <c r="AA2059"/>
      <c r="AB2059"/>
    </row>
    <row r="2060" spans="3:28">
      <c r="C2060" s="1461" t="s">
        <v>5842</v>
      </c>
      <c r="D2060" s="1458">
        <v>0</v>
      </c>
      <c r="E2060" s="1458">
        <v>0</v>
      </c>
      <c r="F2060" s="1459">
        <v>0</v>
      </c>
      <c r="G2060" s="1470" t="s">
        <v>5842</v>
      </c>
      <c r="H2060" s="1456">
        <v>0</v>
      </c>
      <c r="I2060" s="1456">
        <v>0</v>
      </c>
      <c r="J2060" s="1471">
        <v>0</v>
      </c>
      <c r="K2060" s="1460"/>
      <c r="L2060" s="1454">
        <v>13247060308</v>
      </c>
      <c r="M2060" s="1455">
        <v>0</v>
      </c>
      <c r="N2060" s="1455">
        <v>0</v>
      </c>
      <c r="O2060" s="1456">
        <v>0</v>
      </c>
      <c r="AA2060"/>
      <c r="AB2060"/>
    </row>
    <row r="2061" spans="3:28">
      <c r="C2061" s="1461" t="s">
        <v>5843</v>
      </c>
      <c r="D2061" s="1458">
        <v>0</v>
      </c>
      <c r="E2061" s="1458">
        <v>0</v>
      </c>
      <c r="F2061" s="1459">
        <v>0</v>
      </c>
      <c r="G2061" s="1470" t="s">
        <v>5843</v>
      </c>
      <c r="H2061" s="1456">
        <v>0</v>
      </c>
      <c r="I2061" s="1456">
        <v>0</v>
      </c>
      <c r="J2061" s="1471">
        <v>0</v>
      </c>
      <c r="K2061" s="1460"/>
      <c r="L2061" s="1454">
        <v>13247060309</v>
      </c>
      <c r="M2061" s="1455">
        <v>0</v>
      </c>
      <c r="N2061" s="1455">
        <v>0</v>
      </c>
      <c r="O2061" s="1456">
        <v>0</v>
      </c>
      <c r="AA2061"/>
      <c r="AB2061"/>
    </row>
    <row r="2062" spans="3:28">
      <c r="C2062" s="1461" t="s">
        <v>5844</v>
      </c>
      <c r="D2062" s="1458">
        <v>1</v>
      </c>
      <c r="E2062" s="1458">
        <v>1</v>
      </c>
      <c r="F2062" s="1459">
        <v>2</v>
      </c>
      <c r="G2062" s="1470" t="s">
        <v>5844</v>
      </c>
      <c r="H2062" s="1456">
        <v>1</v>
      </c>
      <c r="I2062" s="1456">
        <v>0</v>
      </c>
      <c r="J2062" s="1471">
        <v>1</v>
      </c>
      <c r="K2062" s="1460"/>
      <c r="L2062" s="1454">
        <v>13247060403</v>
      </c>
      <c r="M2062" s="1455">
        <v>1</v>
      </c>
      <c r="N2062" s="1455">
        <v>1</v>
      </c>
      <c r="O2062" s="1456">
        <v>2</v>
      </c>
      <c r="AA2062"/>
      <c r="AB2062"/>
    </row>
    <row r="2063" spans="3:28">
      <c r="C2063" s="1461" t="s">
        <v>5845</v>
      </c>
      <c r="D2063" s="1458">
        <v>1</v>
      </c>
      <c r="E2063" s="1458">
        <v>1</v>
      </c>
      <c r="F2063" s="1459">
        <v>2</v>
      </c>
      <c r="G2063" s="1470" t="s">
        <v>5845</v>
      </c>
      <c r="H2063" s="1456">
        <v>1</v>
      </c>
      <c r="I2063" s="1456">
        <v>1</v>
      </c>
      <c r="J2063" s="1471">
        <v>2</v>
      </c>
      <c r="K2063" s="1460"/>
      <c r="L2063" s="1454">
        <v>13247060404</v>
      </c>
      <c r="M2063" s="1455">
        <v>1</v>
      </c>
      <c r="N2063" s="1455">
        <v>1</v>
      </c>
      <c r="O2063" s="1456">
        <v>2</v>
      </c>
      <c r="AA2063"/>
      <c r="AB2063"/>
    </row>
    <row r="2064" spans="3:28">
      <c r="C2064" s="1461" t="s">
        <v>5846</v>
      </c>
      <c r="D2064" s="1458">
        <v>1</v>
      </c>
      <c r="E2064" s="1458">
        <v>1</v>
      </c>
      <c r="F2064" s="1459">
        <v>2</v>
      </c>
      <c r="G2064" s="1470" t="s">
        <v>5846</v>
      </c>
      <c r="H2064" s="1456">
        <v>0</v>
      </c>
      <c r="I2064" s="1456">
        <v>1</v>
      </c>
      <c r="J2064" s="1471">
        <v>1</v>
      </c>
      <c r="K2064" s="1460"/>
      <c r="L2064" s="1454">
        <v>13247060405</v>
      </c>
      <c r="M2064" s="1455">
        <v>1</v>
      </c>
      <c r="N2064" s="1455">
        <v>1</v>
      </c>
      <c r="O2064" s="1456">
        <v>2</v>
      </c>
      <c r="AA2064"/>
      <c r="AB2064"/>
    </row>
    <row r="2065" spans="3:28">
      <c r="C2065" s="1461" t="s">
        <v>5847</v>
      </c>
      <c r="D2065" s="1458">
        <v>1</v>
      </c>
      <c r="E2065" s="1458">
        <v>1</v>
      </c>
      <c r="F2065" s="1459">
        <v>2</v>
      </c>
      <c r="G2065" s="1470" t="s">
        <v>5847</v>
      </c>
      <c r="H2065" s="1456">
        <v>1</v>
      </c>
      <c r="I2065" s="1456">
        <v>1</v>
      </c>
      <c r="J2065" s="1471">
        <v>2</v>
      </c>
      <c r="K2065" s="1460"/>
      <c r="L2065" s="1454">
        <v>13247060406</v>
      </c>
      <c r="M2065" s="1455">
        <v>1</v>
      </c>
      <c r="N2065" s="1455">
        <v>1</v>
      </c>
      <c r="O2065" s="1456">
        <v>2</v>
      </c>
      <c r="AA2065"/>
      <c r="AB2065"/>
    </row>
    <row r="2066" spans="3:28">
      <c r="C2066" s="1461" t="s">
        <v>5848</v>
      </c>
      <c r="D2066" s="1458">
        <v>0</v>
      </c>
      <c r="E2066" s="1458">
        <v>1</v>
      </c>
      <c r="F2066" s="1459">
        <v>1</v>
      </c>
      <c r="G2066" s="1470" t="s">
        <v>5848</v>
      </c>
      <c r="H2066" s="1456">
        <v>0</v>
      </c>
      <c r="I2066" s="1456">
        <v>1</v>
      </c>
      <c r="J2066" s="1471">
        <v>1</v>
      </c>
      <c r="K2066" s="1460"/>
      <c r="L2066" s="1454">
        <v>13247060407</v>
      </c>
      <c r="M2066" s="1455">
        <v>0</v>
      </c>
      <c r="N2066" s="1455">
        <v>1</v>
      </c>
      <c r="O2066" s="1456">
        <v>1</v>
      </c>
      <c r="AA2066"/>
      <c r="AB2066"/>
    </row>
    <row r="2067" spans="3:28">
      <c r="C2067" s="1461" t="s">
        <v>5849</v>
      </c>
      <c r="D2067" s="1458">
        <v>0</v>
      </c>
      <c r="E2067" s="1458">
        <v>0</v>
      </c>
      <c r="F2067" s="1459">
        <v>0</v>
      </c>
      <c r="G2067" s="1470" t="s">
        <v>5849</v>
      </c>
      <c r="H2067" s="1456">
        <v>0</v>
      </c>
      <c r="I2067" s="1456">
        <v>1</v>
      </c>
      <c r="J2067" s="1471">
        <v>1</v>
      </c>
      <c r="K2067" s="1460"/>
      <c r="L2067" s="1454">
        <v>13249960100</v>
      </c>
      <c r="M2067" s="1455">
        <v>0</v>
      </c>
      <c r="N2067" s="1455">
        <v>1</v>
      </c>
      <c r="O2067" s="1456">
        <v>1</v>
      </c>
      <c r="AA2067"/>
      <c r="AB2067"/>
    </row>
    <row r="2068" spans="3:28">
      <c r="C2068" s="1461" t="s">
        <v>5850</v>
      </c>
      <c r="D2068" s="1458">
        <v>0</v>
      </c>
      <c r="E2068" s="1458">
        <v>0</v>
      </c>
      <c r="F2068" s="1459">
        <v>0</v>
      </c>
      <c r="G2068" s="1470" t="s">
        <v>5850</v>
      </c>
      <c r="H2068" s="1456">
        <v>0</v>
      </c>
      <c r="I2068" s="1456">
        <v>0</v>
      </c>
      <c r="J2068" s="1471">
        <v>0</v>
      </c>
      <c r="K2068" s="1460"/>
      <c r="L2068" s="1454">
        <v>13249960200</v>
      </c>
      <c r="M2068" s="1455">
        <v>0</v>
      </c>
      <c r="N2068" s="1455">
        <v>0</v>
      </c>
      <c r="O2068" s="1456">
        <v>0</v>
      </c>
      <c r="AA2068"/>
      <c r="AB2068"/>
    </row>
    <row r="2069" spans="3:28">
      <c r="C2069" s="1461" t="s">
        <v>5851</v>
      </c>
      <c r="D2069" s="1458">
        <v>0</v>
      </c>
      <c r="E2069" s="1458">
        <v>0</v>
      </c>
      <c r="F2069" s="1459">
        <v>0</v>
      </c>
      <c r="G2069" s="1470" t="s">
        <v>5851</v>
      </c>
      <c r="H2069" s="1456">
        <v>0</v>
      </c>
      <c r="I2069" s="1456">
        <v>0</v>
      </c>
      <c r="J2069" s="1471">
        <v>0</v>
      </c>
      <c r="K2069" s="1460"/>
      <c r="L2069" s="1454">
        <v>13251970200</v>
      </c>
      <c r="M2069" s="1455">
        <v>0</v>
      </c>
      <c r="N2069" s="1455">
        <v>0</v>
      </c>
      <c r="O2069" s="1456">
        <v>0</v>
      </c>
      <c r="AA2069"/>
      <c r="AB2069"/>
    </row>
    <row r="2070" spans="3:28">
      <c r="C2070" s="1461" t="s">
        <v>5852</v>
      </c>
      <c r="D2070" s="1458">
        <v>0</v>
      </c>
      <c r="E2070" s="1458">
        <v>0</v>
      </c>
      <c r="F2070" s="1459">
        <v>0</v>
      </c>
      <c r="G2070" s="1470" t="s">
        <v>5852</v>
      </c>
      <c r="H2070" s="1456">
        <v>0</v>
      </c>
      <c r="I2070" s="1456">
        <v>0</v>
      </c>
      <c r="J2070" s="1471">
        <v>0</v>
      </c>
      <c r="K2070" s="1460"/>
      <c r="L2070" s="1454">
        <v>13251970300</v>
      </c>
      <c r="M2070" s="1455">
        <v>0</v>
      </c>
      <c r="N2070" s="1455">
        <v>0</v>
      </c>
      <c r="O2070" s="1456">
        <v>0</v>
      </c>
      <c r="AA2070"/>
      <c r="AB2070"/>
    </row>
    <row r="2071" spans="3:28">
      <c r="C2071" s="1461" t="s">
        <v>5853</v>
      </c>
      <c r="D2071" s="1458">
        <v>0</v>
      </c>
      <c r="E2071" s="1458">
        <v>0</v>
      </c>
      <c r="F2071" s="1459">
        <v>0</v>
      </c>
      <c r="G2071" s="1470" t="s">
        <v>5853</v>
      </c>
      <c r="H2071" s="1456">
        <v>0</v>
      </c>
      <c r="I2071" s="1456">
        <v>0</v>
      </c>
      <c r="J2071" s="1471">
        <v>0</v>
      </c>
      <c r="K2071" s="1460"/>
      <c r="L2071" s="1454">
        <v>13251970400</v>
      </c>
      <c r="M2071" s="1455">
        <v>0</v>
      </c>
      <c r="N2071" s="1455">
        <v>0</v>
      </c>
      <c r="O2071" s="1456">
        <v>0</v>
      </c>
      <c r="AA2071"/>
      <c r="AB2071"/>
    </row>
    <row r="2072" spans="3:28">
      <c r="C2072" s="1461" t="s">
        <v>5854</v>
      </c>
      <c r="D2072" s="1458">
        <v>0</v>
      </c>
      <c r="E2072" s="1458">
        <v>0</v>
      </c>
      <c r="F2072" s="1459">
        <v>0</v>
      </c>
      <c r="G2072" s="1470" t="s">
        <v>5854</v>
      </c>
      <c r="H2072" s="1456">
        <v>0</v>
      </c>
      <c r="I2072" s="1456">
        <v>0</v>
      </c>
      <c r="J2072" s="1471">
        <v>0</v>
      </c>
      <c r="K2072" s="1460"/>
      <c r="L2072" s="1454">
        <v>13251970500</v>
      </c>
      <c r="M2072" s="1455">
        <v>0</v>
      </c>
      <c r="N2072" s="1455">
        <v>0</v>
      </c>
      <c r="O2072" s="1456">
        <v>0</v>
      </c>
      <c r="AA2072"/>
      <c r="AB2072"/>
    </row>
    <row r="2073" spans="3:28">
      <c r="C2073" s="1461" t="s">
        <v>5855</v>
      </c>
      <c r="D2073" s="1458">
        <v>0</v>
      </c>
      <c r="E2073" s="1458">
        <v>0</v>
      </c>
      <c r="F2073" s="1459">
        <v>0</v>
      </c>
      <c r="G2073" s="1470" t="s">
        <v>5855</v>
      </c>
      <c r="H2073" s="1456">
        <v>0</v>
      </c>
      <c r="I2073" s="1456">
        <v>0</v>
      </c>
      <c r="J2073" s="1471">
        <v>0</v>
      </c>
      <c r="K2073" s="1460"/>
      <c r="L2073" s="1454">
        <v>13251970600</v>
      </c>
      <c r="M2073" s="1455">
        <v>0</v>
      </c>
      <c r="N2073" s="1455">
        <v>0</v>
      </c>
      <c r="O2073" s="1456">
        <v>0</v>
      </c>
      <c r="AA2073"/>
      <c r="AB2073"/>
    </row>
    <row r="2074" spans="3:28">
      <c r="C2074" s="1461" t="s">
        <v>5856</v>
      </c>
      <c r="D2074" s="1458">
        <v>0</v>
      </c>
      <c r="E2074" s="1458">
        <v>0</v>
      </c>
      <c r="F2074" s="1459">
        <v>0</v>
      </c>
      <c r="G2074" s="1470" t="s">
        <v>5856</v>
      </c>
      <c r="H2074" s="1456">
        <v>0</v>
      </c>
      <c r="I2074" s="1456">
        <v>0</v>
      </c>
      <c r="J2074" s="1471">
        <v>0</v>
      </c>
      <c r="K2074" s="1460"/>
      <c r="L2074" s="1454">
        <v>13253200100</v>
      </c>
      <c r="M2074" s="1455">
        <v>0</v>
      </c>
      <c r="N2074" s="1455">
        <v>0</v>
      </c>
      <c r="O2074" s="1456">
        <v>0</v>
      </c>
      <c r="AA2074"/>
      <c r="AB2074"/>
    </row>
    <row r="2075" spans="3:28">
      <c r="C2075" s="1461" t="s">
        <v>5857</v>
      </c>
      <c r="D2075" s="1458">
        <v>0</v>
      </c>
      <c r="E2075" s="1458">
        <v>0</v>
      </c>
      <c r="F2075" s="1459">
        <v>0</v>
      </c>
      <c r="G2075" s="1470" t="s">
        <v>5857</v>
      </c>
      <c r="H2075" s="1456">
        <v>0</v>
      </c>
      <c r="I2075" s="1456">
        <v>0</v>
      </c>
      <c r="J2075" s="1471">
        <v>0</v>
      </c>
      <c r="K2075" s="1460"/>
      <c r="L2075" s="1454">
        <v>13253200200</v>
      </c>
      <c r="M2075" s="1455">
        <v>0</v>
      </c>
      <c r="N2075" s="1455">
        <v>0</v>
      </c>
      <c r="O2075" s="1456">
        <v>0</v>
      </c>
      <c r="AA2075"/>
      <c r="AB2075"/>
    </row>
    <row r="2076" spans="3:28">
      <c r="C2076" s="1461" t="s">
        <v>5858</v>
      </c>
      <c r="D2076" s="1458">
        <v>0</v>
      </c>
      <c r="E2076" s="1458">
        <v>0</v>
      </c>
      <c r="F2076" s="1459">
        <v>0</v>
      </c>
      <c r="G2076" s="1470" t="s">
        <v>5858</v>
      </c>
      <c r="H2076" s="1456">
        <v>0</v>
      </c>
      <c r="I2076" s="1456">
        <v>0</v>
      </c>
      <c r="J2076" s="1471">
        <v>0</v>
      </c>
      <c r="K2076" s="1460"/>
      <c r="L2076" s="1454">
        <v>13253200300</v>
      </c>
      <c r="M2076" s="1455">
        <v>0</v>
      </c>
      <c r="N2076" s="1455">
        <v>0</v>
      </c>
      <c r="O2076" s="1456">
        <v>0</v>
      </c>
      <c r="AA2076"/>
      <c r="AB2076"/>
    </row>
    <row r="2077" spans="3:28">
      <c r="C2077" s="1461" t="s">
        <v>5859</v>
      </c>
      <c r="D2077" s="1458">
        <v>0</v>
      </c>
      <c r="E2077" s="1458">
        <v>1</v>
      </c>
      <c r="F2077" s="1459">
        <v>1</v>
      </c>
      <c r="G2077" s="1470" t="s">
        <v>5859</v>
      </c>
      <c r="H2077" s="1456">
        <v>0</v>
      </c>
      <c r="I2077" s="1456">
        <v>0</v>
      </c>
      <c r="J2077" s="1471">
        <v>0</v>
      </c>
      <c r="K2077" s="1460"/>
      <c r="L2077" s="1454">
        <v>13255160100</v>
      </c>
      <c r="M2077" s="1455">
        <v>0</v>
      </c>
      <c r="N2077" s="1455">
        <v>1</v>
      </c>
      <c r="O2077" s="1456">
        <v>1</v>
      </c>
      <c r="AA2077"/>
      <c r="AB2077"/>
    </row>
    <row r="2078" spans="3:28">
      <c r="C2078" s="1461" t="s">
        <v>5860</v>
      </c>
      <c r="D2078" s="1458">
        <v>0</v>
      </c>
      <c r="E2078" s="1458">
        <v>0</v>
      </c>
      <c r="F2078" s="1459">
        <v>0</v>
      </c>
      <c r="G2078" s="1470" t="s">
        <v>5860</v>
      </c>
      <c r="H2078" s="1456">
        <v>0</v>
      </c>
      <c r="I2078" s="1456">
        <v>0</v>
      </c>
      <c r="J2078" s="1471">
        <v>0</v>
      </c>
      <c r="K2078" s="1460"/>
      <c r="L2078" s="1454">
        <v>13255160200</v>
      </c>
      <c r="M2078" s="1455">
        <v>0</v>
      </c>
      <c r="N2078" s="1455">
        <v>0</v>
      </c>
      <c r="O2078" s="1456">
        <v>0</v>
      </c>
      <c r="AA2078"/>
      <c r="AB2078"/>
    </row>
    <row r="2079" spans="3:28">
      <c r="C2079" s="1461" t="s">
        <v>5861</v>
      </c>
      <c r="D2079" s="1458">
        <v>0</v>
      </c>
      <c r="E2079" s="1458">
        <v>0</v>
      </c>
      <c r="F2079" s="1459">
        <v>0</v>
      </c>
      <c r="G2079" s="1470" t="s">
        <v>5861</v>
      </c>
      <c r="H2079" s="1456">
        <v>0</v>
      </c>
      <c r="I2079" s="1456">
        <v>0</v>
      </c>
      <c r="J2079" s="1471">
        <v>0</v>
      </c>
      <c r="K2079" s="1460"/>
      <c r="L2079" s="1454">
        <v>13255160300</v>
      </c>
      <c r="M2079" s="1455">
        <v>0</v>
      </c>
      <c r="N2079" s="1455">
        <v>0</v>
      </c>
      <c r="O2079" s="1456">
        <v>0</v>
      </c>
      <c r="AA2079"/>
      <c r="AB2079"/>
    </row>
    <row r="2080" spans="3:28">
      <c r="C2080" s="1461" t="s">
        <v>5862</v>
      </c>
      <c r="D2080" s="1458">
        <v>0</v>
      </c>
      <c r="E2080" s="1458">
        <v>0</v>
      </c>
      <c r="F2080" s="1459">
        <v>0</v>
      </c>
      <c r="G2080" s="1470" t="s">
        <v>5862</v>
      </c>
      <c r="H2080" s="1456">
        <v>0</v>
      </c>
      <c r="I2080" s="1456">
        <v>0</v>
      </c>
      <c r="J2080" s="1471">
        <v>0</v>
      </c>
      <c r="K2080" s="1460"/>
      <c r="L2080" s="1454">
        <v>13255160400</v>
      </c>
      <c r="M2080" s="1455">
        <v>0</v>
      </c>
      <c r="N2080" s="1455">
        <v>0</v>
      </c>
      <c r="O2080" s="1456">
        <v>0</v>
      </c>
      <c r="AA2080"/>
      <c r="AB2080"/>
    </row>
    <row r="2081" spans="3:28">
      <c r="C2081" s="1461" t="s">
        <v>5863</v>
      </c>
      <c r="D2081" s="1458">
        <v>0</v>
      </c>
      <c r="E2081" s="1458">
        <v>0</v>
      </c>
      <c r="F2081" s="1459">
        <v>0</v>
      </c>
      <c r="G2081" s="1470" t="s">
        <v>5863</v>
      </c>
      <c r="H2081" s="1456">
        <v>0</v>
      </c>
      <c r="I2081" s="1456">
        <v>0</v>
      </c>
      <c r="J2081" s="1471">
        <v>0</v>
      </c>
      <c r="K2081" s="1460"/>
      <c r="L2081" s="1454">
        <v>13255160500</v>
      </c>
      <c r="M2081" s="1455">
        <v>0</v>
      </c>
      <c r="N2081" s="1455">
        <v>0</v>
      </c>
      <c r="O2081" s="1456">
        <v>0</v>
      </c>
      <c r="AA2081"/>
      <c r="AB2081"/>
    </row>
    <row r="2082" spans="3:28">
      <c r="C2082" s="1461" t="s">
        <v>5864</v>
      </c>
      <c r="D2082" s="1458">
        <v>1</v>
      </c>
      <c r="E2082" s="1458">
        <v>1</v>
      </c>
      <c r="F2082" s="1459">
        <v>2</v>
      </c>
      <c r="G2082" s="1470" t="s">
        <v>5864</v>
      </c>
      <c r="H2082" s="1456">
        <v>0</v>
      </c>
      <c r="I2082" s="1456">
        <v>0</v>
      </c>
      <c r="J2082" s="1471">
        <v>0</v>
      </c>
      <c r="K2082" s="1460"/>
      <c r="L2082" s="1454">
        <v>13255160600</v>
      </c>
      <c r="M2082" s="1455">
        <v>1</v>
      </c>
      <c r="N2082" s="1455">
        <v>1</v>
      </c>
      <c r="O2082" s="1456">
        <v>2</v>
      </c>
      <c r="AA2082"/>
      <c r="AB2082"/>
    </row>
    <row r="2083" spans="3:28">
      <c r="C2083" s="1461" t="s">
        <v>5865</v>
      </c>
      <c r="D2083" s="1458">
        <v>0</v>
      </c>
      <c r="E2083" s="1458">
        <v>0</v>
      </c>
      <c r="F2083" s="1459">
        <v>0</v>
      </c>
      <c r="G2083" s="1470" t="s">
        <v>5865</v>
      </c>
      <c r="H2083" s="1456">
        <v>0</v>
      </c>
      <c r="I2083" s="1456">
        <v>0</v>
      </c>
      <c r="J2083" s="1471">
        <v>0</v>
      </c>
      <c r="K2083" s="1460"/>
      <c r="L2083" s="1454">
        <v>13255160700</v>
      </c>
      <c r="M2083" s="1455">
        <v>0</v>
      </c>
      <c r="N2083" s="1455">
        <v>0</v>
      </c>
      <c r="O2083" s="1456">
        <v>0</v>
      </c>
      <c r="AA2083"/>
      <c r="AB2083"/>
    </row>
    <row r="2084" spans="3:28">
      <c r="C2084" s="1461" t="s">
        <v>5866</v>
      </c>
      <c r="D2084" s="1458">
        <v>0</v>
      </c>
      <c r="E2084" s="1458">
        <v>0</v>
      </c>
      <c r="F2084" s="1459">
        <v>0</v>
      </c>
      <c r="G2084" s="1470" t="s">
        <v>5866</v>
      </c>
      <c r="H2084" s="1456">
        <v>0</v>
      </c>
      <c r="I2084" s="1456">
        <v>0</v>
      </c>
      <c r="J2084" s="1471">
        <v>0</v>
      </c>
      <c r="K2084" s="1460"/>
      <c r="L2084" s="1454">
        <v>13255160800</v>
      </c>
      <c r="M2084" s="1455">
        <v>0</v>
      </c>
      <c r="N2084" s="1455">
        <v>0</v>
      </c>
      <c r="O2084" s="1456">
        <v>0</v>
      </c>
      <c r="AA2084"/>
      <c r="AB2084"/>
    </row>
    <row r="2085" spans="3:28">
      <c r="C2085" s="1461" t="s">
        <v>5867</v>
      </c>
      <c r="D2085" s="1458">
        <v>0</v>
      </c>
      <c r="E2085" s="1458">
        <v>0</v>
      </c>
      <c r="F2085" s="1459">
        <v>0</v>
      </c>
      <c r="G2085" s="1470" t="s">
        <v>5867</v>
      </c>
      <c r="H2085" s="1456">
        <v>0</v>
      </c>
      <c r="I2085" s="1456">
        <v>0</v>
      </c>
      <c r="J2085" s="1471">
        <v>0</v>
      </c>
      <c r="K2085" s="1460"/>
      <c r="L2085" s="1454">
        <v>13255160900</v>
      </c>
      <c r="M2085" s="1455">
        <v>0</v>
      </c>
      <c r="N2085" s="1455">
        <v>0</v>
      </c>
      <c r="O2085" s="1456">
        <v>0</v>
      </c>
      <c r="AA2085"/>
      <c r="AB2085"/>
    </row>
    <row r="2086" spans="3:28">
      <c r="C2086" s="1461" t="s">
        <v>5868</v>
      </c>
      <c r="D2086" s="1458">
        <v>0</v>
      </c>
      <c r="E2086" s="1458">
        <v>1</v>
      </c>
      <c r="F2086" s="1459">
        <v>1</v>
      </c>
      <c r="G2086" s="1470" t="s">
        <v>5868</v>
      </c>
      <c r="H2086" s="1456">
        <v>0</v>
      </c>
      <c r="I2086" s="1456">
        <v>0</v>
      </c>
      <c r="J2086" s="1471">
        <v>0</v>
      </c>
      <c r="K2086" s="1460"/>
      <c r="L2086" s="1454">
        <v>13255161000</v>
      </c>
      <c r="M2086" s="1455">
        <v>0</v>
      </c>
      <c r="N2086" s="1455">
        <v>1</v>
      </c>
      <c r="O2086" s="1456">
        <v>1</v>
      </c>
      <c r="AA2086"/>
      <c r="AB2086"/>
    </row>
    <row r="2087" spans="3:28">
      <c r="C2087" s="1461" t="s">
        <v>5869</v>
      </c>
      <c r="D2087" s="1458">
        <v>1</v>
      </c>
      <c r="E2087" s="1458">
        <v>1</v>
      </c>
      <c r="F2087" s="1459">
        <v>2</v>
      </c>
      <c r="G2087" s="1470" t="s">
        <v>5869</v>
      </c>
      <c r="H2087" s="1456">
        <v>1</v>
      </c>
      <c r="I2087" s="1456">
        <v>1</v>
      </c>
      <c r="J2087" s="1471">
        <v>2</v>
      </c>
      <c r="K2087" s="1460"/>
      <c r="L2087" s="1454">
        <v>13255161100</v>
      </c>
      <c r="M2087" s="1455">
        <v>1</v>
      </c>
      <c r="N2087" s="1455">
        <v>1</v>
      </c>
      <c r="O2087" s="1456">
        <v>2</v>
      </c>
      <c r="AA2087"/>
      <c r="AB2087"/>
    </row>
    <row r="2088" spans="3:28">
      <c r="C2088" s="1461" t="s">
        <v>5870</v>
      </c>
      <c r="D2088" s="1458">
        <v>0</v>
      </c>
      <c r="E2088" s="1458">
        <v>0</v>
      </c>
      <c r="F2088" s="1459">
        <v>0</v>
      </c>
      <c r="G2088" s="1470" t="s">
        <v>5870</v>
      </c>
      <c r="H2088" s="1456">
        <v>0</v>
      </c>
      <c r="I2088" s="1456">
        <v>1</v>
      </c>
      <c r="J2088" s="1471">
        <v>1</v>
      </c>
      <c r="K2088" s="1460"/>
      <c r="L2088" s="1454">
        <v>13255161200</v>
      </c>
      <c r="M2088" s="1455">
        <v>0</v>
      </c>
      <c r="N2088" s="1455">
        <v>1</v>
      </c>
      <c r="O2088" s="1456">
        <v>1</v>
      </c>
      <c r="AA2088"/>
      <c r="AB2088"/>
    </row>
    <row r="2089" spans="3:28">
      <c r="C2089" s="1461" t="s">
        <v>5871</v>
      </c>
      <c r="D2089" s="1458">
        <v>0</v>
      </c>
      <c r="E2089" s="1458">
        <v>0</v>
      </c>
      <c r="F2089" s="1459">
        <v>0</v>
      </c>
      <c r="G2089" s="1470" t="s">
        <v>5871</v>
      </c>
      <c r="H2089" s="1456">
        <v>0</v>
      </c>
      <c r="I2089" s="1456">
        <v>0</v>
      </c>
      <c r="J2089" s="1471">
        <v>0</v>
      </c>
      <c r="K2089" s="1460"/>
      <c r="L2089" s="1454">
        <v>13257970100</v>
      </c>
      <c r="M2089" s="1455">
        <v>0</v>
      </c>
      <c r="N2089" s="1455">
        <v>0</v>
      </c>
      <c r="O2089" s="1456">
        <v>0</v>
      </c>
      <c r="AA2089"/>
      <c r="AB2089"/>
    </row>
    <row r="2090" spans="3:28">
      <c r="C2090" s="1461" t="s">
        <v>5872</v>
      </c>
      <c r="D2090" s="1458">
        <v>0</v>
      </c>
      <c r="E2090" s="1458">
        <v>0</v>
      </c>
      <c r="F2090" s="1459">
        <v>0</v>
      </c>
      <c r="G2090" s="1470" t="s">
        <v>5872</v>
      </c>
      <c r="H2090" s="1456">
        <v>0</v>
      </c>
      <c r="I2090" s="1456">
        <v>0</v>
      </c>
      <c r="J2090" s="1471">
        <v>0</v>
      </c>
      <c r="K2090" s="1460"/>
      <c r="L2090" s="1454">
        <v>13257970200</v>
      </c>
      <c r="M2090" s="1455">
        <v>0</v>
      </c>
      <c r="N2090" s="1455">
        <v>0</v>
      </c>
      <c r="O2090" s="1456">
        <v>0</v>
      </c>
      <c r="AA2090"/>
      <c r="AB2090"/>
    </row>
    <row r="2091" spans="3:28">
      <c r="C2091" s="1461" t="s">
        <v>5873</v>
      </c>
      <c r="D2091" s="1458">
        <v>0</v>
      </c>
      <c r="E2091" s="1458">
        <v>0</v>
      </c>
      <c r="F2091" s="1459">
        <v>0</v>
      </c>
      <c r="G2091" s="1470" t="s">
        <v>5873</v>
      </c>
      <c r="H2091" s="1456">
        <v>0</v>
      </c>
      <c r="I2091" s="1456">
        <v>0</v>
      </c>
      <c r="J2091" s="1471">
        <v>0</v>
      </c>
      <c r="K2091" s="1460"/>
      <c r="L2091" s="1454">
        <v>13257970301</v>
      </c>
      <c r="M2091" s="1455">
        <v>0</v>
      </c>
      <c r="N2091" s="1455">
        <v>0</v>
      </c>
      <c r="O2091" s="1456">
        <v>0</v>
      </c>
      <c r="AA2091"/>
      <c r="AB2091"/>
    </row>
    <row r="2092" spans="3:28">
      <c r="C2092" s="1461" t="s">
        <v>5874</v>
      </c>
      <c r="D2092" s="1458">
        <v>0</v>
      </c>
      <c r="E2092" s="1458">
        <v>0</v>
      </c>
      <c r="F2092" s="1459">
        <v>0</v>
      </c>
      <c r="G2092" s="1470" t="s">
        <v>5874</v>
      </c>
      <c r="H2092" s="1456">
        <v>0</v>
      </c>
      <c r="I2092" s="1456">
        <v>0</v>
      </c>
      <c r="J2092" s="1471">
        <v>0</v>
      </c>
      <c r="K2092" s="1460"/>
      <c r="L2092" s="1454">
        <v>13257970302</v>
      </c>
      <c r="M2092" s="1455">
        <v>0</v>
      </c>
      <c r="N2092" s="1455">
        <v>0</v>
      </c>
      <c r="O2092" s="1456">
        <v>0</v>
      </c>
      <c r="AA2092"/>
      <c r="AB2092"/>
    </row>
    <row r="2093" spans="3:28">
      <c r="C2093" s="1461" t="s">
        <v>5875</v>
      </c>
      <c r="D2093" s="1458">
        <v>0</v>
      </c>
      <c r="E2093" s="1458">
        <v>0</v>
      </c>
      <c r="F2093" s="1459">
        <v>0</v>
      </c>
      <c r="G2093" s="1470" t="s">
        <v>5875</v>
      </c>
      <c r="H2093" s="1456">
        <v>0</v>
      </c>
      <c r="I2093" s="1456">
        <v>0</v>
      </c>
      <c r="J2093" s="1471">
        <v>0</v>
      </c>
      <c r="K2093" s="1460"/>
      <c r="L2093" s="1454">
        <v>13257970400</v>
      </c>
      <c r="M2093" s="1455">
        <v>0</v>
      </c>
      <c r="N2093" s="1455">
        <v>0</v>
      </c>
      <c r="O2093" s="1456">
        <v>0</v>
      </c>
      <c r="AA2093"/>
      <c r="AB2093"/>
    </row>
    <row r="2094" spans="3:28">
      <c r="C2094" s="1461" t="s">
        <v>5876</v>
      </c>
      <c r="D2094" s="1458">
        <v>0</v>
      </c>
      <c r="E2094" s="1458">
        <v>0</v>
      </c>
      <c r="F2094" s="1459">
        <v>0</v>
      </c>
      <c r="G2094" s="1470" t="s">
        <v>5876</v>
      </c>
      <c r="H2094" s="1456">
        <v>0</v>
      </c>
      <c r="I2094" s="1456">
        <v>0</v>
      </c>
      <c r="J2094" s="1471">
        <v>0</v>
      </c>
      <c r="K2094" s="1460"/>
      <c r="L2094" s="1454">
        <v>13259950100</v>
      </c>
      <c r="M2094" s="1455">
        <v>0</v>
      </c>
      <c r="N2094" s="1455">
        <v>0</v>
      </c>
      <c r="O2094" s="1456">
        <v>0</v>
      </c>
      <c r="AA2094"/>
      <c r="AB2094"/>
    </row>
    <row r="2095" spans="3:28">
      <c r="C2095" s="1461" t="s">
        <v>5877</v>
      </c>
      <c r="D2095" s="1458">
        <v>0</v>
      </c>
      <c r="E2095" s="1458">
        <v>0</v>
      </c>
      <c r="F2095" s="1459">
        <v>0</v>
      </c>
      <c r="G2095" s="1470" t="s">
        <v>5877</v>
      </c>
      <c r="H2095" s="1456">
        <v>0</v>
      </c>
      <c r="I2095" s="1456">
        <v>0</v>
      </c>
      <c r="J2095" s="1471">
        <v>0</v>
      </c>
      <c r="K2095" s="1460"/>
      <c r="L2095" s="1454">
        <v>13259950400</v>
      </c>
      <c r="M2095" s="1455">
        <v>0</v>
      </c>
      <c r="N2095" s="1455">
        <v>0</v>
      </c>
      <c r="O2095" s="1456">
        <v>0</v>
      </c>
      <c r="AA2095"/>
      <c r="AB2095"/>
    </row>
    <row r="2096" spans="3:28">
      <c r="C2096" s="1461" t="s">
        <v>5878</v>
      </c>
      <c r="D2096" s="1458">
        <v>0</v>
      </c>
      <c r="E2096" s="1458">
        <v>0</v>
      </c>
      <c r="F2096" s="1459">
        <v>0</v>
      </c>
      <c r="G2096" s="1470" t="s">
        <v>5878</v>
      </c>
      <c r="H2096" s="1456">
        <v>0</v>
      </c>
      <c r="I2096" s="1456">
        <v>0</v>
      </c>
      <c r="J2096" s="1471">
        <v>0</v>
      </c>
      <c r="K2096" s="1460"/>
      <c r="L2096" s="1454">
        <v>13261950100</v>
      </c>
      <c r="M2096" s="1455">
        <v>0</v>
      </c>
      <c r="N2096" s="1455">
        <v>0</v>
      </c>
      <c r="O2096" s="1456">
        <v>0</v>
      </c>
      <c r="AA2096"/>
      <c r="AB2096"/>
    </row>
    <row r="2097" spans="3:28">
      <c r="C2097" s="1461" t="s">
        <v>5879</v>
      </c>
      <c r="D2097" s="1458">
        <v>0</v>
      </c>
      <c r="E2097" s="1458">
        <v>0</v>
      </c>
      <c r="F2097" s="1459">
        <v>0</v>
      </c>
      <c r="G2097" s="1470" t="s">
        <v>5879</v>
      </c>
      <c r="H2097" s="1456">
        <v>0</v>
      </c>
      <c r="I2097" s="1456">
        <v>0</v>
      </c>
      <c r="J2097" s="1471">
        <v>0</v>
      </c>
      <c r="K2097" s="1460"/>
      <c r="L2097" s="1454">
        <v>13261950200</v>
      </c>
      <c r="M2097" s="1455">
        <v>0</v>
      </c>
      <c r="N2097" s="1455">
        <v>0</v>
      </c>
      <c r="O2097" s="1456">
        <v>0</v>
      </c>
      <c r="AA2097"/>
      <c r="AB2097"/>
    </row>
    <row r="2098" spans="3:28">
      <c r="C2098" s="1461" t="s">
        <v>5880</v>
      </c>
      <c r="D2098" s="1458">
        <v>0</v>
      </c>
      <c r="E2098" s="1458">
        <v>0</v>
      </c>
      <c r="F2098" s="1459">
        <v>0</v>
      </c>
      <c r="G2098" s="1470" t="s">
        <v>5880</v>
      </c>
      <c r="H2098" s="1456">
        <v>0</v>
      </c>
      <c r="I2098" s="1456">
        <v>1</v>
      </c>
      <c r="J2098" s="1471">
        <v>1</v>
      </c>
      <c r="K2098" s="1460"/>
      <c r="L2098" s="1454">
        <v>13261950300</v>
      </c>
      <c r="M2098" s="1455">
        <v>0</v>
      </c>
      <c r="N2098" s="1455">
        <v>1</v>
      </c>
      <c r="O2098" s="1456">
        <v>1</v>
      </c>
      <c r="AA2098"/>
      <c r="AB2098"/>
    </row>
    <row r="2099" spans="3:28">
      <c r="C2099" s="1461" t="s">
        <v>5881</v>
      </c>
      <c r="D2099" s="1458">
        <v>0</v>
      </c>
      <c r="E2099" s="1458">
        <v>0</v>
      </c>
      <c r="F2099" s="1459">
        <v>0</v>
      </c>
      <c r="G2099" s="1470" t="s">
        <v>5881</v>
      </c>
      <c r="H2099" s="1456">
        <v>0</v>
      </c>
      <c r="I2099" s="1456">
        <v>0</v>
      </c>
      <c r="J2099" s="1471">
        <v>0</v>
      </c>
      <c r="K2099" s="1460"/>
      <c r="L2099" s="1454">
        <v>13261950400</v>
      </c>
      <c r="M2099" s="1455">
        <v>0</v>
      </c>
      <c r="N2099" s="1455">
        <v>0</v>
      </c>
      <c r="O2099" s="1456">
        <v>0</v>
      </c>
      <c r="AA2099"/>
      <c r="AB2099"/>
    </row>
    <row r="2100" spans="3:28">
      <c r="C2100" s="1461" t="s">
        <v>5882</v>
      </c>
      <c r="D2100" s="1458">
        <v>0</v>
      </c>
      <c r="E2100" s="1458">
        <v>0</v>
      </c>
      <c r="F2100" s="1459">
        <v>0</v>
      </c>
      <c r="G2100" s="1470" t="s">
        <v>5882</v>
      </c>
      <c r="H2100" s="1456">
        <v>0</v>
      </c>
      <c r="I2100" s="1456">
        <v>0</v>
      </c>
      <c r="J2100" s="1471">
        <v>0</v>
      </c>
      <c r="K2100" s="1460"/>
      <c r="L2100" s="1454">
        <v>13261950500</v>
      </c>
      <c r="M2100" s="1455">
        <v>0</v>
      </c>
      <c r="N2100" s="1455">
        <v>0</v>
      </c>
      <c r="O2100" s="1456">
        <v>0</v>
      </c>
      <c r="AA2100"/>
      <c r="AB2100"/>
    </row>
    <row r="2101" spans="3:28">
      <c r="C2101" s="1461" t="s">
        <v>5883</v>
      </c>
      <c r="D2101" s="1458">
        <v>0</v>
      </c>
      <c r="E2101" s="1458">
        <v>0</v>
      </c>
      <c r="F2101" s="1459">
        <v>0</v>
      </c>
      <c r="G2101" s="1470" t="s">
        <v>5883</v>
      </c>
      <c r="H2101" s="1456">
        <v>0</v>
      </c>
      <c r="I2101" s="1456">
        <v>0</v>
      </c>
      <c r="J2101" s="1471">
        <v>0</v>
      </c>
      <c r="K2101" s="1460"/>
      <c r="L2101" s="1454">
        <v>13261950600</v>
      </c>
      <c r="M2101" s="1455">
        <v>0</v>
      </c>
      <c r="N2101" s="1455">
        <v>0</v>
      </c>
      <c r="O2101" s="1456">
        <v>0</v>
      </c>
      <c r="AA2101"/>
      <c r="AB2101"/>
    </row>
    <row r="2102" spans="3:28">
      <c r="C2102" s="1461" t="s">
        <v>5884</v>
      </c>
      <c r="D2102" s="1458">
        <v>0</v>
      </c>
      <c r="E2102" s="1458">
        <v>0</v>
      </c>
      <c r="F2102" s="1459">
        <v>0</v>
      </c>
      <c r="G2102" s="1470" t="s">
        <v>5884</v>
      </c>
      <c r="H2102" s="1456">
        <v>0</v>
      </c>
      <c r="I2102" s="1456">
        <v>1</v>
      </c>
      <c r="J2102" s="1471">
        <v>1</v>
      </c>
      <c r="K2102" s="1460"/>
      <c r="L2102" s="1454">
        <v>13261950700</v>
      </c>
      <c r="M2102" s="1455">
        <v>0</v>
      </c>
      <c r="N2102" s="1455">
        <v>1</v>
      </c>
      <c r="O2102" s="1456">
        <v>1</v>
      </c>
      <c r="AA2102"/>
      <c r="AB2102"/>
    </row>
    <row r="2103" spans="3:28">
      <c r="C2103" s="1461" t="s">
        <v>5885</v>
      </c>
      <c r="D2103" s="1458">
        <v>0</v>
      </c>
      <c r="E2103" s="1458">
        <v>0</v>
      </c>
      <c r="F2103" s="1459">
        <v>0</v>
      </c>
      <c r="G2103" s="1470" t="s">
        <v>5885</v>
      </c>
      <c r="H2103" s="1456">
        <v>0</v>
      </c>
      <c r="I2103" s="1456">
        <v>1</v>
      </c>
      <c r="J2103" s="1471">
        <v>1</v>
      </c>
      <c r="K2103" s="1460"/>
      <c r="L2103" s="1454">
        <v>13261950800</v>
      </c>
      <c r="M2103" s="1455">
        <v>0</v>
      </c>
      <c r="N2103" s="1455">
        <v>1</v>
      </c>
      <c r="O2103" s="1456">
        <v>1</v>
      </c>
      <c r="AA2103"/>
      <c r="AB2103"/>
    </row>
    <row r="2104" spans="3:28">
      <c r="C2104" s="1461" t="s">
        <v>5886</v>
      </c>
      <c r="D2104" s="1458">
        <v>1</v>
      </c>
      <c r="E2104" s="1458">
        <v>0</v>
      </c>
      <c r="F2104" s="1459">
        <v>1</v>
      </c>
      <c r="G2104" s="1470" t="s">
        <v>5886</v>
      </c>
      <c r="H2104" s="1456">
        <v>0</v>
      </c>
      <c r="I2104" s="1456" t="s">
        <v>3906</v>
      </c>
      <c r="J2104" s="1471">
        <v>0</v>
      </c>
      <c r="K2104" s="1460"/>
      <c r="L2104" s="1454">
        <v>13263960100</v>
      </c>
      <c r="M2104" s="1455">
        <v>1</v>
      </c>
      <c r="N2104" s="1455">
        <v>0</v>
      </c>
      <c r="O2104" s="1456">
        <v>1</v>
      </c>
      <c r="AA2104"/>
      <c r="AB2104"/>
    </row>
    <row r="2105" spans="3:28">
      <c r="C2105" s="1461" t="s">
        <v>5887</v>
      </c>
      <c r="D2105" s="1458">
        <v>0</v>
      </c>
      <c r="E2105" s="1458">
        <v>0</v>
      </c>
      <c r="F2105" s="1459">
        <v>0</v>
      </c>
      <c r="G2105" s="1470" t="s">
        <v>5887</v>
      </c>
      <c r="H2105" s="1456">
        <v>0</v>
      </c>
      <c r="I2105" s="1456">
        <v>0</v>
      </c>
      <c r="J2105" s="1471">
        <v>0</v>
      </c>
      <c r="K2105" s="1460"/>
      <c r="L2105" s="1454">
        <v>13263960200</v>
      </c>
      <c r="M2105" s="1455">
        <v>0</v>
      </c>
      <c r="N2105" s="1455">
        <v>0</v>
      </c>
      <c r="O2105" s="1456">
        <v>0</v>
      </c>
      <c r="AA2105"/>
      <c r="AB2105"/>
    </row>
    <row r="2106" spans="3:28">
      <c r="C2106" s="1461" t="s">
        <v>5888</v>
      </c>
      <c r="D2106" s="1458">
        <v>0</v>
      </c>
      <c r="E2106" s="1458">
        <v>0</v>
      </c>
      <c r="F2106" s="1459">
        <v>0</v>
      </c>
      <c r="G2106" s="1470" t="s">
        <v>5888</v>
      </c>
      <c r="H2106" s="1456">
        <v>0</v>
      </c>
      <c r="I2106" s="1456">
        <v>0</v>
      </c>
      <c r="J2106" s="1471">
        <v>0</v>
      </c>
      <c r="K2106" s="1460"/>
      <c r="L2106" s="1454">
        <v>13263960300</v>
      </c>
      <c r="M2106" s="1455">
        <v>0</v>
      </c>
      <c r="N2106" s="1455">
        <v>0</v>
      </c>
      <c r="O2106" s="1456">
        <v>0</v>
      </c>
      <c r="AA2106"/>
      <c r="AB2106"/>
    </row>
    <row r="2107" spans="3:28">
      <c r="C2107" s="1461" t="s">
        <v>5889</v>
      </c>
      <c r="D2107" s="1458">
        <v>0</v>
      </c>
      <c r="E2107" s="1458">
        <v>0</v>
      </c>
      <c r="F2107" s="1459">
        <v>0</v>
      </c>
      <c r="G2107" s="1470" t="s">
        <v>5889</v>
      </c>
      <c r="H2107" s="1456">
        <v>0</v>
      </c>
      <c r="I2107" s="1456">
        <v>0</v>
      </c>
      <c r="J2107" s="1471">
        <v>0</v>
      </c>
      <c r="K2107" s="1460"/>
      <c r="L2107" s="1454">
        <v>13265010200</v>
      </c>
      <c r="M2107" s="1455">
        <v>0</v>
      </c>
      <c r="N2107" s="1455">
        <v>0</v>
      </c>
      <c r="O2107" s="1456">
        <v>0</v>
      </c>
      <c r="AA2107"/>
      <c r="AB2107"/>
    </row>
    <row r="2108" spans="3:28">
      <c r="C2108" s="1461" t="s">
        <v>5890</v>
      </c>
      <c r="D2108" s="1458">
        <v>0</v>
      </c>
      <c r="E2108" s="1458">
        <v>0</v>
      </c>
      <c r="F2108" s="1459">
        <v>0</v>
      </c>
      <c r="G2108" s="1470" t="s">
        <v>5890</v>
      </c>
      <c r="H2108" s="1456">
        <v>0</v>
      </c>
      <c r="I2108" s="1456">
        <v>0</v>
      </c>
      <c r="J2108" s="1471">
        <v>0</v>
      </c>
      <c r="K2108" s="1460"/>
      <c r="L2108" s="1454">
        <v>13267950100</v>
      </c>
      <c r="M2108" s="1455">
        <v>0</v>
      </c>
      <c r="N2108" s="1455">
        <v>0</v>
      </c>
      <c r="O2108" s="1456">
        <v>0</v>
      </c>
      <c r="AA2108"/>
      <c r="AB2108"/>
    </row>
    <row r="2109" spans="3:28">
      <c r="C2109" s="1461" t="s">
        <v>5891</v>
      </c>
      <c r="D2109" s="1458">
        <v>0</v>
      </c>
      <c r="E2109" s="1458">
        <v>0</v>
      </c>
      <c r="F2109" s="1459">
        <v>0</v>
      </c>
      <c r="G2109" s="1470" t="s">
        <v>5891</v>
      </c>
      <c r="H2109" s="1456">
        <v>0</v>
      </c>
      <c r="I2109" s="1456">
        <v>0</v>
      </c>
      <c r="J2109" s="1471">
        <v>0</v>
      </c>
      <c r="K2109" s="1460"/>
      <c r="L2109" s="1454">
        <v>13267950201</v>
      </c>
      <c r="M2109" s="1455">
        <v>0</v>
      </c>
      <c r="N2109" s="1455">
        <v>0</v>
      </c>
      <c r="O2109" s="1456">
        <v>0</v>
      </c>
      <c r="AA2109"/>
      <c r="AB2109"/>
    </row>
    <row r="2110" spans="3:28">
      <c r="C2110" s="1461" t="s">
        <v>5892</v>
      </c>
      <c r="D2110" s="1458">
        <v>0</v>
      </c>
      <c r="E2110" s="1458">
        <v>0</v>
      </c>
      <c r="F2110" s="1459">
        <v>0</v>
      </c>
      <c r="G2110" s="1470" t="s">
        <v>5892</v>
      </c>
      <c r="H2110" s="1456">
        <v>0</v>
      </c>
      <c r="I2110" s="1456">
        <v>0</v>
      </c>
      <c r="J2110" s="1471">
        <v>0</v>
      </c>
      <c r="K2110" s="1460"/>
      <c r="L2110" s="1454">
        <v>13267950202</v>
      </c>
      <c r="M2110" s="1455">
        <v>0</v>
      </c>
      <c r="N2110" s="1455">
        <v>0</v>
      </c>
      <c r="O2110" s="1456">
        <v>0</v>
      </c>
      <c r="AA2110"/>
      <c r="AB2110"/>
    </row>
    <row r="2111" spans="3:28">
      <c r="C2111" s="1461" t="s">
        <v>5893</v>
      </c>
      <c r="D2111" s="1458">
        <v>0</v>
      </c>
      <c r="E2111" s="1458">
        <v>0</v>
      </c>
      <c r="F2111" s="1459">
        <v>0</v>
      </c>
      <c r="G2111" s="1470" t="s">
        <v>5893</v>
      </c>
      <c r="H2111" s="1456">
        <v>0</v>
      </c>
      <c r="I2111" s="1456">
        <v>0</v>
      </c>
      <c r="J2111" s="1471">
        <v>0</v>
      </c>
      <c r="K2111" s="1460"/>
      <c r="L2111" s="1454">
        <v>13267950300</v>
      </c>
      <c r="M2111" s="1455">
        <v>0</v>
      </c>
      <c r="N2111" s="1455">
        <v>0</v>
      </c>
      <c r="O2111" s="1456">
        <v>0</v>
      </c>
      <c r="AA2111"/>
      <c r="AB2111"/>
    </row>
    <row r="2112" spans="3:28">
      <c r="C2112" s="1461" t="s">
        <v>5894</v>
      </c>
      <c r="D2112" s="1458">
        <v>0</v>
      </c>
      <c r="E2112" s="1458">
        <v>0</v>
      </c>
      <c r="F2112" s="1459">
        <v>0</v>
      </c>
      <c r="G2112" s="1470" t="s">
        <v>5894</v>
      </c>
      <c r="H2112" s="1456">
        <v>0</v>
      </c>
      <c r="I2112" s="1456">
        <v>0</v>
      </c>
      <c r="J2112" s="1471">
        <v>0</v>
      </c>
      <c r="K2112" s="1460"/>
      <c r="L2112" s="1454">
        <v>13267950400</v>
      </c>
      <c r="M2112" s="1455">
        <v>0</v>
      </c>
      <c r="N2112" s="1455">
        <v>0</v>
      </c>
      <c r="O2112" s="1456">
        <v>0</v>
      </c>
      <c r="AA2112"/>
      <c r="AB2112"/>
    </row>
    <row r="2113" spans="3:28">
      <c r="C2113" s="1461" t="s">
        <v>5895</v>
      </c>
      <c r="D2113" s="1458">
        <v>0</v>
      </c>
      <c r="E2113" s="1458">
        <v>0</v>
      </c>
      <c r="F2113" s="1459">
        <v>0</v>
      </c>
      <c r="G2113" s="1470" t="s">
        <v>5895</v>
      </c>
      <c r="H2113" s="1456">
        <v>0</v>
      </c>
      <c r="I2113" s="1456">
        <v>0</v>
      </c>
      <c r="J2113" s="1471">
        <v>0</v>
      </c>
      <c r="K2113" s="1460"/>
      <c r="L2113" s="1454">
        <v>13269950100</v>
      </c>
      <c r="M2113" s="1455">
        <v>0</v>
      </c>
      <c r="N2113" s="1455">
        <v>0</v>
      </c>
      <c r="O2113" s="1456">
        <v>0</v>
      </c>
      <c r="AA2113"/>
      <c r="AB2113"/>
    </row>
    <row r="2114" spans="3:28">
      <c r="C2114" s="1461" t="s">
        <v>5896</v>
      </c>
      <c r="D2114" s="1458">
        <v>0</v>
      </c>
      <c r="E2114" s="1458">
        <v>0</v>
      </c>
      <c r="F2114" s="1459">
        <v>0</v>
      </c>
      <c r="G2114" s="1470" t="s">
        <v>5896</v>
      </c>
      <c r="H2114" s="1456">
        <v>0</v>
      </c>
      <c r="I2114" s="1456">
        <v>0</v>
      </c>
      <c r="J2114" s="1471">
        <v>0</v>
      </c>
      <c r="K2114" s="1460"/>
      <c r="L2114" s="1454">
        <v>13269950200</v>
      </c>
      <c r="M2114" s="1455">
        <v>0</v>
      </c>
      <c r="N2114" s="1455">
        <v>0</v>
      </c>
      <c r="O2114" s="1456">
        <v>0</v>
      </c>
      <c r="AA2114"/>
      <c r="AB2114"/>
    </row>
    <row r="2115" spans="3:28">
      <c r="C2115" s="1461" t="s">
        <v>5897</v>
      </c>
      <c r="D2115" s="1458">
        <v>0</v>
      </c>
      <c r="E2115" s="1458">
        <v>0</v>
      </c>
      <c r="F2115" s="1459">
        <v>0</v>
      </c>
      <c r="G2115" s="1470" t="s">
        <v>5897</v>
      </c>
      <c r="H2115" s="1456">
        <v>0</v>
      </c>
      <c r="I2115" s="1456">
        <v>0</v>
      </c>
      <c r="J2115" s="1471">
        <v>0</v>
      </c>
      <c r="K2115" s="1460"/>
      <c r="L2115" s="1454">
        <v>13269950300</v>
      </c>
      <c r="M2115" s="1455">
        <v>0</v>
      </c>
      <c r="N2115" s="1455">
        <v>0</v>
      </c>
      <c r="O2115" s="1456">
        <v>0</v>
      </c>
      <c r="AA2115"/>
      <c r="AB2115"/>
    </row>
    <row r="2116" spans="3:28">
      <c r="C2116" s="1461" t="s">
        <v>5898</v>
      </c>
      <c r="D2116" s="1458">
        <v>0</v>
      </c>
      <c r="E2116" s="1458">
        <v>0</v>
      </c>
      <c r="F2116" s="1459">
        <v>0</v>
      </c>
      <c r="G2116" s="1470" t="s">
        <v>5898</v>
      </c>
      <c r="H2116" s="1456">
        <v>0</v>
      </c>
      <c r="I2116" s="1456">
        <v>1</v>
      </c>
      <c r="J2116" s="1471">
        <v>1</v>
      </c>
      <c r="K2116" s="1460"/>
      <c r="L2116" s="1454">
        <v>13271950100</v>
      </c>
      <c r="M2116" s="1455">
        <v>0</v>
      </c>
      <c r="N2116" s="1455">
        <v>1</v>
      </c>
      <c r="O2116" s="1456">
        <v>1</v>
      </c>
      <c r="AA2116"/>
      <c r="AB2116"/>
    </row>
    <row r="2117" spans="3:28">
      <c r="C2117" s="1461" t="s">
        <v>5899</v>
      </c>
      <c r="D2117" s="1458">
        <v>0</v>
      </c>
      <c r="E2117" s="1458">
        <v>0</v>
      </c>
      <c r="F2117" s="1459">
        <v>0</v>
      </c>
      <c r="G2117" s="1470" t="s">
        <v>5899</v>
      </c>
      <c r="H2117" s="1456">
        <v>0</v>
      </c>
      <c r="I2117" s="1456">
        <v>1</v>
      </c>
      <c r="J2117" s="1471">
        <v>1</v>
      </c>
      <c r="K2117" s="1460"/>
      <c r="L2117" s="1454">
        <v>13271950200</v>
      </c>
      <c r="M2117" s="1455">
        <v>0</v>
      </c>
      <c r="N2117" s="1455">
        <v>1</v>
      </c>
      <c r="O2117" s="1456">
        <v>1</v>
      </c>
      <c r="AA2117"/>
      <c r="AB2117"/>
    </row>
    <row r="2118" spans="3:28">
      <c r="C2118" s="1461" t="s">
        <v>5900</v>
      </c>
      <c r="D2118" s="1458">
        <v>0</v>
      </c>
      <c r="E2118" s="1458">
        <v>0</v>
      </c>
      <c r="F2118" s="1459">
        <v>0</v>
      </c>
      <c r="G2118" s="1470" t="s">
        <v>5900</v>
      </c>
      <c r="H2118" s="1456">
        <v>0</v>
      </c>
      <c r="I2118" s="1456">
        <v>0</v>
      </c>
      <c r="J2118" s="1471">
        <v>0</v>
      </c>
      <c r="K2118" s="1460"/>
      <c r="L2118" s="1454">
        <v>13271950500</v>
      </c>
      <c r="M2118" s="1455">
        <v>0</v>
      </c>
      <c r="N2118" s="1455">
        <v>0</v>
      </c>
      <c r="O2118" s="1456">
        <v>0</v>
      </c>
      <c r="AA2118"/>
      <c r="AB2118"/>
    </row>
    <row r="2119" spans="3:28">
      <c r="C2119" s="1461" t="s">
        <v>5901</v>
      </c>
      <c r="D2119" s="1458">
        <v>0</v>
      </c>
      <c r="E2119" s="1458">
        <v>0</v>
      </c>
      <c r="F2119" s="1459">
        <v>0</v>
      </c>
      <c r="G2119" s="1470" t="s">
        <v>5901</v>
      </c>
      <c r="H2119" s="1456">
        <v>0</v>
      </c>
      <c r="I2119" s="1456">
        <v>0</v>
      </c>
      <c r="J2119" s="1471">
        <v>0</v>
      </c>
      <c r="K2119" s="1460"/>
      <c r="L2119" s="1454">
        <v>13273120200</v>
      </c>
      <c r="M2119" s="1455">
        <v>0</v>
      </c>
      <c r="N2119" s="1455">
        <v>0</v>
      </c>
      <c r="O2119" s="1456">
        <v>0</v>
      </c>
      <c r="AA2119"/>
      <c r="AB2119"/>
    </row>
    <row r="2120" spans="3:28">
      <c r="C2120" s="1461" t="s">
        <v>5902</v>
      </c>
      <c r="D2120" s="1458">
        <v>0</v>
      </c>
      <c r="E2120" s="1458">
        <v>0</v>
      </c>
      <c r="F2120" s="1459">
        <v>0</v>
      </c>
      <c r="G2120" s="1470" t="s">
        <v>5902</v>
      </c>
      <c r="H2120" s="1456">
        <v>0</v>
      </c>
      <c r="I2120" s="1456">
        <v>0</v>
      </c>
      <c r="J2120" s="1471">
        <v>0</v>
      </c>
      <c r="K2120" s="1460"/>
      <c r="L2120" s="1454">
        <v>13273120300</v>
      </c>
      <c r="M2120" s="1455">
        <v>0</v>
      </c>
      <c r="N2120" s="1455">
        <v>0</v>
      </c>
      <c r="O2120" s="1456">
        <v>0</v>
      </c>
      <c r="AA2120"/>
      <c r="AB2120"/>
    </row>
    <row r="2121" spans="3:28">
      <c r="C2121" s="1461" t="s">
        <v>5903</v>
      </c>
      <c r="D2121" s="1458">
        <v>0</v>
      </c>
      <c r="E2121" s="1458">
        <v>0</v>
      </c>
      <c r="F2121" s="1459">
        <v>0</v>
      </c>
      <c r="G2121" s="1470" t="s">
        <v>5903</v>
      </c>
      <c r="H2121" s="1456">
        <v>0</v>
      </c>
      <c r="I2121" s="1456">
        <v>0</v>
      </c>
      <c r="J2121" s="1471">
        <v>0</v>
      </c>
      <c r="K2121" s="1460"/>
      <c r="L2121" s="1454">
        <v>13273120400</v>
      </c>
      <c r="M2121" s="1455">
        <v>0</v>
      </c>
      <c r="N2121" s="1455">
        <v>0</v>
      </c>
      <c r="O2121" s="1456">
        <v>0</v>
      </c>
      <c r="AA2121"/>
      <c r="AB2121"/>
    </row>
    <row r="2122" spans="3:28">
      <c r="C2122" s="1461" t="s">
        <v>5904</v>
      </c>
      <c r="D2122" s="1458">
        <v>0</v>
      </c>
      <c r="E2122" s="1458">
        <v>0</v>
      </c>
      <c r="F2122" s="1459">
        <v>0</v>
      </c>
      <c r="G2122" s="1470" t="s">
        <v>5904</v>
      </c>
      <c r="H2122" s="1456">
        <v>0</v>
      </c>
      <c r="I2122" s="1456">
        <v>0</v>
      </c>
      <c r="J2122" s="1471">
        <v>0</v>
      </c>
      <c r="K2122" s="1460"/>
      <c r="L2122" s="1454">
        <v>13273120500</v>
      </c>
      <c r="M2122" s="1455">
        <v>0</v>
      </c>
      <c r="N2122" s="1455">
        <v>0</v>
      </c>
      <c r="O2122" s="1456">
        <v>0</v>
      </c>
      <c r="AA2122"/>
      <c r="AB2122"/>
    </row>
    <row r="2123" spans="3:28">
      <c r="C2123" s="1461" t="s">
        <v>5905</v>
      </c>
      <c r="D2123" s="1458">
        <v>0</v>
      </c>
      <c r="E2123" s="1458">
        <v>0</v>
      </c>
      <c r="F2123" s="1459">
        <v>0</v>
      </c>
      <c r="G2123" s="1470" t="s">
        <v>5905</v>
      </c>
      <c r="H2123" s="1456">
        <v>0</v>
      </c>
      <c r="I2123" s="1456">
        <v>0</v>
      </c>
      <c r="J2123" s="1471">
        <v>0</v>
      </c>
      <c r="K2123" s="1460"/>
      <c r="L2123" s="1454">
        <v>13275960100</v>
      </c>
      <c r="M2123" s="1455">
        <v>0</v>
      </c>
      <c r="N2123" s="1455">
        <v>0</v>
      </c>
      <c r="O2123" s="1456">
        <v>0</v>
      </c>
      <c r="AA2123"/>
      <c r="AB2123"/>
    </row>
    <row r="2124" spans="3:28">
      <c r="C2124" s="1461" t="s">
        <v>5906</v>
      </c>
      <c r="D2124" s="1458">
        <v>0</v>
      </c>
      <c r="E2124" s="1458">
        <v>0</v>
      </c>
      <c r="F2124" s="1459">
        <v>0</v>
      </c>
      <c r="G2124" s="1470" t="s">
        <v>5906</v>
      </c>
      <c r="H2124" s="1456">
        <v>0</v>
      </c>
      <c r="I2124" s="1456">
        <v>0</v>
      </c>
      <c r="J2124" s="1471">
        <v>0</v>
      </c>
      <c r="K2124" s="1460"/>
      <c r="L2124" s="1454">
        <v>13275960200</v>
      </c>
      <c r="M2124" s="1455">
        <v>0</v>
      </c>
      <c r="N2124" s="1455">
        <v>0</v>
      </c>
      <c r="O2124" s="1456">
        <v>0</v>
      </c>
      <c r="AA2124"/>
      <c r="AB2124"/>
    </row>
    <row r="2125" spans="3:28">
      <c r="C2125" s="1461" t="s">
        <v>5907</v>
      </c>
      <c r="D2125" s="1458">
        <v>0</v>
      </c>
      <c r="E2125" s="1458">
        <v>0</v>
      </c>
      <c r="F2125" s="1459">
        <v>0</v>
      </c>
      <c r="G2125" s="1470" t="s">
        <v>5907</v>
      </c>
      <c r="H2125" s="1456">
        <v>0</v>
      </c>
      <c r="I2125" s="1456">
        <v>0</v>
      </c>
      <c r="J2125" s="1471">
        <v>0</v>
      </c>
      <c r="K2125" s="1460"/>
      <c r="L2125" s="1454">
        <v>13275960300</v>
      </c>
      <c r="M2125" s="1455">
        <v>0</v>
      </c>
      <c r="N2125" s="1455">
        <v>0</v>
      </c>
      <c r="O2125" s="1456">
        <v>0</v>
      </c>
      <c r="AA2125"/>
      <c r="AB2125"/>
    </row>
    <row r="2126" spans="3:28">
      <c r="C2126" s="1461" t="s">
        <v>5908</v>
      </c>
      <c r="D2126" s="1458">
        <v>0</v>
      </c>
      <c r="E2126" s="1458">
        <v>0</v>
      </c>
      <c r="F2126" s="1459">
        <v>0</v>
      </c>
      <c r="G2126" s="1470" t="s">
        <v>5908</v>
      </c>
      <c r="H2126" s="1456">
        <v>0</v>
      </c>
      <c r="I2126" s="1456">
        <v>0</v>
      </c>
      <c r="J2126" s="1471">
        <v>0</v>
      </c>
      <c r="K2126" s="1460"/>
      <c r="L2126" s="1454">
        <v>13275960400</v>
      </c>
      <c r="M2126" s="1455">
        <v>0</v>
      </c>
      <c r="N2126" s="1455">
        <v>0</v>
      </c>
      <c r="O2126" s="1456">
        <v>0</v>
      </c>
      <c r="AA2126"/>
      <c r="AB2126"/>
    </row>
    <row r="2127" spans="3:28">
      <c r="C2127" s="1461" t="s">
        <v>5909</v>
      </c>
      <c r="D2127" s="1458">
        <v>0</v>
      </c>
      <c r="E2127" s="1458">
        <v>0</v>
      </c>
      <c r="F2127" s="1459">
        <v>0</v>
      </c>
      <c r="G2127" s="1470" t="s">
        <v>5909</v>
      </c>
      <c r="H2127" s="1456">
        <v>0</v>
      </c>
      <c r="I2127" s="1456">
        <v>0</v>
      </c>
      <c r="J2127" s="1471">
        <v>0</v>
      </c>
      <c r="K2127" s="1460"/>
      <c r="L2127" s="1454">
        <v>13275960500</v>
      </c>
      <c r="M2127" s="1455">
        <v>0</v>
      </c>
      <c r="N2127" s="1455">
        <v>0</v>
      </c>
      <c r="O2127" s="1456">
        <v>0</v>
      </c>
      <c r="AA2127"/>
      <c r="AB2127"/>
    </row>
    <row r="2128" spans="3:28">
      <c r="C2128" s="1461" t="s">
        <v>5910</v>
      </c>
      <c r="D2128" s="1458">
        <v>1</v>
      </c>
      <c r="E2128" s="1458">
        <v>0</v>
      </c>
      <c r="F2128" s="1459">
        <v>1</v>
      </c>
      <c r="G2128" s="1470" t="s">
        <v>5910</v>
      </c>
      <c r="H2128" s="1456">
        <v>0</v>
      </c>
      <c r="I2128" s="1456">
        <v>0</v>
      </c>
      <c r="J2128" s="1471">
        <v>0</v>
      </c>
      <c r="K2128" s="1460"/>
      <c r="L2128" s="1454">
        <v>13275960600</v>
      </c>
      <c r="M2128" s="1455">
        <v>1</v>
      </c>
      <c r="N2128" s="1455">
        <v>0</v>
      </c>
      <c r="O2128" s="1456">
        <v>1</v>
      </c>
      <c r="AA2128"/>
      <c r="AB2128"/>
    </row>
    <row r="2129" spans="3:28">
      <c r="C2129" s="1461" t="s">
        <v>5911</v>
      </c>
      <c r="D2129" s="1458">
        <v>0</v>
      </c>
      <c r="E2129" s="1458">
        <v>0</v>
      </c>
      <c r="F2129" s="1459">
        <v>0</v>
      </c>
      <c r="G2129" s="1470" t="s">
        <v>5911</v>
      </c>
      <c r="H2129" s="1456">
        <v>0</v>
      </c>
      <c r="I2129" s="1456">
        <v>0</v>
      </c>
      <c r="J2129" s="1471">
        <v>0</v>
      </c>
      <c r="K2129" s="1460"/>
      <c r="L2129" s="1454">
        <v>13275960700</v>
      </c>
      <c r="M2129" s="1455">
        <v>0</v>
      </c>
      <c r="N2129" s="1455">
        <v>0</v>
      </c>
      <c r="O2129" s="1456">
        <v>0</v>
      </c>
      <c r="AA2129"/>
      <c r="AB2129"/>
    </row>
    <row r="2130" spans="3:28">
      <c r="C2130" s="1461" t="s">
        <v>5912</v>
      </c>
      <c r="D2130" s="1458">
        <v>0</v>
      </c>
      <c r="E2130" s="1458">
        <v>0</v>
      </c>
      <c r="F2130" s="1459">
        <v>0</v>
      </c>
      <c r="G2130" s="1470" t="s">
        <v>5912</v>
      </c>
      <c r="H2130" s="1456">
        <v>0</v>
      </c>
      <c r="I2130" s="1456">
        <v>0</v>
      </c>
      <c r="J2130" s="1471">
        <v>0</v>
      </c>
      <c r="K2130" s="1460"/>
      <c r="L2130" s="1454">
        <v>13275960800</v>
      </c>
      <c r="M2130" s="1455">
        <v>0</v>
      </c>
      <c r="N2130" s="1455">
        <v>0</v>
      </c>
      <c r="O2130" s="1456">
        <v>0</v>
      </c>
      <c r="AA2130"/>
      <c r="AB2130"/>
    </row>
    <row r="2131" spans="3:28">
      <c r="C2131" s="1461" t="s">
        <v>5913</v>
      </c>
      <c r="D2131" s="1458">
        <v>0</v>
      </c>
      <c r="E2131" s="1458">
        <v>0</v>
      </c>
      <c r="F2131" s="1459">
        <v>0</v>
      </c>
      <c r="G2131" s="1470" t="s">
        <v>5913</v>
      </c>
      <c r="H2131" s="1456">
        <v>0</v>
      </c>
      <c r="I2131" s="1456">
        <v>0</v>
      </c>
      <c r="J2131" s="1471">
        <v>0</v>
      </c>
      <c r="K2131" s="1460"/>
      <c r="L2131" s="1454">
        <v>13275960900</v>
      </c>
      <c r="M2131" s="1455">
        <v>0</v>
      </c>
      <c r="N2131" s="1455">
        <v>0</v>
      </c>
      <c r="O2131" s="1456">
        <v>0</v>
      </c>
      <c r="AA2131"/>
      <c r="AB2131"/>
    </row>
    <row r="2132" spans="3:28">
      <c r="C2132" s="1461" t="s">
        <v>5914</v>
      </c>
      <c r="D2132" s="1458">
        <v>0</v>
      </c>
      <c r="E2132" s="1458">
        <v>0</v>
      </c>
      <c r="F2132" s="1459">
        <v>0</v>
      </c>
      <c r="G2132" s="1470" t="s">
        <v>5914</v>
      </c>
      <c r="H2132" s="1456">
        <v>1</v>
      </c>
      <c r="I2132" s="1456">
        <v>1</v>
      </c>
      <c r="J2132" s="1471">
        <v>2</v>
      </c>
      <c r="K2132" s="1460"/>
      <c r="L2132" s="1454">
        <v>13275961000</v>
      </c>
      <c r="M2132" s="1455">
        <v>1</v>
      </c>
      <c r="N2132" s="1455">
        <v>1</v>
      </c>
      <c r="O2132" s="1456">
        <v>2</v>
      </c>
      <c r="AA2132"/>
      <c r="AB2132"/>
    </row>
    <row r="2133" spans="3:28">
      <c r="C2133" s="1461" t="s">
        <v>5915</v>
      </c>
      <c r="D2133" s="1458">
        <v>0</v>
      </c>
      <c r="E2133" s="1458">
        <v>0</v>
      </c>
      <c r="F2133" s="1459">
        <v>0</v>
      </c>
      <c r="G2133" s="1470" t="s">
        <v>5915</v>
      </c>
      <c r="H2133" s="1456">
        <v>0</v>
      </c>
      <c r="I2133" s="1456">
        <v>1</v>
      </c>
      <c r="J2133" s="1471">
        <v>1</v>
      </c>
      <c r="K2133" s="1460"/>
      <c r="L2133" s="1454">
        <v>13275961100</v>
      </c>
      <c r="M2133" s="1455">
        <v>0</v>
      </c>
      <c r="N2133" s="1455">
        <v>1</v>
      </c>
      <c r="O2133" s="1456">
        <v>1</v>
      </c>
      <c r="AA2133"/>
      <c r="AB2133"/>
    </row>
    <row r="2134" spans="3:28">
      <c r="C2134" s="1461" t="s">
        <v>5916</v>
      </c>
      <c r="D2134" s="1458">
        <v>1</v>
      </c>
      <c r="E2134" s="1458">
        <v>1</v>
      </c>
      <c r="F2134" s="1459">
        <v>2</v>
      </c>
      <c r="G2134" s="1470" t="s">
        <v>5916</v>
      </c>
      <c r="H2134" s="1456">
        <v>1</v>
      </c>
      <c r="I2134" s="1456">
        <v>0</v>
      </c>
      <c r="J2134" s="1471">
        <v>1</v>
      </c>
      <c r="K2134" s="1460"/>
      <c r="L2134" s="1454">
        <v>13277960100</v>
      </c>
      <c r="M2134" s="1455">
        <v>1</v>
      </c>
      <c r="N2134" s="1455">
        <v>1</v>
      </c>
      <c r="O2134" s="1456">
        <v>2</v>
      </c>
      <c r="AA2134"/>
      <c r="AB2134"/>
    </row>
    <row r="2135" spans="3:28">
      <c r="C2135" s="1461" t="s">
        <v>5917</v>
      </c>
      <c r="D2135" s="1458">
        <v>1</v>
      </c>
      <c r="E2135" s="1458">
        <v>0</v>
      </c>
      <c r="F2135" s="1459">
        <v>1</v>
      </c>
      <c r="G2135" s="1470" t="s">
        <v>5917</v>
      </c>
      <c r="H2135" s="1456">
        <v>0</v>
      </c>
      <c r="I2135" s="1456">
        <v>0</v>
      </c>
      <c r="J2135" s="1471">
        <v>0</v>
      </c>
      <c r="K2135" s="1460"/>
      <c r="L2135" s="1454">
        <v>13277960200</v>
      </c>
      <c r="M2135" s="1455">
        <v>1</v>
      </c>
      <c r="N2135" s="1455">
        <v>0</v>
      </c>
      <c r="O2135" s="1456">
        <v>1</v>
      </c>
      <c r="AA2135"/>
      <c r="AB2135"/>
    </row>
    <row r="2136" spans="3:28">
      <c r="C2136" s="1461" t="s">
        <v>5918</v>
      </c>
      <c r="D2136" s="1458">
        <v>0</v>
      </c>
      <c r="E2136" s="1458">
        <v>0</v>
      </c>
      <c r="F2136" s="1459">
        <v>0</v>
      </c>
      <c r="G2136" s="1470" t="s">
        <v>5918</v>
      </c>
      <c r="H2136" s="1456">
        <v>1</v>
      </c>
      <c r="I2136" s="1456">
        <v>0</v>
      </c>
      <c r="J2136" s="1471">
        <v>1</v>
      </c>
      <c r="K2136" s="1460"/>
      <c r="L2136" s="1454">
        <v>13277960300</v>
      </c>
      <c r="M2136" s="1455">
        <v>1</v>
      </c>
      <c r="N2136" s="1455">
        <v>0</v>
      </c>
      <c r="O2136" s="1456">
        <v>1</v>
      </c>
      <c r="AA2136"/>
      <c r="AB2136"/>
    </row>
    <row r="2137" spans="3:28">
      <c r="C2137" s="1461" t="s">
        <v>5919</v>
      </c>
      <c r="D2137" s="1458">
        <v>0</v>
      </c>
      <c r="E2137" s="1458">
        <v>0</v>
      </c>
      <c r="F2137" s="1459">
        <v>0</v>
      </c>
      <c r="G2137" s="1470" t="s">
        <v>5919</v>
      </c>
      <c r="H2137" s="1456">
        <v>0</v>
      </c>
      <c r="I2137" s="1456">
        <v>0</v>
      </c>
      <c r="J2137" s="1471">
        <v>0</v>
      </c>
      <c r="K2137" s="1460"/>
      <c r="L2137" s="1454">
        <v>13277960400</v>
      </c>
      <c r="M2137" s="1455">
        <v>0</v>
      </c>
      <c r="N2137" s="1455">
        <v>0</v>
      </c>
      <c r="O2137" s="1456">
        <v>0</v>
      </c>
      <c r="AA2137"/>
      <c r="AB2137"/>
    </row>
    <row r="2138" spans="3:28">
      <c r="C2138" s="1461" t="s">
        <v>5920</v>
      </c>
      <c r="D2138" s="1458">
        <v>1</v>
      </c>
      <c r="E2138" s="1458">
        <v>0</v>
      </c>
      <c r="F2138" s="1459">
        <v>1</v>
      </c>
      <c r="G2138" s="1470" t="s">
        <v>5920</v>
      </c>
      <c r="H2138" s="1456">
        <v>1</v>
      </c>
      <c r="I2138" s="1456">
        <v>1</v>
      </c>
      <c r="J2138" s="1471">
        <v>2</v>
      </c>
      <c r="K2138" s="1460"/>
      <c r="L2138" s="1454">
        <v>13277960500</v>
      </c>
      <c r="M2138" s="1455">
        <v>1</v>
      </c>
      <c r="N2138" s="1455">
        <v>1</v>
      </c>
      <c r="O2138" s="1456">
        <v>2</v>
      </c>
      <c r="AA2138"/>
      <c r="AB2138"/>
    </row>
    <row r="2139" spans="3:28">
      <c r="C2139" s="1461" t="s">
        <v>5921</v>
      </c>
      <c r="D2139" s="1458">
        <v>0</v>
      </c>
      <c r="E2139" s="1458">
        <v>0</v>
      </c>
      <c r="F2139" s="1459">
        <v>0</v>
      </c>
      <c r="G2139" s="1470" t="s">
        <v>5921</v>
      </c>
      <c r="H2139" s="1456">
        <v>0</v>
      </c>
      <c r="I2139" s="1456">
        <v>0</v>
      </c>
      <c r="J2139" s="1471">
        <v>0</v>
      </c>
      <c r="K2139" s="1460"/>
      <c r="L2139" s="1454">
        <v>13277960600</v>
      </c>
      <c r="M2139" s="1455">
        <v>0</v>
      </c>
      <c r="N2139" s="1455">
        <v>0</v>
      </c>
      <c r="O2139" s="1456">
        <v>0</v>
      </c>
      <c r="AA2139"/>
      <c r="AB2139"/>
    </row>
    <row r="2140" spans="3:28">
      <c r="C2140" s="1461" t="s">
        <v>5922</v>
      </c>
      <c r="D2140" s="1458">
        <v>0</v>
      </c>
      <c r="E2140" s="1458">
        <v>0</v>
      </c>
      <c r="F2140" s="1459">
        <v>0</v>
      </c>
      <c r="G2140" s="1470" t="s">
        <v>5922</v>
      </c>
      <c r="H2140" s="1456">
        <v>0</v>
      </c>
      <c r="I2140" s="1456">
        <v>0</v>
      </c>
      <c r="J2140" s="1471">
        <v>0</v>
      </c>
      <c r="K2140" s="1460"/>
      <c r="L2140" s="1454">
        <v>13277960700</v>
      </c>
      <c r="M2140" s="1455">
        <v>0</v>
      </c>
      <c r="N2140" s="1455">
        <v>0</v>
      </c>
      <c r="O2140" s="1456">
        <v>0</v>
      </c>
      <c r="AA2140"/>
      <c r="AB2140"/>
    </row>
    <row r="2141" spans="3:28">
      <c r="C2141" s="1461" t="s">
        <v>5923</v>
      </c>
      <c r="D2141" s="1458">
        <v>0</v>
      </c>
      <c r="E2141" s="1458">
        <v>0</v>
      </c>
      <c r="F2141" s="1459">
        <v>0</v>
      </c>
      <c r="G2141" s="1470" t="s">
        <v>5923</v>
      </c>
      <c r="H2141" s="1456">
        <v>0</v>
      </c>
      <c r="I2141" s="1456">
        <v>0</v>
      </c>
      <c r="J2141" s="1471">
        <v>0</v>
      </c>
      <c r="K2141" s="1460"/>
      <c r="L2141" s="1454">
        <v>13277960800</v>
      </c>
      <c r="M2141" s="1455">
        <v>0</v>
      </c>
      <c r="N2141" s="1455">
        <v>0</v>
      </c>
      <c r="O2141" s="1456">
        <v>0</v>
      </c>
      <c r="AA2141"/>
      <c r="AB2141"/>
    </row>
    <row r="2142" spans="3:28">
      <c r="C2142" s="1461" t="s">
        <v>5924</v>
      </c>
      <c r="D2142" s="1458">
        <v>0</v>
      </c>
      <c r="E2142" s="1458">
        <v>0</v>
      </c>
      <c r="F2142" s="1459">
        <v>0</v>
      </c>
      <c r="G2142" s="1470" t="s">
        <v>5924</v>
      </c>
      <c r="H2142" s="1456">
        <v>0</v>
      </c>
      <c r="I2142" s="1456">
        <v>0</v>
      </c>
      <c r="J2142" s="1471">
        <v>0</v>
      </c>
      <c r="K2142" s="1460"/>
      <c r="L2142" s="1454">
        <v>13277960900</v>
      </c>
      <c r="M2142" s="1455">
        <v>0</v>
      </c>
      <c r="N2142" s="1455">
        <v>0</v>
      </c>
      <c r="O2142" s="1456">
        <v>0</v>
      </c>
      <c r="AA2142"/>
      <c r="AB2142"/>
    </row>
    <row r="2143" spans="3:28">
      <c r="C2143" s="1461" t="s">
        <v>5925</v>
      </c>
      <c r="D2143" s="1458">
        <v>0</v>
      </c>
      <c r="E2143" s="1458">
        <v>0</v>
      </c>
      <c r="F2143" s="1459">
        <v>0</v>
      </c>
      <c r="G2143" s="1470" t="s">
        <v>5925</v>
      </c>
      <c r="H2143" s="1456">
        <v>0</v>
      </c>
      <c r="I2143" s="1456">
        <v>0</v>
      </c>
      <c r="J2143" s="1471">
        <v>0</v>
      </c>
      <c r="K2143" s="1460"/>
      <c r="L2143" s="1454">
        <v>13279970100</v>
      </c>
      <c r="M2143" s="1455">
        <v>0</v>
      </c>
      <c r="N2143" s="1455">
        <v>0</v>
      </c>
      <c r="O2143" s="1456">
        <v>0</v>
      </c>
      <c r="AA2143"/>
      <c r="AB2143"/>
    </row>
    <row r="2144" spans="3:28">
      <c r="C2144" s="1461" t="s">
        <v>5926</v>
      </c>
      <c r="D2144" s="1458">
        <v>0</v>
      </c>
      <c r="E2144" s="1458">
        <v>0</v>
      </c>
      <c r="F2144" s="1459">
        <v>0</v>
      </c>
      <c r="G2144" s="1470" t="s">
        <v>5926</v>
      </c>
      <c r="H2144" s="1456">
        <v>0</v>
      </c>
      <c r="I2144" s="1456">
        <v>0</v>
      </c>
      <c r="J2144" s="1471">
        <v>0</v>
      </c>
      <c r="K2144" s="1460"/>
      <c r="L2144" s="1454">
        <v>13279970200</v>
      </c>
      <c r="M2144" s="1455">
        <v>0</v>
      </c>
      <c r="N2144" s="1455">
        <v>0</v>
      </c>
      <c r="O2144" s="1456">
        <v>0</v>
      </c>
      <c r="AA2144"/>
      <c r="AB2144"/>
    </row>
    <row r="2145" spans="3:28">
      <c r="C2145" s="1461" t="s">
        <v>5927</v>
      </c>
      <c r="D2145" s="1458">
        <v>0</v>
      </c>
      <c r="E2145" s="1458">
        <v>0</v>
      </c>
      <c r="F2145" s="1459">
        <v>0</v>
      </c>
      <c r="G2145" s="1470" t="s">
        <v>5927</v>
      </c>
      <c r="H2145" s="1456">
        <v>0</v>
      </c>
      <c r="I2145" s="1456">
        <v>0</v>
      </c>
      <c r="J2145" s="1471">
        <v>0</v>
      </c>
      <c r="K2145" s="1460"/>
      <c r="L2145" s="1454">
        <v>13279970300</v>
      </c>
      <c r="M2145" s="1455">
        <v>0</v>
      </c>
      <c r="N2145" s="1455">
        <v>0</v>
      </c>
      <c r="O2145" s="1456">
        <v>0</v>
      </c>
      <c r="AA2145"/>
      <c r="AB2145"/>
    </row>
    <row r="2146" spans="3:28">
      <c r="C2146" s="1461" t="s">
        <v>5928</v>
      </c>
      <c r="D2146" s="1458">
        <v>0</v>
      </c>
      <c r="E2146" s="1458">
        <v>0</v>
      </c>
      <c r="F2146" s="1459">
        <v>0</v>
      </c>
      <c r="G2146" s="1470" t="s">
        <v>5928</v>
      </c>
      <c r="H2146" s="1456">
        <v>0</v>
      </c>
      <c r="I2146" s="1456">
        <v>0</v>
      </c>
      <c r="J2146" s="1471">
        <v>0</v>
      </c>
      <c r="K2146" s="1460"/>
      <c r="L2146" s="1454">
        <v>13279970400</v>
      </c>
      <c r="M2146" s="1455">
        <v>0</v>
      </c>
      <c r="N2146" s="1455">
        <v>0</v>
      </c>
      <c r="O2146" s="1456">
        <v>0</v>
      </c>
      <c r="AA2146"/>
      <c r="AB2146"/>
    </row>
    <row r="2147" spans="3:28">
      <c r="C2147" s="1461" t="s">
        <v>5929</v>
      </c>
      <c r="D2147" s="1458">
        <v>0</v>
      </c>
      <c r="E2147" s="1458">
        <v>0</v>
      </c>
      <c r="F2147" s="1459">
        <v>0</v>
      </c>
      <c r="G2147" s="1470" t="s">
        <v>5929</v>
      </c>
      <c r="H2147" s="1456">
        <v>0</v>
      </c>
      <c r="I2147" s="1456">
        <v>0</v>
      </c>
      <c r="J2147" s="1471">
        <v>0</v>
      </c>
      <c r="K2147" s="1460"/>
      <c r="L2147" s="1454">
        <v>13279970500</v>
      </c>
      <c r="M2147" s="1455">
        <v>0</v>
      </c>
      <c r="N2147" s="1455">
        <v>0</v>
      </c>
      <c r="O2147" s="1456">
        <v>0</v>
      </c>
      <c r="AA2147"/>
      <c r="AB2147"/>
    </row>
    <row r="2148" spans="3:28">
      <c r="C2148" s="1461" t="s">
        <v>5930</v>
      </c>
      <c r="D2148" s="1458">
        <v>0</v>
      </c>
      <c r="E2148" s="1458">
        <v>0</v>
      </c>
      <c r="F2148" s="1459">
        <v>0</v>
      </c>
      <c r="G2148" s="1470" t="s">
        <v>5930</v>
      </c>
      <c r="H2148" s="1456">
        <v>0</v>
      </c>
      <c r="I2148" s="1456">
        <v>0</v>
      </c>
      <c r="J2148" s="1471">
        <v>0</v>
      </c>
      <c r="K2148" s="1460"/>
      <c r="L2148" s="1454">
        <v>13279970600</v>
      </c>
      <c r="M2148" s="1455">
        <v>0</v>
      </c>
      <c r="N2148" s="1455">
        <v>0</v>
      </c>
      <c r="O2148" s="1456">
        <v>0</v>
      </c>
      <c r="AA2148"/>
      <c r="AB2148"/>
    </row>
    <row r="2149" spans="3:28">
      <c r="C2149" s="1461" t="s">
        <v>5931</v>
      </c>
      <c r="D2149" s="1458">
        <v>0</v>
      </c>
      <c r="E2149" s="1458">
        <v>0</v>
      </c>
      <c r="F2149" s="1459">
        <v>0</v>
      </c>
      <c r="G2149" s="1470" t="s">
        <v>5931</v>
      </c>
      <c r="H2149" s="1456">
        <v>0</v>
      </c>
      <c r="I2149" s="1456">
        <v>1</v>
      </c>
      <c r="J2149" s="1471">
        <v>1</v>
      </c>
      <c r="K2149" s="1460"/>
      <c r="L2149" s="1454">
        <v>13281960100</v>
      </c>
      <c r="M2149" s="1455">
        <v>0</v>
      </c>
      <c r="N2149" s="1455">
        <v>1</v>
      </c>
      <c r="O2149" s="1456">
        <v>1</v>
      </c>
      <c r="AA2149"/>
      <c r="AB2149"/>
    </row>
    <row r="2150" spans="3:28">
      <c r="C2150" s="1461" t="s">
        <v>5932</v>
      </c>
      <c r="D2150" s="1458">
        <v>1</v>
      </c>
      <c r="E2150" s="1458">
        <v>1</v>
      </c>
      <c r="F2150" s="1459">
        <v>2</v>
      </c>
      <c r="G2150" s="1470" t="s">
        <v>5932</v>
      </c>
      <c r="H2150" s="1456">
        <v>0</v>
      </c>
      <c r="I2150" s="1456">
        <v>1</v>
      </c>
      <c r="J2150" s="1471">
        <v>1</v>
      </c>
      <c r="K2150" s="1460"/>
      <c r="L2150" s="1454">
        <v>13281960200</v>
      </c>
      <c r="M2150" s="1455">
        <v>1</v>
      </c>
      <c r="N2150" s="1455">
        <v>1</v>
      </c>
      <c r="O2150" s="1456">
        <v>2</v>
      </c>
      <c r="AA2150"/>
      <c r="AB2150"/>
    </row>
    <row r="2151" spans="3:28">
      <c r="C2151" s="1461" t="s">
        <v>5933</v>
      </c>
      <c r="D2151" s="1458">
        <v>0</v>
      </c>
      <c r="E2151" s="1458">
        <v>0</v>
      </c>
      <c r="F2151" s="1459">
        <v>0</v>
      </c>
      <c r="G2151" s="1470" t="s">
        <v>5933</v>
      </c>
      <c r="H2151" s="1456">
        <v>0</v>
      </c>
      <c r="I2151" s="1456">
        <v>0</v>
      </c>
      <c r="J2151" s="1471">
        <v>0</v>
      </c>
      <c r="K2151" s="1460"/>
      <c r="L2151" s="1454">
        <v>13281960300</v>
      </c>
      <c r="M2151" s="1455">
        <v>0</v>
      </c>
      <c r="N2151" s="1455">
        <v>0</v>
      </c>
      <c r="O2151" s="1456">
        <v>0</v>
      </c>
      <c r="AA2151"/>
      <c r="AB2151"/>
    </row>
    <row r="2152" spans="3:28">
      <c r="C2152" s="1461" t="s">
        <v>5934</v>
      </c>
      <c r="D2152" s="1458">
        <v>0</v>
      </c>
      <c r="E2152" s="1458">
        <v>0</v>
      </c>
      <c r="F2152" s="1459">
        <v>0</v>
      </c>
      <c r="G2152" s="1470" t="s">
        <v>5934</v>
      </c>
      <c r="H2152" s="1456">
        <v>0</v>
      </c>
      <c r="I2152" s="1456">
        <v>0</v>
      </c>
      <c r="J2152" s="1471">
        <v>0</v>
      </c>
      <c r="K2152" s="1460"/>
      <c r="L2152" s="1454">
        <v>13283960100</v>
      </c>
      <c r="M2152" s="1455">
        <v>0</v>
      </c>
      <c r="N2152" s="1455">
        <v>0</v>
      </c>
      <c r="O2152" s="1456">
        <v>0</v>
      </c>
      <c r="AA2152"/>
      <c r="AB2152"/>
    </row>
    <row r="2153" spans="3:28">
      <c r="C2153" s="1461" t="s">
        <v>5935</v>
      </c>
      <c r="D2153" s="1458">
        <v>0</v>
      </c>
      <c r="E2153" s="1458">
        <v>0</v>
      </c>
      <c r="F2153" s="1459">
        <v>0</v>
      </c>
      <c r="G2153" s="1470" t="s">
        <v>5935</v>
      </c>
      <c r="H2153" s="1456">
        <v>0</v>
      </c>
      <c r="I2153" s="1456">
        <v>0</v>
      </c>
      <c r="J2153" s="1471">
        <v>0</v>
      </c>
      <c r="K2153" s="1460"/>
      <c r="L2153" s="1454">
        <v>13283960200</v>
      </c>
      <c r="M2153" s="1455">
        <v>0</v>
      </c>
      <c r="N2153" s="1455">
        <v>0</v>
      </c>
      <c r="O2153" s="1456">
        <v>0</v>
      </c>
      <c r="AA2153"/>
      <c r="AB2153"/>
    </row>
    <row r="2154" spans="3:28">
      <c r="C2154" s="1461" t="s">
        <v>5936</v>
      </c>
      <c r="D2154" s="1458">
        <v>0</v>
      </c>
      <c r="E2154" s="1458">
        <v>0</v>
      </c>
      <c r="F2154" s="1459">
        <v>0</v>
      </c>
      <c r="G2154" s="1470" t="s">
        <v>5936</v>
      </c>
      <c r="H2154" s="1456">
        <v>0</v>
      </c>
      <c r="I2154" s="1456">
        <v>0</v>
      </c>
      <c r="J2154" s="1471">
        <v>0</v>
      </c>
      <c r="K2154" s="1460"/>
      <c r="L2154" s="1454">
        <v>13285960100</v>
      </c>
      <c r="M2154" s="1455">
        <v>0</v>
      </c>
      <c r="N2154" s="1455">
        <v>0</v>
      </c>
      <c r="O2154" s="1456">
        <v>0</v>
      </c>
      <c r="AA2154"/>
      <c r="AB2154"/>
    </row>
    <row r="2155" spans="3:28">
      <c r="C2155" s="1461" t="s">
        <v>5937</v>
      </c>
      <c r="D2155" s="1458">
        <v>1</v>
      </c>
      <c r="E2155" s="1458">
        <v>1</v>
      </c>
      <c r="F2155" s="1459">
        <v>2</v>
      </c>
      <c r="G2155" s="1470" t="s">
        <v>5937</v>
      </c>
      <c r="H2155" s="1456">
        <v>1</v>
      </c>
      <c r="I2155" s="1456">
        <v>1</v>
      </c>
      <c r="J2155" s="1471">
        <v>2</v>
      </c>
      <c r="K2155" s="1460"/>
      <c r="L2155" s="1454">
        <v>13285960201</v>
      </c>
      <c r="M2155" s="1455">
        <v>1</v>
      </c>
      <c r="N2155" s="1455">
        <v>1</v>
      </c>
      <c r="O2155" s="1456">
        <v>2</v>
      </c>
      <c r="AA2155"/>
      <c r="AB2155"/>
    </row>
    <row r="2156" spans="3:28">
      <c r="C2156" s="1461" t="s">
        <v>5938</v>
      </c>
      <c r="D2156" s="1458">
        <v>1</v>
      </c>
      <c r="E2156" s="1458">
        <v>1</v>
      </c>
      <c r="F2156" s="1459">
        <v>2</v>
      </c>
      <c r="G2156" s="1470" t="s">
        <v>5938</v>
      </c>
      <c r="H2156" s="1456">
        <v>1</v>
      </c>
      <c r="I2156" s="1456">
        <v>1</v>
      </c>
      <c r="J2156" s="1471">
        <v>2</v>
      </c>
      <c r="K2156" s="1460"/>
      <c r="L2156" s="1454">
        <v>13285960202</v>
      </c>
      <c r="M2156" s="1455">
        <v>1</v>
      </c>
      <c r="N2156" s="1455">
        <v>1</v>
      </c>
      <c r="O2156" s="1456">
        <v>2</v>
      </c>
      <c r="AA2156"/>
      <c r="AB2156"/>
    </row>
    <row r="2157" spans="3:28">
      <c r="C2157" s="1461" t="s">
        <v>5939</v>
      </c>
      <c r="D2157" s="1458">
        <v>1</v>
      </c>
      <c r="E2157" s="1458">
        <v>1</v>
      </c>
      <c r="F2157" s="1459">
        <v>2</v>
      </c>
      <c r="G2157" s="1470" t="s">
        <v>5939</v>
      </c>
      <c r="H2157" s="1456">
        <v>1</v>
      </c>
      <c r="I2157" s="1456">
        <v>1</v>
      </c>
      <c r="J2157" s="1471">
        <v>2</v>
      </c>
      <c r="K2157" s="1460"/>
      <c r="L2157" s="1454">
        <v>13285960300</v>
      </c>
      <c r="M2157" s="1455">
        <v>1</v>
      </c>
      <c r="N2157" s="1455">
        <v>1</v>
      </c>
      <c r="O2157" s="1456">
        <v>2</v>
      </c>
      <c r="AA2157"/>
      <c r="AB2157"/>
    </row>
    <row r="2158" spans="3:28">
      <c r="C2158" s="1461" t="s">
        <v>5940</v>
      </c>
      <c r="D2158" s="1458">
        <v>0</v>
      </c>
      <c r="E2158" s="1458">
        <v>0</v>
      </c>
      <c r="F2158" s="1459">
        <v>0</v>
      </c>
      <c r="G2158" s="1470" t="s">
        <v>5940</v>
      </c>
      <c r="H2158" s="1456">
        <v>0</v>
      </c>
      <c r="I2158" s="1456">
        <v>0</v>
      </c>
      <c r="J2158" s="1471">
        <v>0</v>
      </c>
      <c r="K2158" s="1460"/>
      <c r="L2158" s="1454">
        <v>13285960400</v>
      </c>
      <c r="M2158" s="1455">
        <v>0</v>
      </c>
      <c r="N2158" s="1455">
        <v>0</v>
      </c>
      <c r="O2158" s="1456">
        <v>0</v>
      </c>
      <c r="AA2158"/>
      <c r="AB2158"/>
    </row>
    <row r="2159" spans="3:28">
      <c r="C2159" s="1461" t="s">
        <v>5941</v>
      </c>
      <c r="D2159" s="1458">
        <v>0</v>
      </c>
      <c r="E2159" s="1458">
        <v>0</v>
      </c>
      <c r="F2159" s="1459">
        <v>0</v>
      </c>
      <c r="G2159" s="1470" t="s">
        <v>5941</v>
      </c>
      <c r="H2159" s="1456">
        <v>0</v>
      </c>
      <c r="I2159" s="1456">
        <v>0</v>
      </c>
      <c r="J2159" s="1471">
        <v>0</v>
      </c>
      <c r="K2159" s="1460"/>
      <c r="L2159" s="1454">
        <v>13285960501</v>
      </c>
      <c r="M2159" s="1455">
        <v>0</v>
      </c>
      <c r="N2159" s="1455">
        <v>0</v>
      </c>
      <c r="O2159" s="1456">
        <v>0</v>
      </c>
      <c r="AA2159"/>
      <c r="AB2159"/>
    </row>
    <row r="2160" spans="3:28">
      <c r="C2160" s="1461" t="s">
        <v>5942</v>
      </c>
      <c r="D2160" s="1458">
        <v>0</v>
      </c>
      <c r="E2160" s="1458">
        <v>0</v>
      </c>
      <c r="F2160" s="1459">
        <v>0</v>
      </c>
      <c r="G2160" s="1470" t="s">
        <v>5942</v>
      </c>
      <c r="H2160" s="1456">
        <v>0</v>
      </c>
      <c r="I2160" s="1456">
        <v>1</v>
      </c>
      <c r="J2160" s="1471">
        <v>1</v>
      </c>
      <c r="K2160" s="1460"/>
      <c r="L2160" s="1454">
        <v>13285960502</v>
      </c>
      <c r="M2160" s="1455">
        <v>0</v>
      </c>
      <c r="N2160" s="1455">
        <v>1</v>
      </c>
      <c r="O2160" s="1456">
        <v>1</v>
      </c>
      <c r="AA2160"/>
      <c r="AB2160"/>
    </row>
    <row r="2161" spans="3:28">
      <c r="C2161" s="1461" t="s">
        <v>5943</v>
      </c>
      <c r="D2161" s="1458">
        <v>0</v>
      </c>
      <c r="E2161" s="1458">
        <v>0</v>
      </c>
      <c r="F2161" s="1459">
        <v>0</v>
      </c>
      <c r="G2161" s="1470" t="s">
        <v>5943</v>
      </c>
      <c r="H2161" s="1456">
        <v>0</v>
      </c>
      <c r="I2161" s="1456">
        <v>0</v>
      </c>
      <c r="J2161" s="1471">
        <v>0</v>
      </c>
      <c r="K2161" s="1460"/>
      <c r="L2161" s="1454">
        <v>13285960600</v>
      </c>
      <c r="M2161" s="1455">
        <v>0</v>
      </c>
      <c r="N2161" s="1455">
        <v>0</v>
      </c>
      <c r="O2161" s="1456">
        <v>0</v>
      </c>
      <c r="AA2161"/>
      <c r="AB2161"/>
    </row>
    <row r="2162" spans="3:28">
      <c r="C2162" s="1461" t="s">
        <v>5944</v>
      </c>
      <c r="D2162" s="1458">
        <v>0</v>
      </c>
      <c r="E2162" s="1458">
        <v>0</v>
      </c>
      <c r="F2162" s="1459">
        <v>0</v>
      </c>
      <c r="G2162" s="1470" t="s">
        <v>5944</v>
      </c>
      <c r="H2162" s="1456">
        <v>0</v>
      </c>
      <c r="I2162" s="1456">
        <v>1</v>
      </c>
      <c r="J2162" s="1471">
        <v>1</v>
      </c>
      <c r="K2162" s="1460"/>
      <c r="L2162" s="1454">
        <v>13285960700</v>
      </c>
      <c r="M2162" s="1455">
        <v>0</v>
      </c>
      <c r="N2162" s="1455">
        <v>1</v>
      </c>
      <c r="O2162" s="1456">
        <v>1</v>
      </c>
      <c r="AA2162"/>
      <c r="AB2162"/>
    </row>
    <row r="2163" spans="3:28">
      <c r="C2163" s="1461" t="s">
        <v>5945</v>
      </c>
      <c r="D2163" s="1458">
        <v>0</v>
      </c>
      <c r="E2163" s="1458">
        <v>0</v>
      </c>
      <c r="F2163" s="1459">
        <v>0</v>
      </c>
      <c r="G2163" s="1470" t="s">
        <v>5945</v>
      </c>
      <c r="H2163" s="1456">
        <v>0</v>
      </c>
      <c r="I2163" s="1456">
        <v>0</v>
      </c>
      <c r="J2163" s="1471">
        <v>0</v>
      </c>
      <c r="K2163" s="1460"/>
      <c r="L2163" s="1454">
        <v>13285960800</v>
      </c>
      <c r="M2163" s="1455">
        <v>0</v>
      </c>
      <c r="N2163" s="1455">
        <v>0</v>
      </c>
      <c r="O2163" s="1456">
        <v>0</v>
      </c>
      <c r="AA2163"/>
      <c r="AB2163"/>
    </row>
    <row r="2164" spans="3:28">
      <c r="C2164" s="1461" t="s">
        <v>5946</v>
      </c>
      <c r="D2164" s="1458">
        <v>0</v>
      </c>
      <c r="E2164" s="1458">
        <v>0</v>
      </c>
      <c r="F2164" s="1459">
        <v>0</v>
      </c>
      <c r="G2164" s="1470" t="s">
        <v>5946</v>
      </c>
      <c r="H2164" s="1456">
        <v>0</v>
      </c>
      <c r="I2164" s="1456">
        <v>0</v>
      </c>
      <c r="J2164" s="1471">
        <v>0</v>
      </c>
      <c r="K2164" s="1460"/>
      <c r="L2164" s="1454">
        <v>13285960901</v>
      </c>
      <c r="M2164" s="1455">
        <v>0</v>
      </c>
      <c r="N2164" s="1455">
        <v>0</v>
      </c>
      <c r="O2164" s="1456">
        <v>0</v>
      </c>
      <c r="AA2164"/>
      <c r="AB2164"/>
    </row>
    <row r="2165" spans="3:28">
      <c r="C2165" s="1461" t="s">
        <v>5947</v>
      </c>
      <c r="D2165" s="1458">
        <v>1</v>
      </c>
      <c r="E2165" s="1458">
        <v>1</v>
      </c>
      <c r="F2165" s="1459">
        <v>2</v>
      </c>
      <c r="G2165" s="1470" t="s">
        <v>5947</v>
      </c>
      <c r="H2165" s="1456">
        <v>0</v>
      </c>
      <c r="I2165" s="1456">
        <v>0</v>
      </c>
      <c r="J2165" s="1471">
        <v>0</v>
      </c>
      <c r="K2165" s="1460"/>
      <c r="L2165" s="1454">
        <v>13285960902</v>
      </c>
      <c r="M2165" s="1455">
        <v>1</v>
      </c>
      <c r="N2165" s="1455">
        <v>1</v>
      </c>
      <c r="O2165" s="1456">
        <v>2</v>
      </c>
      <c r="AA2165"/>
      <c r="AB2165"/>
    </row>
    <row r="2166" spans="3:28">
      <c r="C2166" s="1461" t="s">
        <v>5948</v>
      </c>
      <c r="D2166" s="1458">
        <v>0</v>
      </c>
      <c r="E2166" s="1458">
        <v>0</v>
      </c>
      <c r="F2166" s="1459">
        <v>0</v>
      </c>
      <c r="G2166" s="1470" t="s">
        <v>5948</v>
      </c>
      <c r="H2166" s="1456">
        <v>0</v>
      </c>
      <c r="I2166" s="1456">
        <v>0</v>
      </c>
      <c r="J2166" s="1471">
        <v>0</v>
      </c>
      <c r="K2166" s="1460"/>
      <c r="L2166" s="1454">
        <v>13285961000</v>
      </c>
      <c r="M2166" s="1455">
        <v>0</v>
      </c>
      <c r="N2166" s="1455">
        <v>0</v>
      </c>
      <c r="O2166" s="1456">
        <v>0</v>
      </c>
      <c r="AA2166"/>
      <c r="AB2166"/>
    </row>
    <row r="2167" spans="3:28">
      <c r="C2167" s="1461" t="s">
        <v>5949</v>
      </c>
      <c r="D2167" s="1458">
        <v>1</v>
      </c>
      <c r="E2167" s="1458">
        <v>0</v>
      </c>
      <c r="F2167" s="1459">
        <v>1</v>
      </c>
      <c r="G2167" s="1470" t="s">
        <v>5949</v>
      </c>
      <c r="H2167" s="1456">
        <v>0</v>
      </c>
      <c r="I2167" s="1456">
        <v>1</v>
      </c>
      <c r="J2167" s="1471">
        <v>1</v>
      </c>
      <c r="K2167" s="1460"/>
      <c r="L2167" s="1454">
        <v>13285961100</v>
      </c>
      <c r="M2167" s="1455">
        <v>1</v>
      </c>
      <c r="N2167" s="1455">
        <v>1</v>
      </c>
      <c r="O2167" s="1456">
        <v>1</v>
      </c>
      <c r="AA2167"/>
      <c r="AB2167"/>
    </row>
    <row r="2168" spans="3:28">
      <c r="C2168" s="1461" t="s">
        <v>5950</v>
      </c>
      <c r="D2168" s="1458">
        <v>0</v>
      </c>
      <c r="E2168" s="1458">
        <v>0</v>
      </c>
      <c r="F2168" s="1459">
        <v>0</v>
      </c>
      <c r="G2168" s="1470" t="s">
        <v>5950</v>
      </c>
      <c r="H2168" s="1456">
        <v>0</v>
      </c>
      <c r="I2168" s="1456">
        <v>0</v>
      </c>
      <c r="J2168" s="1471">
        <v>0</v>
      </c>
      <c r="K2168" s="1460"/>
      <c r="L2168" s="1454">
        <v>13287970200</v>
      </c>
      <c r="M2168" s="1455">
        <v>0</v>
      </c>
      <c r="N2168" s="1455">
        <v>0</v>
      </c>
      <c r="O2168" s="1456">
        <v>0</v>
      </c>
      <c r="AA2168"/>
      <c r="AB2168"/>
    </row>
    <row r="2169" spans="3:28">
      <c r="C2169" s="1461" t="s">
        <v>5951</v>
      </c>
      <c r="D2169" s="1458">
        <v>0</v>
      </c>
      <c r="E2169" s="1458">
        <v>1</v>
      </c>
      <c r="F2169" s="1459">
        <v>1</v>
      </c>
      <c r="G2169" s="1470" t="s">
        <v>5951</v>
      </c>
      <c r="H2169" s="1456">
        <v>0</v>
      </c>
      <c r="I2169" s="1456">
        <v>0</v>
      </c>
      <c r="J2169" s="1471">
        <v>0</v>
      </c>
      <c r="K2169" s="1460"/>
      <c r="L2169" s="1454">
        <v>13287970300</v>
      </c>
      <c r="M2169" s="1455">
        <v>0</v>
      </c>
      <c r="N2169" s="1455">
        <v>1</v>
      </c>
      <c r="O2169" s="1456">
        <v>1</v>
      </c>
      <c r="AA2169"/>
      <c r="AB2169"/>
    </row>
    <row r="2170" spans="3:28">
      <c r="C2170" s="1461" t="s">
        <v>5952</v>
      </c>
      <c r="D2170" s="1458">
        <v>0</v>
      </c>
      <c r="E2170" s="1458">
        <v>0</v>
      </c>
      <c r="F2170" s="1459">
        <v>0</v>
      </c>
      <c r="G2170" s="1470" t="s">
        <v>5952</v>
      </c>
      <c r="H2170" s="1456">
        <v>0</v>
      </c>
      <c r="I2170" s="1456">
        <v>0</v>
      </c>
      <c r="J2170" s="1471">
        <v>0</v>
      </c>
      <c r="K2170" s="1460"/>
      <c r="L2170" s="1454">
        <v>13289060100</v>
      </c>
      <c r="M2170" s="1455">
        <v>0</v>
      </c>
      <c r="N2170" s="1455">
        <v>0</v>
      </c>
      <c r="O2170" s="1456">
        <v>0</v>
      </c>
      <c r="AA2170"/>
      <c r="AB2170"/>
    </row>
    <row r="2171" spans="3:28">
      <c r="C2171" s="1461" t="s">
        <v>5953</v>
      </c>
      <c r="D2171" s="1458">
        <v>0</v>
      </c>
      <c r="E2171" s="1458">
        <v>0</v>
      </c>
      <c r="F2171" s="1459">
        <v>0</v>
      </c>
      <c r="G2171" s="1470" t="s">
        <v>5953</v>
      </c>
      <c r="H2171" s="1456">
        <v>0</v>
      </c>
      <c r="I2171" s="1456">
        <v>0</v>
      </c>
      <c r="J2171" s="1471">
        <v>0</v>
      </c>
      <c r="K2171" s="1460"/>
      <c r="L2171" s="1454">
        <v>13289060200</v>
      </c>
      <c r="M2171" s="1455">
        <v>0</v>
      </c>
      <c r="N2171" s="1455">
        <v>0</v>
      </c>
      <c r="O2171" s="1456">
        <v>0</v>
      </c>
      <c r="AA2171"/>
      <c r="AB2171"/>
    </row>
    <row r="2172" spans="3:28">
      <c r="C2172" s="1461" t="s">
        <v>5954</v>
      </c>
      <c r="D2172" s="1458">
        <v>0</v>
      </c>
      <c r="E2172" s="1458">
        <v>0</v>
      </c>
      <c r="F2172" s="1459">
        <v>0</v>
      </c>
      <c r="G2172" s="1470" t="s">
        <v>5954</v>
      </c>
      <c r="H2172" s="1456">
        <v>0</v>
      </c>
      <c r="I2172" s="1456">
        <v>0</v>
      </c>
      <c r="J2172" s="1471">
        <v>0</v>
      </c>
      <c r="K2172" s="1460"/>
      <c r="L2172" s="1454">
        <v>13291000101</v>
      </c>
      <c r="M2172" s="1455">
        <v>0</v>
      </c>
      <c r="N2172" s="1455">
        <v>0</v>
      </c>
      <c r="O2172" s="1456">
        <v>0</v>
      </c>
      <c r="AA2172"/>
      <c r="AB2172"/>
    </row>
    <row r="2173" spans="3:28">
      <c r="C2173" s="1461" t="s">
        <v>5955</v>
      </c>
      <c r="D2173" s="1458">
        <v>0</v>
      </c>
      <c r="E2173" s="1458">
        <v>1</v>
      </c>
      <c r="F2173" s="1459">
        <v>1</v>
      </c>
      <c r="G2173" s="1470" t="s">
        <v>5955</v>
      </c>
      <c r="H2173" s="1456">
        <v>0</v>
      </c>
      <c r="I2173" s="1456" t="s">
        <v>3906</v>
      </c>
      <c r="J2173" s="1471">
        <v>0</v>
      </c>
      <c r="K2173" s="1460"/>
      <c r="L2173" s="1454">
        <v>13291000102</v>
      </c>
      <c r="M2173" s="1455">
        <v>0</v>
      </c>
      <c r="N2173" s="1455">
        <v>1</v>
      </c>
      <c r="O2173" s="1456">
        <v>1</v>
      </c>
      <c r="AA2173"/>
      <c r="AB2173"/>
    </row>
    <row r="2174" spans="3:28">
      <c r="C2174" s="1461" t="s">
        <v>5956</v>
      </c>
      <c r="D2174" s="1458">
        <v>1</v>
      </c>
      <c r="E2174" s="1458">
        <v>1</v>
      </c>
      <c r="F2174" s="1459">
        <v>2</v>
      </c>
      <c r="G2174" s="1470" t="s">
        <v>5956</v>
      </c>
      <c r="H2174" s="1456">
        <v>0</v>
      </c>
      <c r="I2174" s="1456">
        <v>1</v>
      </c>
      <c r="J2174" s="1471">
        <v>1</v>
      </c>
      <c r="K2174" s="1460"/>
      <c r="L2174" s="1454">
        <v>13291000201</v>
      </c>
      <c r="M2174" s="1455">
        <v>1</v>
      </c>
      <c r="N2174" s="1455">
        <v>1</v>
      </c>
      <c r="O2174" s="1456">
        <v>2</v>
      </c>
      <c r="AA2174"/>
      <c r="AB2174"/>
    </row>
    <row r="2175" spans="3:28">
      <c r="C2175" s="1461" t="s">
        <v>5957</v>
      </c>
      <c r="D2175" s="1458">
        <v>0</v>
      </c>
      <c r="E2175" s="1458">
        <v>1</v>
      </c>
      <c r="F2175" s="1459">
        <v>1</v>
      </c>
      <c r="G2175" s="1470" t="s">
        <v>5957</v>
      </c>
      <c r="H2175" s="1456">
        <v>0</v>
      </c>
      <c r="I2175" s="1456" t="s">
        <v>3906</v>
      </c>
      <c r="J2175" s="1471">
        <v>0</v>
      </c>
      <c r="K2175" s="1460"/>
      <c r="L2175" s="1454">
        <v>13291000203</v>
      </c>
      <c r="M2175" s="1455">
        <v>0</v>
      </c>
      <c r="N2175" s="1455">
        <v>1</v>
      </c>
      <c r="O2175" s="1456">
        <v>1</v>
      </c>
      <c r="AA2175"/>
      <c r="AB2175"/>
    </row>
    <row r="2176" spans="3:28">
      <c r="C2176" s="1461" t="s">
        <v>5958</v>
      </c>
      <c r="D2176" s="1458">
        <v>0</v>
      </c>
      <c r="E2176" s="1458">
        <v>0</v>
      </c>
      <c r="F2176" s="1459">
        <v>0</v>
      </c>
      <c r="G2176" s="1470" t="s">
        <v>5958</v>
      </c>
      <c r="H2176" s="1456">
        <v>1</v>
      </c>
      <c r="I2176" s="1456">
        <v>0</v>
      </c>
      <c r="J2176" s="1471">
        <v>1</v>
      </c>
      <c r="K2176" s="1460"/>
      <c r="L2176" s="1454">
        <v>13291000204</v>
      </c>
      <c r="M2176" s="1455">
        <v>1</v>
      </c>
      <c r="N2176" s="1455">
        <v>0</v>
      </c>
      <c r="O2176" s="1456">
        <v>1</v>
      </c>
      <c r="AA2176"/>
      <c r="AB2176"/>
    </row>
    <row r="2177" spans="3:28">
      <c r="C2177" s="1461" t="s">
        <v>5959</v>
      </c>
      <c r="D2177" s="1458">
        <v>0</v>
      </c>
      <c r="E2177" s="1458">
        <v>0</v>
      </c>
      <c r="F2177" s="1459">
        <v>0</v>
      </c>
      <c r="G2177" s="1470" t="s">
        <v>5959</v>
      </c>
      <c r="H2177" s="1456">
        <v>1</v>
      </c>
      <c r="I2177" s="1456">
        <v>0</v>
      </c>
      <c r="J2177" s="1471">
        <v>1</v>
      </c>
      <c r="K2177" s="1460"/>
      <c r="L2177" s="1454">
        <v>13291000205</v>
      </c>
      <c r="M2177" s="1455">
        <v>1</v>
      </c>
      <c r="N2177" s="1455">
        <v>0</v>
      </c>
      <c r="O2177" s="1456">
        <v>1</v>
      </c>
      <c r="AA2177"/>
      <c r="AB2177"/>
    </row>
    <row r="2178" spans="3:28">
      <c r="C2178" s="1461" t="s">
        <v>5960</v>
      </c>
      <c r="D2178" s="1458">
        <v>0</v>
      </c>
      <c r="E2178" s="1458">
        <v>0</v>
      </c>
      <c r="F2178" s="1459">
        <v>0</v>
      </c>
      <c r="G2178" s="1470" t="s">
        <v>5960</v>
      </c>
      <c r="H2178" s="1456">
        <v>0</v>
      </c>
      <c r="I2178" s="1456">
        <v>0</v>
      </c>
      <c r="J2178" s="1471">
        <v>0</v>
      </c>
      <c r="K2178" s="1460"/>
      <c r="L2178" s="1454">
        <v>13293010100</v>
      </c>
      <c r="M2178" s="1455">
        <v>0</v>
      </c>
      <c r="N2178" s="1455">
        <v>0</v>
      </c>
      <c r="O2178" s="1456">
        <v>0</v>
      </c>
      <c r="AA2178"/>
      <c r="AB2178"/>
    </row>
    <row r="2179" spans="3:28">
      <c r="C2179" s="1461" t="s">
        <v>5961</v>
      </c>
      <c r="D2179" s="1458">
        <v>0</v>
      </c>
      <c r="E2179" s="1458">
        <v>0</v>
      </c>
      <c r="F2179" s="1459">
        <v>0</v>
      </c>
      <c r="G2179" s="1470" t="s">
        <v>5961</v>
      </c>
      <c r="H2179" s="1456">
        <v>0</v>
      </c>
      <c r="I2179" s="1456">
        <v>0</v>
      </c>
      <c r="J2179" s="1471">
        <v>0</v>
      </c>
      <c r="K2179" s="1460"/>
      <c r="L2179" s="1454">
        <v>13293010201</v>
      </c>
      <c r="M2179" s="1455">
        <v>0</v>
      </c>
      <c r="N2179" s="1455">
        <v>0</v>
      </c>
      <c r="O2179" s="1456">
        <v>0</v>
      </c>
      <c r="AA2179"/>
      <c r="AB2179"/>
    </row>
    <row r="2180" spans="3:28">
      <c r="C2180" s="1461" t="s">
        <v>5962</v>
      </c>
      <c r="D2180" s="1458">
        <v>0</v>
      </c>
      <c r="E2180" s="1458">
        <v>0</v>
      </c>
      <c r="F2180" s="1459">
        <v>0</v>
      </c>
      <c r="G2180" s="1470" t="s">
        <v>5962</v>
      </c>
      <c r="H2180" s="1456">
        <v>0</v>
      </c>
      <c r="I2180" s="1456">
        <v>1</v>
      </c>
      <c r="J2180" s="1471">
        <v>1</v>
      </c>
      <c r="K2180" s="1460"/>
      <c r="L2180" s="1454">
        <v>13293010202</v>
      </c>
      <c r="M2180" s="1455">
        <v>0</v>
      </c>
      <c r="N2180" s="1455">
        <v>1</v>
      </c>
      <c r="O2180" s="1456">
        <v>1</v>
      </c>
      <c r="AA2180"/>
      <c r="AB2180"/>
    </row>
    <row r="2181" spans="3:28">
      <c r="C2181" s="1461" t="s">
        <v>5963</v>
      </c>
      <c r="D2181" s="1458">
        <v>0</v>
      </c>
      <c r="E2181" s="1458">
        <v>1</v>
      </c>
      <c r="F2181" s="1459">
        <v>1</v>
      </c>
      <c r="G2181" s="1470" t="s">
        <v>5963</v>
      </c>
      <c r="H2181" s="1456">
        <v>0</v>
      </c>
      <c r="I2181" s="1456">
        <v>0</v>
      </c>
      <c r="J2181" s="1471">
        <v>0</v>
      </c>
      <c r="K2181" s="1460"/>
      <c r="L2181" s="1454">
        <v>13293010300</v>
      </c>
      <c r="M2181" s="1455">
        <v>0</v>
      </c>
      <c r="N2181" s="1455">
        <v>1</v>
      </c>
      <c r="O2181" s="1456">
        <v>1</v>
      </c>
      <c r="AA2181"/>
      <c r="AB2181"/>
    </row>
    <row r="2182" spans="3:28">
      <c r="C2182" s="1461" t="s">
        <v>5964</v>
      </c>
      <c r="D2182" s="1458">
        <v>0</v>
      </c>
      <c r="E2182" s="1458">
        <v>0</v>
      </c>
      <c r="F2182" s="1459">
        <v>0</v>
      </c>
      <c r="G2182" s="1470" t="s">
        <v>5964</v>
      </c>
      <c r="H2182" s="1456">
        <v>0</v>
      </c>
      <c r="I2182" s="1456">
        <v>0</v>
      </c>
      <c r="J2182" s="1471">
        <v>0</v>
      </c>
      <c r="K2182" s="1460"/>
      <c r="L2182" s="1454">
        <v>13293010400</v>
      </c>
      <c r="M2182" s="1455">
        <v>0</v>
      </c>
      <c r="N2182" s="1455">
        <v>0</v>
      </c>
      <c r="O2182" s="1456">
        <v>0</v>
      </c>
      <c r="AA2182"/>
      <c r="AB2182"/>
    </row>
    <row r="2183" spans="3:28">
      <c r="C2183" s="1461" t="s">
        <v>5965</v>
      </c>
      <c r="D2183" s="1458">
        <v>0</v>
      </c>
      <c r="E2183" s="1458">
        <v>0</v>
      </c>
      <c r="F2183" s="1459">
        <v>0</v>
      </c>
      <c r="G2183" s="1470" t="s">
        <v>5965</v>
      </c>
      <c r="H2183" s="1456">
        <v>0</v>
      </c>
      <c r="I2183" s="1456">
        <v>0</v>
      </c>
      <c r="J2183" s="1471">
        <v>0</v>
      </c>
      <c r="K2183" s="1460"/>
      <c r="L2183" s="1454">
        <v>13293010500</v>
      </c>
      <c r="M2183" s="1455">
        <v>0</v>
      </c>
      <c r="N2183" s="1455">
        <v>0</v>
      </c>
      <c r="O2183" s="1456">
        <v>0</v>
      </c>
      <c r="AA2183"/>
      <c r="AB2183"/>
    </row>
    <row r="2184" spans="3:28">
      <c r="C2184" s="1461" t="s">
        <v>5966</v>
      </c>
      <c r="D2184" s="1458">
        <v>0</v>
      </c>
      <c r="E2184" s="1458">
        <v>0</v>
      </c>
      <c r="F2184" s="1459">
        <v>0</v>
      </c>
      <c r="G2184" s="1470" t="s">
        <v>5966</v>
      </c>
      <c r="H2184" s="1456">
        <v>0</v>
      </c>
      <c r="I2184" s="1456">
        <v>0</v>
      </c>
      <c r="J2184" s="1471">
        <v>0</v>
      </c>
      <c r="K2184" s="1460"/>
      <c r="L2184" s="1454">
        <v>13293010600</v>
      </c>
      <c r="M2184" s="1455">
        <v>0</v>
      </c>
      <c r="N2184" s="1455">
        <v>0</v>
      </c>
      <c r="O2184" s="1456">
        <v>0</v>
      </c>
      <c r="AA2184"/>
      <c r="AB2184"/>
    </row>
    <row r="2185" spans="3:28">
      <c r="C2185" s="1461" t="s">
        <v>5967</v>
      </c>
      <c r="D2185" s="1458">
        <v>0</v>
      </c>
      <c r="E2185" s="1458">
        <v>0</v>
      </c>
      <c r="F2185" s="1459">
        <v>0</v>
      </c>
      <c r="G2185" s="1470" t="s">
        <v>5967</v>
      </c>
      <c r="H2185" s="1456">
        <v>0</v>
      </c>
      <c r="I2185" s="1456">
        <v>0</v>
      </c>
      <c r="J2185" s="1471">
        <v>0</v>
      </c>
      <c r="K2185" s="1460"/>
      <c r="L2185" s="1454">
        <v>13295020100</v>
      </c>
      <c r="M2185" s="1455">
        <v>0</v>
      </c>
      <c r="N2185" s="1455">
        <v>0</v>
      </c>
      <c r="O2185" s="1456">
        <v>0</v>
      </c>
      <c r="AA2185"/>
      <c r="AB2185"/>
    </row>
    <row r="2186" spans="3:28">
      <c r="C2186" s="1461" t="s">
        <v>5968</v>
      </c>
      <c r="D2186" s="1458">
        <v>0</v>
      </c>
      <c r="E2186" s="1458">
        <v>0</v>
      </c>
      <c r="F2186" s="1459">
        <v>0</v>
      </c>
      <c r="G2186" s="1470" t="s">
        <v>5968</v>
      </c>
      <c r="H2186" s="1456">
        <v>0</v>
      </c>
      <c r="I2186" s="1456">
        <v>0</v>
      </c>
      <c r="J2186" s="1471">
        <v>0</v>
      </c>
      <c r="K2186" s="1460"/>
      <c r="L2186" s="1454">
        <v>13295020200</v>
      </c>
      <c r="M2186" s="1455">
        <v>0</v>
      </c>
      <c r="N2186" s="1455">
        <v>0</v>
      </c>
      <c r="O2186" s="1456">
        <v>0</v>
      </c>
      <c r="AA2186"/>
      <c r="AB2186"/>
    </row>
    <row r="2187" spans="3:28">
      <c r="C2187" s="1461" t="s">
        <v>5969</v>
      </c>
      <c r="D2187" s="1458">
        <v>0</v>
      </c>
      <c r="E2187" s="1458">
        <v>0</v>
      </c>
      <c r="F2187" s="1459">
        <v>0</v>
      </c>
      <c r="G2187" s="1470" t="s">
        <v>5969</v>
      </c>
      <c r="H2187" s="1456">
        <v>0</v>
      </c>
      <c r="I2187" s="1456">
        <v>0</v>
      </c>
      <c r="J2187" s="1471">
        <v>0</v>
      </c>
      <c r="K2187" s="1460"/>
      <c r="L2187" s="1454">
        <v>13295020301</v>
      </c>
      <c r="M2187" s="1455">
        <v>0</v>
      </c>
      <c r="N2187" s="1455">
        <v>0</v>
      </c>
      <c r="O2187" s="1456">
        <v>0</v>
      </c>
      <c r="AA2187"/>
      <c r="AB2187"/>
    </row>
    <row r="2188" spans="3:28">
      <c r="C2188" s="1461" t="s">
        <v>5970</v>
      </c>
      <c r="D2188" s="1458">
        <v>0</v>
      </c>
      <c r="E2188" s="1458">
        <v>0</v>
      </c>
      <c r="F2188" s="1459">
        <v>0</v>
      </c>
      <c r="G2188" s="1470" t="s">
        <v>5970</v>
      </c>
      <c r="H2188" s="1456">
        <v>0</v>
      </c>
      <c r="I2188" s="1456">
        <v>0</v>
      </c>
      <c r="J2188" s="1471">
        <v>0</v>
      </c>
      <c r="K2188" s="1460"/>
      <c r="L2188" s="1454">
        <v>13295020302</v>
      </c>
      <c r="M2188" s="1455">
        <v>0</v>
      </c>
      <c r="N2188" s="1455">
        <v>0</v>
      </c>
      <c r="O2188" s="1456">
        <v>0</v>
      </c>
      <c r="AA2188"/>
      <c r="AB2188"/>
    </row>
    <row r="2189" spans="3:28">
      <c r="C2189" s="1461" t="s">
        <v>5971</v>
      </c>
      <c r="D2189" s="1458">
        <v>1</v>
      </c>
      <c r="E2189" s="1458">
        <v>1</v>
      </c>
      <c r="F2189" s="1459">
        <v>2</v>
      </c>
      <c r="G2189" s="1470" t="s">
        <v>5971</v>
      </c>
      <c r="H2189" s="1456">
        <v>1</v>
      </c>
      <c r="I2189" s="1456">
        <v>1</v>
      </c>
      <c r="J2189" s="1471">
        <v>2</v>
      </c>
      <c r="K2189" s="1460"/>
      <c r="L2189" s="1454">
        <v>13295020400</v>
      </c>
      <c r="M2189" s="1455">
        <v>1</v>
      </c>
      <c r="N2189" s="1455">
        <v>1</v>
      </c>
      <c r="O2189" s="1456">
        <v>2</v>
      </c>
      <c r="AA2189"/>
      <c r="AB2189"/>
    </row>
    <row r="2190" spans="3:28">
      <c r="C2190" s="1461" t="s">
        <v>5972</v>
      </c>
      <c r="D2190" s="1458">
        <v>1</v>
      </c>
      <c r="E2190" s="1458">
        <v>0</v>
      </c>
      <c r="F2190" s="1459">
        <v>1</v>
      </c>
      <c r="G2190" s="1470" t="s">
        <v>5972</v>
      </c>
      <c r="H2190" s="1456">
        <v>0</v>
      </c>
      <c r="I2190" s="1456">
        <v>0</v>
      </c>
      <c r="J2190" s="1471">
        <v>0</v>
      </c>
      <c r="K2190" s="1460"/>
      <c r="L2190" s="1454">
        <v>13295020501</v>
      </c>
      <c r="M2190" s="1455">
        <v>1</v>
      </c>
      <c r="N2190" s="1455">
        <v>0</v>
      </c>
      <c r="O2190" s="1456">
        <v>1</v>
      </c>
      <c r="AA2190"/>
      <c r="AB2190"/>
    </row>
    <row r="2191" spans="3:28">
      <c r="C2191" s="1461" t="s">
        <v>5973</v>
      </c>
      <c r="D2191" s="1458">
        <v>0</v>
      </c>
      <c r="E2191" s="1458">
        <v>1</v>
      </c>
      <c r="F2191" s="1459">
        <v>1</v>
      </c>
      <c r="G2191" s="1470" t="s">
        <v>5973</v>
      </c>
      <c r="H2191" s="1456">
        <v>1</v>
      </c>
      <c r="I2191" s="1456">
        <v>1</v>
      </c>
      <c r="J2191" s="1471">
        <v>2</v>
      </c>
      <c r="K2191" s="1460"/>
      <c r="L2191" s="1454">
        <v>13295020502</v>
      </c>
      <c r="M2191" s="1455">
        <v>1</v>
      </c>
      <c r="N2191" s="1455">
        <v>1</v>
      </c>
      <c r="O2191" s="1456">
        <v>2</v>
      </c>
      <c r="AA2191"/>
      <c r="AB2191"/>
    </row>
    <row r="2192" spans="3:28">
      <c r="C2192" s="1461" t="s">
        <v>5974</v>
      </c>
      <c r="D2192" s="1458">
        <v>0</v>
      </c>
      <c r="E2192" s="1458">
        <v>1</v>
      </c>
      <c r="F2192" s="1459">
        <v>1</v>
      </c>
      <c r="G2192" s="1470" t="s">
        <v>5974</v>
      </c>
      <c r="H2192" s="1456">
        <v>0</v>
      </c>
      <c r="I2192" s="1456">
        <v>1</v>
      </c>
      <c r="J2192" s="1471">
        <v>1</v>
      </c>
      <c r="K2192" s="1460"/>
      <c r="L2192" s="1454">
        <v>13295020601</v>
      </c>
      <c r="M2192" s="1455">
        <v>0</v>
      </c>
      <c r="N2192" s="1455">
        <v>1</v>
      </c>
      <c r="O2192" s="1456">
        <v>1</v>
      </c>
      <c r="AA2192"/>
      <c r="AB2192"/>
    </row>
    <row r="2193" spans="3:28">
      <c r="C2193" s="1461" t="s">
        <v>5975</v>
      </c>
      <c r="D2193" s="1458">
        <v>0</v>
      </c>
      <c r="E2193" s="1458">
        <v>0</v>
      </c>
      <c r="F2193" s="1459">
        <v>0</v>
      </c>
      <c r="G2193" s="1470" t="s">
        <v>5975</v>
      </c>
      <c r="H2193" s="1456">
        <v>0</v>
      </c>
      <c r="I2193" s="1456">
        <v>0</v>
      </c>
      <c r="J2193" s="1471">
        <v>0</v>
      </c>
      <c r="K2193" s="1460"/>
      <c r="L2193" s="1454">
        <v>13295020602</v>
      </c>
      <c r="M2193" s="1455">
        <v>0</v>
      </c>
      <c r="N2193" s="1455">
        <v>0</v>
      </c>
      <c r="O2193" s="1456">
        <v>0</v>
      </c>
      <c r="AA2193"/>
      <c r="AB2193"/>
    </row>
    <row r="2194" spans="3:28">
      <c r="C2194" s="1461" t="s">
        <v>5976</v>
      </c>
      <c r="D2194" s="1458">
        <v>0</v>
      </c>
      <c r="E2194" s="1458">
        <v>0</v>
      </c>
      <c r="F2194" s="1459">
        <v>0</v>
      </c>
      <c r="G2194" s="1470" t="s">
        <v>5976</v>
      </c>
      <c r="H2194" s="1456">
        <v>0</v>
      </c>
      <c r="I2194" s="1456">
        <v>0</v>
      </c>
      <c r="J2194" s="1471">
        <v>0</v>
      </c>
      <c r="K2194" s="1460"/>
      <c r="L2194" s="1454">
        <v>13295020700</v>
      </c>
      <c r="M2194" s="1455">
        <v>0</v>
      </c>
      <c r="N2194" s="1455">
        <v>0</v>
      </c>
      <c r="O2194" s="1456">
        <v>0</v>
      </c>
      <c r="AA2194"/>
      <c r="AB2194"/>
    </row>
    <row r="2195" spans="3:28">
      <c r="C2195" s="1461" t="s">
        <v>5977</v>
      </c>
      <c r="D2195" s="1458">
        <v>0</v>
      </c>
      <c r="E2195" s="1458">
        <v>0</v>
      </c>
      <c r="F2195" s="1459">
        <v>0</v>
      </c>
      <c r="G2195" s="1470" t="s">
        <v>5977</v>
      </c>
      <c r="H2195" s="1456">
        <v>0</v>
      </c>
      <c r="I2195" s="1456">
        <v>0</v>
      </c>
      <c r="J2195" s="1471">
        <v>0</v>
      </c>
      <c r="K2195" s="1460"/>
      <c r="L2195" s="1454">
        <v>13295020800</v>
      </c>
      <c r="M2195" s="1455">
        <v>0</v>
      </c>
      <c r="N2195" s="1455">
        <v>0</v>
      </c>
      <c r="O2195" s="1456">
        <v>0</v>
      </c>
      <c r="AA2195"/>
      <c r="AB2195"/>
    </row>
    <row r="2196" spans="3:28">
      <c r="C2196" s="1461" t="s">
        <v>5978</v>
      </c>
      <c r="D2196" s="1458">
        <v>0</v>
      </c>
      <c r="E2196" s="1458">
        <v>0</v>
      </c>
      <c r="F2196" s="1459">
        <v>0</v>
      </c>
      <c r="G2196" s="1470" t="s">
        <v>5978</v>
      </c>
      <c r="H2196" s="1456">
        <v>1</v>
      </c>
      <c r="I2196" s="1456">
        <v>1</v>
      </c>
      <c r="J2196" s="1471">
        <v>2</v>
      </c>
      <c r="K2196" s="1460"/>
      <c r="L2196" s="1454">
        <v>13295020901</v>
      </c>
      <c r="M2196" s="1455">
        <v>1</v>
      </c>
      <c r="N2196" s="1455">
        <v>1</v>
      </c>
      <c r="O2196" s="1456">
        <v>2</v>
      </c>
      <c r="AA2196"/>
      <c r="AB2196"/>
    </row>
    <row r="2197" spans="3:28">
      <c r="C2197" s="1461" t="s">
        <v>5979</v>
      </c>
      <c r="D2197" s="1458">
        <v>0</v>
      </c>
      <c r="E2197" s="1458">
        <v>0</v>
      </c>
      <c r="F2197" s="1459">
        <v>0</v>
      </c>
      <c r="G2197" s="1470" t="s">
        <v>5979</v>
      </c>
      <c r="H2197" s="1456">
        <v>0</v>
      </c>
      <c r="I2197" s="1456">
        <v>1</v>
      </c>
      <c r="J2197" s="1471">
        <v>1</v>
      </c>
      <c r="K2197" s="1460"/>
      <c r="L2197" s="1454">
        <v>13295020902</v>
      </c>
      <c r="M2197" s="1455">
        <v>0</v>
      </c>
      <c r="N2197" s="1455">
        <v>1</v>
      </c>
      <c r="O2197" s="1456">
        <v>1</v>
      </c>
      <c r="AA2197"/>
      <c r="AB2197"/>
    </row>
    <row r="2198" spans="3:28">
      <c r="C2198" s="1461" t="s">
        <v>5980</v>
      </c>
      <c r="D2198" s="1458">
        <v>1</v>
      </c>
      <c r="E2198" s="1458">
        <v>1</v>
      </c>
      <c r="F2198" s="1459">
        <v>2</v>
      </c>
      <c r="G2198" s="1470" t="s">
        <v>5980</v>
      </c>
      <c r="H2198" s="1456">
        <v>1</v>
      </c>
      <c r="I2198" s="1456">
        <v>1</v>
      </c>
      <c r="J2198" s="1471">
        <v>2</v>
      </c>
      <c r="K2198" s="1460"/>
      <c r="L2198" s="1454">
        <v>13297110100</v>
      </c>
      <c r="M2198" s="1455">
        <v>1</v>
      </c>
      <c r="N2198" s="1455">
        <v>1</v>
      </c>
      <c r="O2198" s="1456">
        <v>2</v>
      </c>
      <c r="AA2198"/>
      <c r="AB2198"/>
    </row>
    <row r="2199" spans="3:28">
      <c r="C2199" s="1461" t="s">
        <v>5981</v>
      </c>
      <c r="D2199" s="1458">
        <v>1</v>
      </c>
      <c r="E2199" s="1458">
        <v>1</v>
      </c>
      <c r="F2199" s="1459">
        <v>2</v>
      </c>
      <c r="G2199" s="1470" t="s">
        <v>5981</v>
      </c>
      <c r="H2199" s="1456">
        <v>1</v>
      </c>
      <c r="I2199" s="1456">
        <v>0</v>
      </c>
      <c r="J2199" s="1471">
        <v>1</v>
      </c>
      <c r="K2199" s="1460"/>
      <c r="L2199" s="1454">
        <v>13297110200</v>
      </c>
      <c r="M2199" s="1455">
        <v>1</v>
      </c>
      <c r="N2199" s="1455">
        <v>1</v>
      </c>
      <c r="O2199" s="1456">
        <v>2</v>
      </c>
      <c r="AA2199"/>
      <c r="AB2199"/>
    </row>
    <row r="2200" spans="3:28">
      <c r="C2200" s="1461" t="s">
        <v>5982</v>
      </c>
      <c r="D2200" s="1458">
        <v>0</v>
      </c>
      <c r="E2200" s="1458">
        <v>0</v>
      </c>
      <c r="F2200" s="1459">
        <v>0</v>
      </c>
      <c r="G2200" s="1470" t="s">
        <v>5982</v>
      </c>
      <c r="H2200" s="1456">
        <v>0</v>
      </c>
      <c r="I2200" s="1456">
        <v>0</v>
      </c>
      <c r="J2200" s="1471">
        <v>0</v>
      </c>
      <c r="K2200" s="1460"/>
      <c r="L2200" s="1454">
        <v>13297110300</v>
      </c>
      <c r="M2200" s="1455">
        <v>0</v>
      </c>
      <c r="N2200" s="1455">
        <v>0</v>
      </c>
      <c r="O2200" s="1456">
        <v>0</v>
      </c>
      <c r="AA2200"/>
      <c r="AB2200"/>
    </row>
    <row r="2201" spans="3:28">
      <c r="C2201" s="1461" t="s">
        <v>5983</v>
      </c>
      <c r="D2201" s="1458">
        <v>0</v>
      </c>
      <c r="E2201" s="1458">
        <v>0</v>
      </c>
      <c r="F2201" s="1459">
        <v>0</v>
      </c>
      <c r="G2201" s="1470" t="s">
        <v>5983</v>
      </c>
      <c r="H2201" s="1456">
        <v>0</v>
      </c>
      <c r="I2201" s="1456">
        <v>0</v>
      </c>
      <c r="J2201" s="1471">
        <v>0</v>
      </c>
      <c r="K2201" s="1460"/>
      <c r="L2201" s="1454">
        <v>13297110400</v>
      </c>
      <c r="M2201" s="1455">
        <v>0</v>
      </c>
      <c r="N2201" s="1455">
        <v>0</v>
      </c>
      <c r="O2201" s="1456">
        <v>0</v>
      </c>
      <c r="AA2201"/>
      <c r="AB2201"/>
    </row>
    <row r="2202" spans="3:28">
      <c r="C2202" s="1461" t="s">
        <v>5984</v>
      </c>
      <c r="D2202" s="1458">
        <v>1</v>
      </c>
      <c r="E2202" s="1458">
        <v>1</v>
      </c>
      <c r="F2202" s="1459">
        <v>2</v>
      </c>
      <c r="G2202" s="1470" t="s">
        <v>5984</v>
      </c>
      <c r="H2202" s="1456">
        <v>1</v>
      </c>
      <c r="I2202" s="1456">
        <v>1</v>
      </c>
      <c r="J2202" s="1471">
        <v>2</v>
      </c>
      <c r="K2202" s="1460"/>
      <c r="L2202" s="1454">
        <v>13297110503</v>
      </c>
      <c r="M2202" s="1455">
        <v>1</v>
      </c>
      <c r="N2202" s="1455">
        <v>1</v>
      </c>
      <c r="O2202" s="1456">
        <v>2</v>
      </c>
      <c r="AA2202"/>
      <c r="AB2202"/>
    </row>
    <row r="2203" spans="3:28">
      <c r="C2203" s="1461" t="s">
        <v>5985</v>
      </c>
      <c r="D2203" s="1458">
        <v>1</v>
      </c>
      <c r="E2203" s="1458">
        <v>1</v>
      </c>
      <c r="F2203" s="1459">
        <v>2</v>
      </c>
      <c r="G2203" s="1470" t="s">
        <v>5985</v>
      </c>
      <c r="H2203" s="1456">
        <v>1</v>
      </c>
      <c r="I2203" s="1456">
        <v>1</v>
      </c>
      <c r="J2203" s="1471">
        <v>2</v>
      </c>
      <c r="K2203" s="1460"/>
      <c r="L2203" s="1454">
        <v>13297110504</v>
      </c>
      <c r="M2203" s="1455">
        <v>1</v>
      </c>
      <c r="N2203" s="1455">
        <v>1</v>
      </c>
      <c r="O2203" s="1456">
        <v>2</v>
      </c>
      <c r="AA2203"/>
      <c r="AB2203"/>
    </row>
    <row r="2204" spans="3:28">
      <c r="C2204" s="1461" t="s">
        <v>5986</v>
      </c>
      <c r="D2204" s="1458">
        <v>1</v>
      </c>
      <c r="E2204" s="1458">
        <v>1</v>
      </c>
      <c r="F2204" s="1459">
        <v>2</v>
      </c>
      <c r="G2204" s="1470" t="s">
        <v>5986</v>
      </c>
      <c r="H2204" s="1456">
        <v>1</v>
      </c>
      <c r="I2204" s="1456">
        <v>0</v>
      </c>
      <c r="J2204" s="1471">
        <v>1</v>
      </c>
      <c r="K2204" s="1460"/>
      <c r="L2204" s="1454">
        <v>13297110505</v>
      </c>
      <c r="M2204" s="1455">
        <v>1</v>
      </c>
      <c r="N2204" s="1455">
        <v>1</v>
      </c>
      <c r="O2204" s="1456">
        <v>2</v>
      </c>
      <c r="AA2204"/>
      <c r="AB2204"/>
    </row>
    <row r="2205" spans="3:28">
      <c r="C2205" s="1461" t="s">
        <v>5987</v>
      </c>
      <c r="D2205" s="1458">
        <v>1</v>
      </c>
      <c r="E2205" s="1458">
        <v>1</v>
      </c>
      <c r="F2205" s="1459">
        <v>2</v>
      </c>
      <c r="G2205" s="1470" t="s">
        <v>5987</v>
      </c>
      <c r="H2205" s="1456">
        <v>1</v>
      </c>
      <c r="I2205" s="1456">
        <v>1</v>
      </c>
      <c r="J2205" s="1471">
        <v>2</v>
      </c>
      <c r="K2205" s="1460"/>
      <c r="L2205" s="1454">
        <v>13297110506</v>
      </c>
      <c r="M2205" s="1455">
        <v>1</v>
      </c>
      <c r="N2205" s="1455">
        <v>1</v>
      </c>
      <c r="O2205" s="1456">
        <v>2</v>
      </c>
      <c r="AA2205"/>
      <c r="AB2205"/>
    </row>
    <row r="2206" spans="3:28">
      <c r="C2206" s="1461" t="s">
        <v>5988</v>
      </c>
      <c r="D2206" s="1458">
        <v>1</v>
      </c>
      <c r="E2206" s="1458">
        <v>1</v>
      </c>
      <c r="F2206" s="1459">
        <v>2</v>
      </c>
      <c r="G2206" s="1470" t="s">
        <v>5988</v>
      </c>
      <c r="H2206" s="1456">
        <v>1</v>
      </c>
      <c r="I2206" s="1456">
        <v>1</v>
      </c>
      <c r="J2206" s="1471">
        <v>2</v>
      </c>
      <c r="K2206" s="1460"/>
      <c r="L2206" s="1454">
        <v>13297110507</v>
      </c>
      <c r="M2206" s="1455">
        <v>1</v>
      </c>
      <c r="N2206" s="1455">
        <v>1</v>
      </c>
      <c r="O2206" s="1456">
        <v>2</v>
      </c>
      <c r="AA2206"/>
      <c r="AB2206"/>
    </row>
    <row r="2207" spans="3:28">
      <c r="C2207" s="1461" t="s">
        <v>5989</v>
      </c>
      <c r="D2207" s="1458">
        <v>1</v>
      </c>
      <c r="E2207" s="1458">
        <v>1</v>
      </c>
      <c r="F2207" s="1459">
        <v>2</v>
      </c>
      <c r="G2207" s="1470" t="s">
        <v>5989</v>
      </c>
      <c r="H2207" s="1456">
        <v>0</v>
      </c>
      <c r="I2207" s="1456">
        <v>1</v>
      </c>
      <c r="J2207" s="1471">
        <v>1</v>
      </c>
      <c r="K2207" s="1460"/>
      <c r="L2207" s="1454">
        <v>13297110508</v>
      </c>
      <c r="M2207" s="1455">
        <v>1</v>
      </c>
      <c r="N2207" s="1455">
        <v>1</v>
      </c>
      <c r="O2207" s="1456">
        <v>2</v>
      </c>
      <c r="AA2207"/>
      <c r="AB2207"/>
    </row>
    <row r="2208" spans="3:28">
      <c r="C2208" s="1461" t="s">
        <v>5990</v>
      </c>
      <c r="D2208" s="1458">
        <v>1</v>
      </c>
      <c r="E2208" s="1458">
        <v>1</v>
      </c>
      <c r="F2208" s="1459">
        <v>2</v>
      </c>
      <c r="G2208" s="1470" t="s">
        <v>5990</v>
      </c>
      <c r="H2208" s="1456">
        <v>1</v>
      </c>
      <c r="I2208" s="1456">
        <v>1</v>
      </c>
      <c r="J2208" s="1471">
        <v>2</v>
      </c>
      <c r="K2208" s="1460"/>
      <c r="L2208" s="1454">
        <v>13297110601</v>
      </c>
      <c r="M2208" s="1455">
        <v>1</v>
      </c>
      <c r="N2208" s="1455">
        <v>1</v>
      </c>
      <c r="O2208" s="1456">
        <v>2</v>
      </c>
      <c r="AA2208"/>
      <c r="AB2208"/>
    </row>
    <row r="2209" spans="3:28">
      <c r="C2209" s="1461" t="s">
        <v>5991</v>
      </c>
      <c r="D2209" s="1458">
        <v>1</v>
      </c>
      <c r="E2209" s="1458">
        <v>1</v>
      </c>
      <c r="F2209" s="1459">
        <v>2</v>
      </c>
      <c r="G2209" s="1470" t="s">
        <v>5991</v>
      </c>
      <c r="H2209" s="1456">
        <v>1</v>
      </c>
      <c r="I2209" s="1456">
        <v>1</v>
      </c>
      <c r="J2209" s="1471">
        <v>2</v>
      </c>
      <c r="K2209" s="1460"/>
      <c r="L2209" s="1454">
        <v>13297110602</v>
      </c>
      <c r="M2209" s="1455">
        <v>1</v>
      </c>
      <c r="N2209" s="1455">
        <v>1</v>
      </c>
      <c r="O2209" s="1456">
        <v>2</v>
      </c>
      <c r="AA2209"/>
      <c r="AB2209"/>
    </row>
    <row r="2210" spans="3:28">
      <c r="C2210" s="1461" t="s">
        <v>5992</v>
      </c>
      <c r="D2210" s="1458">
        <v>0</v>
      </c>
      <c r="E2210" s="1458">
        <v>1</v>
      </c>
      <c r="F2210" s="1459">
        <v>1</v>
      </c>
      <c r="G2210" s="1470" t="s">
        <v>5992</v>
      </c>
      <c r="H2210" s="1456">
        <v>0</v>
      </c>
      <c r="I2210" s="1456">
        <v>0</v>
      </c>
      <c r="J2210" s="1471">
        <v>0</v>
      </c>
      <c r="K2210" s="1460"/>
      <c r="L2210" s="1454">
        <v>13297110603</v>
      </c>
      <c r="M2210" s="1455">
        <v>0</v>
      </c>
      <c r="N2210" s="1455">
        <v>1</v>
      </c>
      <c r="O2210" s="1456">
        <v>1</v>
      </c>
      <c r="AA2210"/>
      <c r="AB2210"/>
    </row>
    <row r="2211" spans="3:28">
      <c r="C2211" s="1461" t="s">
        <v>5993</v>
      </c>
      <c r="D2211" s="1458">
        <v>0</v>
      </c>
      <c r="E2211" s="1458">
        <v>0</v>
      </c>
      <c r="F2211" s="1459">
        <v>0</v>
      </c>
      <c r="G2211" s="1470" t="s">
        <v>5993</v>
      </c>
      <c r="H2211" s="1456">
        <v>0</v>
      </c>
      <c r="I2211" s="1456">
        <v>0</v>
      </c>
      <c r="J2211" s="1471">
        <v>0</v>
      </c>
      <c r="K2211" s="1460"/>
      <c r="L2211" s="1454">
        <v>13297110700</v>
      </c>
      <c r="M2211" s="1455">
        <v>0</v>
      </c>
      <c r="N2211" s="1455">
        <v>0</v>
      </c>
      <c r="O2211" s="1456">
        <v>0</v>
      </c>
      <c r="AA2211"/>
      <c r="AB2211"/>
    </row>
    <row r="2212" spans="3:28">
      <c r="C2212" s="1461" t="s">
        <v>5994</v>
      </c>
      <c r="D2212" s="1458">
        <v>1</v>
      </c>
      <c r="E2212" s="1458">
        <v>0</v>
      </c>
      <c r="F2212" s="1459">
        <v>1</v>
      </c>
      <c r="G2212" s="1470" t="s">
        <v>5994</v>
      </c>
      <c r="H2212" s="1456">
        <v>1</v>
      </c>
      <c r="I2212" s="1456">
        <v>0</v>
      </c>
      <c r="J2212" s="1471">
        <v>1</v>
      </c>
      <c r="K2212" s="1460"/>
      <c r="L2212" s="1454">
        <v>13297110800</v>
      </c>
      <c r="M2212" s="1455">
        <v>1</v>
      </c>
      <c r="N2212" s="1455">
        <v>0</v>
      </c>
      <c r="O2212" s="1456">
        <v>1</v>
      </c>
      <c r="AA2212"/>
      <c r="AB2212"/>
    </row>
    <row r="2213" spans="3:28">
      <c r="C2213" s="1461" t="s">
        <v>5995</v>
      </c>
      <c r="D2213" s="1458">
        <v>1</v>
      </c>
      <c r="E2213" s="1458">
        <v>0</v>
      </c>
      <c r="F2213" s="1459">
        <v>1</v>
      </c>
      <c r="G2213" s="1470" t="s">
        <v>5995</v>
      </c>
      <c r="H2213" s="1456">
        <v>0</v>
      </c>
      <c r="I2213" s="1456">
        <v>0</v>
      </c>
      <c r="J2213" s="1471">
        <v>0</v>
      </c>
      <c r="K2213" s="1460"/>
      <c r="L2213" s="1454">
        <v>13299950100</v>
      </c>
      <c r="M2213" s="1455">
        <v>1</v>
      </c>
      <c r="N2213" s="1455">
        <v>0</v>
      </c>
      <c r="O2213" s="1456">
        <v>1</v>
      </c>
      <c r="AA2213"/>
      <c r="AB2213"/>
    </row>
    <row r="2214" spans="3:28">
      <c r="C2214" s="1461" t="s">
        <v>5996</v>
      </c>
      <c r="D2214" s="1458">
        <v>0</v>
      </c>
      <c r="E2214" s="1458">
        <v>0</v>
      </c>
      <c r="F2214" s="1459">
        <v>0</v>
      </c>
      <c r="G2214" s="1470" t="s">
        <v>5996</v>
      </c>
      <c r="H2214" s="1456">
        <v>0</v>
      </c>
      <c r="I2214" s="1456">
        <v>0</v>
      </c>
      <c r="J2214" s="1471">
        <v>0</v>
      </c>
      <c r="K2214" s="1460"/>
      <c r="L2214" s="1454">
        <v>13299950200</v>
      </c>
      <c r="M2214" s="1455">
        <v>0</v>
      </c>
      <c r="N2214" s="1455">
        <v>0</v>
      </c>
      <c r="O2214" s="1456">
        <v>0</v>
      </c>
      <c r="AA2214"/>
      <c r="AB2214"/>
    </row>
    <row r="2215" spans="3:28">
      <c r="C2215" s="1461" t="s">
        <v>5997</v>
      </c>
      <c r="D2215" s="1458">
        <v>0</v>
      </c>
      <c r="E2215" s="1458">
        <v>0</v>
      </c>
      <c r="F2215" s="1459">
        <v>0</v>
      </c>
      <c r="G2215" s="1470" t="s">
        <v>5997</v>
      </c>
      <c r="H2215" s="1456">
        <v>0</v>
      </c>
      <c r="I2215" s="1456">
        <v>0</v>
      </c>
      <c r="J2215" s="1471">
        <v>0</v>
      </c>
      <c r="K2215" s="1460"/>
      <c r="L2215" s="1454">
        <v>13299950300</v>
      </c>
      <c r="M2215" s="1455">
        <v>0</v>
      </c>
      <c r="N2215" s="1455">
        <v>0</v>
      </c>
      <c r="O2215" s="1456">
        <v>0</v>
      </c>
      <c r="AA2215"/>
      <c r="AB2215"/>
    </row>
    <row r="2216" spans="3:28">
      <c r="C2216" s="1461" t="s">
        <v>5998</v>
      </c>
      <c r="D2216" s="1458">
        <v>0</v>
      </c>
      <c r="E2216" s="1458">
        <v>0</v>
      </c>
      <c r="F2216" s="1459">
        <v>0</v>
      </c>
      <c r="G2216" s="1470" t="s">
        <v>5998</v>
      </c>
      <c r="H2216" s="1456">
        <v>0</v>
      </c>
      <c r="I2216" s="1456">
        <v>0</v>
      </c>
      <c r="J2216" s="1471">
        <v>0</v>
      </c>
      <c r="K2216" s="1460"/>
      <c r="L2216" s="1454">
        <v>13299950400</v>
      </c>
      <c r="M2216" s="1455">
        <v>0</v>
      </c>
      <c r="N2216" s="1455">
        <v>0</v>
      </c>
      <c r="O2216" s="1456">
        <v>0</v>
      </c>
      <c r="AA2216"/>
      <c r="AB2216"/>
    </row>
    <row r="2217" spans="3:28">
      <c r="C2217" s="1461" t="s">
        <v>5999</v>
      </c>
      <c r="D2217" s="1458">
        <v>1</v>
      </c>
      <c r="E2217" s="1458">
        <v>0</v>
      </c>
      <c r="F2217" s="1459">
        <v>1</v>
      </c>
      <c r="G2217" s="1470" t="s">
        <v>5999</v>
      </c>
      <c r="H2217" s="1456">
        <v>1</v>
      </c>
      <c r="I2217" s="1456">
        <v>0</v>
      </c>
      <c r="J2217" s="1471">
        <v>1</v>
      </c>
      <c r="K2217" s="1460"/>
      <c r="L2217" s="1454">
        <v>13299950500</v>
      </c>
      <c r="M2217" s="1455">
        <v>1</v>
      </c>
      <c r="N2217" s="1455">
        <v>0</v>
      </c>
      <c r="O2217" s="1456">
        <v>1</v>
      </c>
      <c r="AA2217"/>
      <c r="AB2217"/>
    </row>
    <row r="2218" spans="3:28">
      <c r="C2218" s="1461" t="s">
        <v>6000</v>
      </c>
      <c r="D2218" s="1458">
        <v>1</v>
      </c>
      <c r="E2218" s="1458">
        <v>0</v>
      </c>
      <c r="F2218" s="1459">
        <v>1</v>
      </c>
      <c r="G2218" s="1470" t="s">
        <v>6000</v>
      </c>
      <c r="H2218" s="1456">
        <v>1</v>
      </c>
      <c r="I2218" s="1456">
        <v>0</v>
      </c>
      <c r="J2218" s="1471">
        <v>1</v>
      </c>
      <c r="K2218" s="1460"/>
      <c r="L2218" s="1454">
        <v>13299950600</v>
      </c>
      <c r="M2218" s="1455">
        <v>1</v>
      </c>
      <c r="N2218" s="1455">
        <v>0</v>
      </c>
      <c r="O2218" s="1456">
        <v>1</v>
      </c>
      <c r="AA2218"/>
      <c r="AB2218"/>
    </row>
    <row r="2219" spans="3:28">
      <c r="C2219" s="1461" t="s">
        <v>6001</v>
      </c>
      <c r="D2219" s="1458">
        <v>0</v>
      </c>
      <c r="E2219" s="1458">
        <v>0</v>
      </c>
      <c r="F2219" s="1459">
        <v>0</v>
      </c>
      <c r="G2219" s="1470" t="s">
        <v>6001</v>
      </c>
      <c r="H2219" s="1456">
        <v>0</v>
      </c>
      <c r="I2219" s="1456">
        <v>0</v>
      </c>
      <c r="J2219" s="1471">
        <v>0</v>
      </c>
      <c r="K2219" s="1460"/>
      <c r="L2219" s="1454">
        <v>13299950700</v>
      </c>
      <c r="M2219" s="1455">
        <v>0</v>
      </c>
      <c r="N2219" s="1455">
        <v>0</v>
      </c>
      <c r="O2219" s="1456">
        <v>0</v>
      </c>
      <c r="AA2219"/>
      <c r="AB2219"/>
    </row>
    <row r="2220" spans="3:28">
      <c r="C2220" s="1461" t="s">
        <v>6002</v>
      </c>
      <c r="D2220" s="1458">
        <v>0</v>
      </c>
      <c r="E2220" s="1458">
        <v>0</v>
      </c>
      <c r="F2220" s="1459">
        <v>0</v>
      </c>
      <c r="G2220" s="1470" t="s">
        <v>6002</v>
      </c>
      <c r="H2220" s="1456">
        <v>0</v>
      </c>
      <c r="I2220" s="1456">
        <v>0</v>
      </c>
      <c r="J2220" s="1471">
        <v>0</v>
      </c>
      <c r="K2220" s="1460"/>
      <c r="L2220" s="1454">
        <v>13299950800</v>
      </c>
      <c r="M2220" s="1455">
        <v>0</v>
      </c>
      <c r="N2220" s="1455">
        <v>0</v>
      </c>
      <c r="O2220" s="1456">
        <v>0</v>
      </c>
      <c r="AA2220"/>
      <c r="AB2220"/>
    </row>
    <row r="2221" spans="3:28">
      <c r="C2221" s="1461" t="s">
        <v>6003</v>
      </c>
      <c r="D2221" s="1458">
        <v>0</v>
      </c>
      <c r="E2221" s="1458">
        <v>0</v>
      </c>
      <c r="F2221" s="1459">
        <v>0</v>
      </c>
      <c r="G2221" s="1470" t="s">
        <v>6003</v>
      </c>
      <c r="H2221" s="1456">
        <v>0</v>
      </c>
      <c r="I2221" s="1456">
        <v>0</v>
      </c>
      <c r="J2221" s="1471">
        <v>0</v>
      </c>
      <c r="K2221" s="1460"/>
      <c r="L2221" s="1454">
        <v>13299950900</v>
      </c>
      <c r="M2221" s="1455">
        <v>0</v>
      </c>
      <c r="N2221" s="1455">
        <v>0</v>
      </c>
      <c r="O2221" s="1456">
        <v>0</v>
      </c>
      <c r="AA2221"/>
      <c r="AB2221"/>
    </row>
    <row r="2222" spans="3:28">
      <c r="C2222" s="1461" t="s">
        <v>6004</v>
      </c>
      <c r="D2222" s="1458">
        <v>0</v>
      </c>
      <c r="E2222" s="1458">
        <v>0</v>
      </c>
      <c r="F2222" s="1459">
        <v>0</v>
      </c>
      <c r="G2222" s="1470" t="s">
        <v>6004</v>
      </c>
      <c r="H2222" s="1456">
        <v>0</v>
      </c>
      <c r="I2222" s="1456">
        <v>0</v>
      </c>
      <c r="J2222" s="1471">
        <v>0</v>
      </c>
      <c r="K2222" s="1460"/>
      <c r="L2222" s="1454">
        <v>13301970400</v>
      </c>
      <c r="M2222" s="1455">
        <v>0</v>
      </c>
      <c r="N2222" s="1455">
        <v>0</v>
      </c>
      <c r="O2222" s="1456">
        <v>0</v>
      </c>
      <c r="AA2222"/>
      <c r="AB2222"/>
    </row>
    <row r="2223" spans="3:28">
      <c r="C2223" s="1461" t="s">
        <v>6005</v>
      </c>
      <c r="D2223" s="1458">
        <v>0</v>
      </c>
      <c r="E2223" s="1458">
        <v>0</v>
      </c>
      <c r="F2223" s="1459">
        <v>0</v>
      </c>
      <c r="G2223" s="1470" t="s">
        <v>6005</v>
      </c>
      <c r="H2223" s="1456">
        <v>0</v>
      </c>
      <c r="I2223" s="1456">
        <v>0</v>
      </c>
      <c r="J2223" s="1471">
        <v>0</v>
      </c>
      <c r="K2223" s="1460"/>
      <c r="L2223" s="1454">
        <v>13301970500</v>
      </c>
      <c r="M2223" s="1455">
        <v>0</v>
      </c>
      <c r="N2223" s="1455">
        <v>0</v>
      </c>
      <c r="O2223" s="1456">
        <v>0</v>
      </c>
      <c r="AA2223"/>
      <c r="AB2223"/>
    </row>
    <row r="2224" spans="3:28">
      <c r="C2224" s="1461" t="s">
        <v>6006</v>
      </c>
      <c r="D2224" s="1458">
        <v>0</v>
      </c>
      <c r="E2224" s="1458">
        <v>0</v>
      </c>
      <c r="F2224" s="1459">
        <v>0</v>
      </c>
      <c r="G2224" s="1470" t="s">
        <v>6006</v>
      </c>
      <c r="H2224" s="1456">
        <v>0</v>
      </c>
      <c r="I2224" s="1456">
        <v>1</v>
      </c>
      <c r="J2224" s="1471">
        <v>1</v>
      </c>
      <c r="K2224" s="1460"/>
      <c r="L2224" s="1454">
        <v>13303950100</v>
      </c>
      <c r="M2224" s="1455">
        <v>0</v>
      </c>
      <c r="N2224" s="1455">
        <v>1</v>
      </c>
      <c r="O2224" s="1456">
        <v>1</v>
      </c>
      <c r="AA2224"/>
      <c r="AB2224"/>
    </row>
    <row r="2225" spans="3:28">
      <c r="C2225" s="1461" t="s">
        <v>6007</v>
      </c>
      <c r="D2225" s="1458">
        <v>0</v>
      </c>
      <c r="E2225" s="1458">
        <v>0</v>
      </c>
      <c r="F2225" s="1459">
        <v>0</v>
      </c>
      <c r="G2225" s="1470" t="s">
        <v>6007</v>
      </c>
      <c r="H2225" s="1456">
        <v>0</v>
      </c>
      <c r="I2225" s="1456">
        <v>0</v>
      </c>
      <c r="J2225" s="1471">
        <v>0</v>
      </c>
      <c r="K2225" s="1460"/>
      <c r="L2225" s="1454">
        <v>13303950300</v>
      </c>
      <c r="M2225" s="1455">
        <v>0</v>
      </c>
      <c r="N2225" s="1455">
        <v>0</v>
      </c>
      <c r="O2225" s="1456">
        <v>0</v>
      </c>
      <c r="AA2225"/>
      <c r="AB2225"/>
    </row>
    <row r="2226" spans="3:28">
      <c r="C2226" s="1461" t="s">
        <v>6008</v>
      </c>
      <c r="D2226" s="1458">
        <v>0</v>
      </c>
      <c r="E2226" s="1458">
        <v>0</v>
      </c>
      <c r="F2226" s="1459">
        <v>0</v>
      </c>
      <c r="G2226" s="1470" t="s">
        <v>6008</v>
      </c>
      <c r="H2226" s="1456">
        <v>0</v>
      </c>
      <c r="I2226" s="1456">
        <v>0</v>
      </c>
      <c r="J2226" s="1471">
        <v>0</v>
      </c>
      <c r="K2226" s="1460"/>
      <c r="L2226" s="1454">
        <v>13303950400</v>
      </c>
      <c r="M2226" s="1455">
        <v>0</v>
      </c>
      <c r="N2226" s="1455">
        <v>0</v>
      </c>
      <c r="O2226" s="1456">
        <v>0</v>
      </c>
      <c r="AA2226"/>
      <c r="AB2226"/>
    </row>
    <row r="2227" spans="3:28">
      <c r="C2227" s="1461" t="s">
        <v>6009</v>
      </c>
      <c r="D2227" s="1458">
        <v>0</v>
      </c>
      <c r="E2227" s="1458">
        <v>0</v>
      </c>
      <c r="F2227" s="1459">
        <v>0</v>
      </c>
      <c r="G2227" s="1470" t="s">
        <v>6009</v>
      </c>
      <c r="H2227" s="1456">
        <v>0</v>
      </c>
      <c r="I2227" s="1456">
        <v>0</v>
      </c>
      <c r="J2227" s="1471">
        <v>0</v>
      </c>
      <c r="K2227" s="1460"/>
      <c r="L2227" s="1454">
        <v>13303950500</v>
      </c>
      <c r="M2227" s="1455">
        <v>0</v>
      </c>
      <c r="N2227" s="1455">
        <v>0</v>
      </c>
      <c r="O2227" s="1456">
        <v>0</v>
      </c>
      <c r="AA2227"/>
      <c r="AB2227"/>
    </row>
    <row r="2228" spans="3:28">
      <c r="C2228" s="1461" t="s">
        <v>6010</v>
      </c>
      <c r="D2228" s="1458">
        <v>0</v>
      </c>
      <c r="E2228" s="1458">
        <v>0</v>
      </c>
      <c r="F2228" s="1459">
        <v>0</v>
      </c>
      <c r="G2228" s="1470" t="s">
        <v>6010</v>
      </c>
      <c r="H2228" s="1456">
        <v>0</v>
      </c>
      <c r="I2228" s="1456">
        <v>1</v>
      </c>
      <c r="J2228" s="1471">
        <v>1</v>
      </c>
      <c r="K2228" s="1460"/>
      <c r="L2228" s="1454">
        <v>13303950700</v>
      </c>
      <c r="M2228" s="1455">
        <v>0</v>
      </c>
      <c r="N2228" s="1455">
        <v>1</v>
      </c>
      <c r="O2228" s="1456">
        <v>1</v>
      </c>
      <c r="AA2228"/>
      <c r="AB2228"/>
    </row>
    <row r="2229" spans="3:28">
      <c r="C2229" s="1461" t="s">
        <v>6011</v>
      </c>
      <c r="D2229" s="1458">
        <v>0</v>
      </c>
      <c r="E2229" s="1458">
        <v>0</v>
      </c>
      <c r="F2229" s="1459">
        <v>0</v>
      </c>
      <c r="G2229" s="1470" t="s">
        <v>6011</v>
      </c>
      <c r="H2229" s="1456">
        <v>0</v>
      </c>
      <c r="I2229" s="1456">
        <v>0</v>
      </c>
      <c r="J2229" s="1471">
        <v>0</v>
      </c>
      <c r="K2229" s="1460"/>
      <c r="L2229" s="1454">
        <v>13305970100</v>
      </c>
      <c r="M2229" s="1455">
        <v>0</v>
      </c>
      <c r="N2229" s="1455">
        <v>0</v>
      </c>
      <c r="O2229" s="1456">
        <v>0</v>
      </c>
      <c r="AA2229"/>
      <c r="AB2229"/>
    </row>
    <row r="2230" spans="3:28">
      <c r="C2230" s="1461" t="s">
        <v>6012</v>
      </c>
      <c r="D2230" s="1458">
        <v>0</v>
      </c>
      <c r="E2230" s="1458">
        <v>0</v>
      </c>
      <c r="F2230" s="1459">
        <v>0</v>
      </c>
      <c r="G2230" s="1470" t="s">
        <v>6012</v>
      </c>
      <c r="H2230" s="1456">
        <v>0</v>
      </c>
      <c r="I2230" s="1456">
        <v>0</v>
      </c>
      <c r="J2230" s="1471">
        <v>0</v>
      </c>
      <c r="K2230" s="1460"/>
      <c r="L2230" s="1454">
        <v>13305970200</v>
      </c>
      <c r="M2230" s="1455">
        <v>0</v>
      </c>
      <c r="N2230" s="1455">
        <v>0</v>
      </c>
      <c r="O2230" s="1456">
        <v>0</v>
      </c>
      <c r="AA2230"/>
      <c r="AB2230"/>
    </row>
    <row r="2231" spans="3:28">
      <c r="C2231" s="1461" t="s">
        <v>6013</v>
      </c>
      <c r="D2231" s="1458">
        <v>0</v>
      </c>
      <c r="E2231" s="1458">
        <v>0</v>
      </c>
      <c r="F2231" s="1459">
        <v>0</v>
      </c>
      <c r="G2231" s="1470" t="s">
        <v>6013</v>
      </c>
      <c r="H2231" s="1456">
        <v>0</v>
      </c>
      <c r="I2231" s="1456">
        <v>0</v>
      </c>
      <c r="J2231" s="1471">
        <v>0</v>
      </c>
      <c r="K2231" s="1460"/>
      <c r="L2231" s="1454">
        <v>13305970300</v>
      </c>
      <c r="M2231" s="1455">
        <v>0</v>
      </c>
      <c r="N2231" s="1455">
        <v>0</v>
      </c>
      <c r="O2231" s="1456">
        <v>0</v>
      </c>
      <c r="AA2231"/>
      <c r="AB2231"/>
    </row>
    <row r="2232" spans="3:28">
      <c r="C2232" s="1461" t="s">
        <v>6014</v>
      </c>
      <c r="D2232" s="1458">
        <v>0</v>
      </c>
      <c r="E2232" s="1458">
        <v>0</v>
      </c>
      <c r="F2232" s="1459">
        <v>0</v>
      </c>
      <c r="G2232" s="1470" t="s">
        <v>6014</v>
      </c>
      <c r="H2232" s="1456">
        <v>0</v>
      </c>
      <c r="I2232" s="1456">
        <v>0</v>
      </c>
      <c r="J2232" s="1471">
        <v>0</v>
      </c>
      <c r="K2232" s="1460"/>
      <c r="L2232" s="1454">
        <v>13305970400</v>
      </c>
      <c r="M2232" s="1455">
        <v>0</v>
      </c>
      <c r="N2232" s="1455">
        <v>0</v>
      </c>
      <c r="O2232" s="1456">
        <v>0</v>
      </c>
      <c r="AA2232"/>
      <c r="AB2232"/>
    </row>
    <row r="2233" spans="3:28">
      <c r="C2233" s="1461" t="s">
        <v>6015</v>
      </c>
      <c r="D2233" s="1458">
        <v>0</v>
      </c>
      <c r="E2233" s="1458">
        <v>0</v>
      </c>
      <c r="F2233" s="1459">
        <v>0</v>
      </c>
      <c r="G2233" s="1470" t="s">
        <v>6015</v>
      </c>
      <c r="H2233" s="1456">
        <v>0</v>
      </c>
      <c r="I2233" s="1456">
        <v>0</v>
      </c>
      <c r="J2233" s="1471">
        <v>0</v>
      </c>
      <c r="K2233" s="1460"/>
      <c r="L2233" s="1454">
        <v>13305970500</v>
      </c>
      <c r="M2233" s="1455">
        <v>0</v>
      </c>
      <c r="N2233" s="1455">
        <v>0</v>
      </c>
      <c r="O2233" s="1456">
        <v>0</v>
      </c>
      <c r="AA2233"/>
      <c r="AB2233"/>
    </row>
    <row r="2234" spans="3:28">
      <c r="C2234" s="1461" t="s">
        <v>6016</v>
      </c>
      <c r="D2234" s="1458">
        <v>0</v>
      </c>
      <c r="E2234" s="1458">
        <v>0</v>
      </c>
      <c r="F2234" s="1459">
        <v>0</v>
      </c>
      <c r="G2234" s="1470" t="s">
        <v>6016</v>
      </c>
      <c r="H2234" s="1456">
        <v>0</v>
      </c>
      <c r="I2234" s="1456">
        <v>0</v>
      </c>
      <c r="J2234" s="1471">
        <v>0</v>
      </c>
      <c r="K2234" s="1460"/>
      <c r="L2234" s="1454">
        <v>13305970600</v>
      </c>
      <c r="M2234" s="1455">
        <v>0</v>
      </c>
      <c r="N2234" s="1455">
        <v>0</v>
      </c>
      <c r="O2234" s="1456">
        <v>0</v>
      </c>
      <c r="AA2234"/>
      <c r="AB2234"/>
    </row>
    <row r="2235" spans="3:28">
      <c r="C2235" s="1461" t="s">
        <v>6017</v>
      </c>
      <c r="D2235" s="1458">
        <v>0</v>
      </c>
      <c r="E2235" s="1458">
        <v>0</v>
      </c>
      <c r="F2235" s="1459">
        <v>0</v>
      </c>
      <c r="G2235" s="1470" t="s">
        <v>6017</v>
      </c>
      <c r="H2235" s="1456">
        <v>0</v>
      </c>
      <c r="I2235" s="1456">
        <v>1</v>
      </c>
      <c r="J2235" s="1471">
        <v>1</v>
      </c>
      <c r="K2235" s="1460"/>
      <c r="L2235" s="1454">
        <v>13307960100</v>
      </c>
      <c r="M2235" s="1455">
        <v>0</v>
      </c>
      <c r="N2235" s="1455">
        <v>1</v>
      </c>
      <c r="O2235" s="1456">
        <v>1</v>
      </c>
      <c r="AA2235"/>
      <c r="AB2235"/>
    </row>
    <row r="2236" spans="3:28">
      <c r="C2236" s="1461" t="s">
        <v>6018</v>
      </c>
      <c r="D2236" s="1458">
        <v>0</v>
      </c>
      <c r="E2236" s="1458">
        <v>0</v>
      </c>
      <c r="F2236" s="1459">
        <v>0</v>
      </c>
      <c r="G2236" s="1470" t="s">
        <v>6018</v>
      </c>
      <c r="H2236" s="1456">
        <v>0</v>
      </c>
      <c r="I2236" s="1456">
        <v>0</v>
      </c>
      <c r="J2236" s="1471">
        <v>0</v>
      </c>
      <c r="K2236" s="1460"/>
      <c r="L2236" s="1454">
        <v>13307960200</v>
      </c>
      <c r="M2236" s="1455">
        <v>0</v>
      </c>
      <c r="N2236" s="1455">
        <v>0</v>
      </c>
      <c r="O2236" s="1456">
        <v>0</v>
      </c>
      <c r="AA2236"/>
      <c r="AB2236"/>
    </row>
    <row r="2237" spans="3:28">
      <c r="C2237" s="1461" t="s">
        <v>6019</v>
      </c>
      <c r="D2237" s="1458">
        <v>0</v>
      </c>
      <c r="E2237" s="1458">
        <v>0</v>
      </c>
      <c r="F2237" s="1459">
        <v>0</v>
      </c>
      <c r="G2237" s="1470" t="s">
        <v>6019</v>
      </c>
      <c r="H2237" s="1456">
        <v>0</v>
      </c>
      <c r="I2237" s="1456">
        <v>0</v>
      </c>
      <c r="J2237" s="1471">
        <v>0</v>
      </c>
      <c r="K2237" s="1460"/>
      <c r="L2237" s="1454">
        <v>13309780100</v>
      </c>
      <c r="M2237" s="1455">
        <v>0</v>
      </c>
      <c r="N2237" s="1455">
        <v>0</v>
      </c>
      <c r="O2237" s="1456">
        <v>0</v>
      </c>
      <c r="AA2237"/>
      <c r="AB2237"/>
    </row>
    <row r="2238" spans="3:28">
      <c r="C2238" s="1461" t="s">
        <v>6020</v>
      </c>
      <c r="D2238" s="1458">
        <v>0</v>
      </c>
      <c r="E2238" s="1458">
        <v>0</v>
      </c>
      <c r="F2238" s="1459">
        <v>0</v>
      </c>
      <c r="G2238" s="1470" t="s">
        <v>6020</v>
      </c>
      <c r="H2238" s="1456">
        <v>0</v>
      </c>
      <c r="I2238" s="1456">
        <v>1</v>
      </c>
      <c r="J2238" s="1471">
        <v>1</v>
      </c>
      <c r="K2238" s="1460"/>
      <c r="L2238" s="1454">
        <v>13309780200</v>
      </c>
      <c r="M2238" s="1455">
        <v>0</v>
      </c>
      <c r="N2238" s="1455">
        <v>1</v>
      </c>
      <c r="O2238" s="1456">
        <v>1</v>
      </c>
      <c r="AA2238"/>
      <c r="AB2238"/>
    </row>
    <row r="2239" spans="3:28">
      <c r="C2239" s="1461" t="s">
        <v>6021</v>
      </c>
      <c r="D2239" s="1458">
        <v>1</v>
      </c>
      <c r="E2239" s="1458">
        <v>0</v>
      </c>
      <c r="F2239" s="1459">
        <v>1</v>
      </c>
      <c r="G2239" s="1470" t="s">
        <v>6021</v>
      </c>
      <c r="H2239" s="1456">
        <v>1</v>
      </c>
      <c r="I2239" s="1456">
        <v>0</v>
      </c>
      <c r="J2239" s="1471">
        <v>1</v>
      </c>
      <c r="K2239" s="1460"/>
      <c r="L2239" s="1454">
        <v>13311950100</v>
      </c>
      <c r="M2239" s="1455">
        <v>1</v>
      </c>
      <c r="N2239" s="1455">
        <v>0</v>
      </c>
      <c r="O2239" s="1456">
        <v>1</v>
      </c>
      <c r="AA2239"/>
      <c r="AB2239"/>
    </row>
    <row r="2240" spans="3:28">
      <c r="C2240" s="1461" t="s">
        <v>6022</v>
      </c>
      <c r="D2240" s="1458">
        <v>0</v>
      </c>
      <c r="E2240" s="1458">
        <v>0</v>
      </c>
      <c r="F2240" s="1459">
        <v>0</v>
      </c>
      <c r="G2240" s="1470" t="s">
        <v>6022</v>
      </c>
      <c r="H2240" s="1456">
        <v>0</v>
      </c>
      <c r="I2240" s="1456">
        <v>0</v>
      </c>
      <c r="J2240" s="1471">
        <v>0</v>
      </c>
      <c r="K2240" s="1460"/>
      <c r="L2240" s="1454">
        <v>13311950201</v>
      </c>
      <c r="M2240" s="1455">
        <v>0</v>
      </c>
      <c r="N2240" s="1455">
        <v>0</v>
      </c>
      <c r="O2240" s="1456">
        <v>0</v>
      </c>
      <c r="AA2240"/>
      <c r="AB2240"/>
    </row>
    <row r="2241" spans="3:28">
      <c r="C2241" s="1461" t="s">
        <v>6023</v>
      </c>
      <c r="D2241" s="1458">
        <v>1</v>
      </c>
      <c r="E2241" s="1458">
        <v>1</v>
      </c>
      <c r="F2241" s="1459">
        <v>2</v>
      </c>
      <c r="G2241" s="1470" t="s">
        <v>6023</v>
      </c>
      <c r="H2241" s="1456">
        <v>0</v>
      </c>
      <c r="I2241" s="1456">
        <v>1</v>
      </c>
      <c r="J2241" s="1471">
        <v>1</v>
      </c>
      <c r="K2241" s="1460"/>
      <c r="L2241" s="1454">
        <v>13311950202</v>
      </c>
      <c r="M2241" s="1455">
        <v>1</v>
      </c>
      <c r="N2241" s="1455">
        <v>1</v>
      </c>
      <c r="O2241" s="1456">
        <v>2</v>
      </c>
      <c r="AA2241"/>
      <c r="AB2241"/>
    </row>
    <row r="2242" spans="3:28">
      <c r="C2242" s="1461" t="s">
        <v>6024</v>
      </c>
      <c r="D2242" s="1458">
        <v>1</v>
      </c>
      <c r="E2242" s="1458">
        <v>0</v>
      </c>
      <c r="F2242" s="1459">
        <v>1</v>
      </c>
      <c r="G2242" s="1470" t="s">
        <v>6024</v>
      </c>
      <c r="H2242" s="1456">
        <v>0</v>
      </c>
      <c r="I2242" s="1456">
        <v>1</v>
      </c>
      <c r="J2242" s="1471">
        <v>1</v>
      </c>
      <c r="K2242" s="1460"/>
      <c r="L2242" s="1454">
        <v>13311950203</v>
      </c>
      <c r="M2242" s="1455">
        <v>1</v>
      </c>
      <c r="N2242" s="1455">
        <v>1</v>
      </c>
      <c r="O2242" s="1456">
        <v>1</v>
      </c>
      <c r="AA2242"/>
      <c r="AB2242"/>
    </row>
    <row r="2243" spans="3:28">
      <c r="C2243" s="1461" t="s">
        <v>6025</v>
      </c>
      <c r="D2243" s="1458">
        <v>0</v>
      </c>
      <c r="E2243" s="1458">
        <v>1</v>
      </c>
      <c r="F2243" s="1459">
        <v>1</v>
      </c>
      <c r="G2243" s="1470" t="s">
        <v>6025</v>
      </c>
      <c r="H2243" s="1456">
        <v>0</v>
      </c>
      <c r="I2243" s="1456">
        <v>1</v>
      </c>
      <c r="J2243" s="1471">
        <v>1</v>
      </c>
      <c r="K2243" s="1460"/>
      <c r="L2243" s="1454">
        <v>13311950300</v>
      </c>
      <c r="M2243" s="1455">
        <v>0</v>
      </c>
      <c r="N2243" s="1455">
        <v>1</v>
      </c>
      <c r="O2243" s="1456">
        <v>1</v>
      </c>
      <c r="AA2243"/>
      <c r="AB2243"/>
    </row>
    <row r="2244" spans="3:28">
      <c r="C2244" s="1461" t="s">
        <v>6026</v>
      </c>
      <c r="D2244" s="1458">
        <v>0</v>
      </c>
      <c r="E2244" s="1458">
        <v>0</v>
      </c>
      <c r="F2244" s="1459">
        <v>0</v>
      </c>
      <c r="G2244" s="1470" t="s">
        <v>6026</v>
      </c>
      <c r="H2244" s="1456">
        <v>0</v>
      </c>
      <c r="I2244" s="1456">
        <v>1</v>
      </c>
      <c r="J2244" s="1471">
        <v>1</v>
      </c>
      <c r="K2244" s="1460"/>
      <c r="L2244" s="1454">
        <v>13313000101</v>
      </c>
      <c r="M2244" s="1455">
        <v>0</v>
      </c>
      <c r="N2244" s="1455">
        <v>1</v>
      </c>
      <c r="O2244" s="1456">
        <v>1</v>
      </c>
      <c r="AA2244"/>
      <c r="AB2244"/>
    </row>
    <row r="2245" spans="3:28">
      <c r="C2245" s="1461" t="s">
        <v>6027</v>
      </c>
      <c r="D2245" s="1458">
        <v>0</v>
      </c>
      <c r="E2245" s="1458">
        <v>1</v>
      </c>
      <c r="F2245" s="1459">
        <v>1</v>
      </c>
      <c r="G2245" s="1470" t="s">
        <v>6027</v>
      </c>
      <c r="H2245" s="1456">
        <v>0</v>
      </c>
      <c r="I2245" s="1456">
        <v>0</v>
      </c>
      <c r="J2245" s="1471">
        <v>0</v>
      </c>
      <c r="K2245" s="1460"/>
      <c r="L2245" s="1454">
        <v>13313000102</v>
      </c>
      <c r="M2245" s="1455">
        <v>0</v>
      </c>
      <c r="N2245" s="1455">
        <v>1</v>
      </c>
      <c r="O2245" s="1456">
        <v>1</v>
      </c>
      <c r="AA2245"/>
      <c r="AB2245"/>
    </row>
    <row r="2246" spans="3:28">
      <c r="C2246" s="1461" t="s">
        <v>6028</v>
      </c>
      <c r="D2246" s="1458">
        <v>0</v>
      </c>
      <c r="E2246" s="1458">
        <v>1</v>
      </c>
      <c r="F2246" s="1459">
        <v>1</v>
      </c>
      <c r="G2246" s="1470" t="s">
        <v>6028</v>
      </c>
      <c r="H2246" s="1456">
        <v>0</v>
      </c>
      <c r="I2246" s="1456">
        <v>1</v>
      </c>
      <c r="J2246" s="1471">
        <v>1</v>
      </c>
      <c r="K2246" s="1460"/>
      <c r="L2246" s="1454">
        <v>13313000200</v>
      </c>
      <c r="M2246" s="1455">
        <v>0</v>
      </c>
      <c r="N2246" s="1455">
        <v>1</v>
      </c>
      <c r="O2246" s="1456">
        <v>1</v>
      </c>
      <c r="AA2246"/>
      <c r="AB2246"/>
    </row>
    <row r="2247" spans="3:28">
      <c r="C2247" s="1461" t="s">
        <v>6029</v>
      </c>
      <c r="D2247" s="1458">
        <v>0</v>
      </c>
      <c r="E2247" s="1458">
        <v>0</v>
      </c>
      <c r="F2247" s="1459">
        <v>0</v>
      </c>
      <c r="G2247" s="1470" t="s">
        <v>6029</v>
      </c>
      <c r="H2247" s="1456">
        <v>0</v>
      </c>
      <c r="I2247" s="1456">
        <v>0</v>
      </c>
      <c r="J2247" s="1471">
        <v>0</v>
      </c>
      <c r="K2247" s="1460"/>
      <c r="L2247" s="1454">
        <v>13313000301</v>
      </c>
      <c r="M2247" s="1455">
        <v>0</v>
      </c>
      <c r="N2247" s="1455">
        <v>0</v>
      </c>
      <c r="O2247" s="1456">
        <v>0</v>
      </c>
      <c r="AA2247"/>
      <c r="AB2247"/>
    </row>
    <row r="2248" spans="3:28">
      <c r="C2248" s="1461" t="s">
        <v>6030</v>
      </c>
      <c r="D2248" s="1458">
        <v>0</v>
      </c>
      <c r="E2248" s="1458">
        <v>1</v>
      </c>
      <c r="F2248" s="1459">
        <v>1</v>
      </c>
      <c r="G2248" s="1470" t="s">
        <v>6030</v>
      </c>
      <c r="H2248" s="1456">
        <v>1</v>
      </c>
      <c r="I2248" s="1456">
        <v>1</v>
      </c>
      <c r="J2248" s="1471">
        <v>2</v>
      </c>
      <c r="K2248" s="1460"/>
      <c r="L2248" s="1454">
        <v>13313000302</v>
      </c>
      <c r="M2248" s="1455">
        <v>1</v>
      </c>
      <c r="N2248" s="1455">
        <v>1</v>
      </c>
      <c r="O2248" s="1456">
        <v>2</v>
      </c>
      <c r="AA2248"/>
      <c r="AB2248"/>
    </row>
    <row r="2249" spans="3:28">
      <c r="C2249" s="1461" t="s">
        <v>6031</v>
      </c>
      <c r="D2249" s="1458">
        <v>0</v>
      </c>
      <c r="E2249" s="1458">
        <v>0</v>
      </c>
      <c r="F2249" s="1459">
        <v>0</v>
      </c>
      <c r="G2249" s="1470" t="s">
        <v>6031</v>
      </c>
      <c r="H2249" s="1456">
        <v>0</v>
      </c>
      <c r="I2249" s="1456">
        <v>0</v>
      </c>
      <c r="J2249" s="1471">
        <v>0</v>
      </c>
      <c r="K2249" s="1460"/>
      <c r="L2249" s="1454">
        <v>13313000400</v>
      </c>
      <c r="M2249" s="1455">
        <v>0</v>
      </c>
      <c r="N2249" s="1455">
        <v>0</v>
      </c>
      <c r="O2249" s="1456">
        <v>0</v>
      </c>
      <c r="AA2249"/>
      <c r="AB2249"/>
    </row>
    <row r="2250" spans="3:28">
      <c r="C2250" s="1461" t="s">
        <v>6032</v>
      </c>
      <c r="D2250" s="1458">
        <v>1</v>
      </c>
      <c r="E2250" s="1458">
        <v>0</v>
      </c>
      <c r="F2250" s="1459">
        <v>1</v>
      </c>
      <c r="G2250" s="1470" t="s">
        <v>6032</v>
      </c>
      <c r="H2250" s="1456">
        <v>1</v>
      </c>
      <c r="I2250" s="1456">
        <v>1</v>
      </c>
      <c r="J2250" s="1471">
        <v>2</v>
      </c>
      <c r="K2250" s="1460"/>
      <c r="L2250" s="1454">
        <v>13313000501</v>
      </c>
      <c r="M2250" s="1455">
        <v>1</v>
      </c>
      <c r="N2250" s="1455">
        <v>1</v>
      </c>
      <c r="O2250" s="1456">
        <v>2</v>
      </c>
      <c r="AA2250"/>
      <c r="AB2250"/>
    </row>
    <row r="2251" spans="3:28">
      <c r="C2251" s="1461" t="s">
        <v>6033</v>
      </c>
      <c r="D2251" s="1458">
        <v>0</v>
      </c>
      <c r="E2251" s="1458">
        <v>0</v>
      </c>
      <c r="F2251" s="1459">
        <v>0</v>
      </c>
      <c r="G2251" s="1470" t="s">
        <v>6033</v>
      </c>
      <c r="H2251" s="1456">
        <v>0</v>
      </c>
      <c r="I2251" s="1456">
        <v>0</v>
      </c>
      <c r="J2251" s="1471">
        <v>0</v>
      </c>
      <c r="K2251" s="1460"/>
      <c r="L2251" s="1454">
        <v>13313000502</v>
      </c>
      <c r="M2251" s="1455">
        <v>0</v>
      </c>
      <c r="N2251" s="1455">
        <v>0</v>
      </c>
      <c r="O2251" s="1456">
        <v>0</v>
      </c>
      <c r="AA2251"/>
      <c r="AB2251"/>
    </row>
    <row r="2252" spans="3:28">
      <c r="C2252" s="1461" t="s">
        <v>6034</v>
      </c>
      <c r="D2252" s="1458">
        <v>0</v>
      </c>
      <c r="E2252" s="1458">
        <v>1</v>
      </c>
      <c r="F2252" s="1459">
        <v>1</v>
      </c>
      <c r="G2252" s="1470" t="s">
        <v>6034</v>
      </c>
      <c r="H2252" s="1456">
        <v>0</v>
      </c>
      <c r="I2252" s="1456">
        <v>0</v>
      </c>
      <c r="J2252" s="1471">
        <v>0</v>
      </c>
      <c r="K2252" s="1460"/>
      <c r="L2252" s="1454">
        <v>13313000600</v>
      </c>
      <c r="M2252" s="1455">
        <v>0</v>
      </c>
      <c r="N2252" s="1455">
        <v>1</v>
      </c>
      <c r="O2252" s="1456">
        <v>1</v>
      </c>
      <c r="AA2252"/>
      <c r="AB2252"/>
    </row>
    <row r="2253" spans="3:28">
      <c r="C2253" s="1461" t="s">
        <v>6035</v>
      </c>
      <c r="D2253" s="1458">
        <v>0</v>
      </c>
      <c r="E2253" s="1458">
        <v>1</v>
      </c>
      <c r="F2253" s="1459">
        <v>1</v>
      </c>
      <c r="G2253" s="1470" t="s">
        <v>6035</v>
      </c>
      <c r="H2253" s="1456">
        <v>0</v>
      </c>
      <c r="I2253" s="1456">
        <v>1</v>
      </c>
      <c r="J2253" s="1471">
        <v>1</v>
      </c>
      <c r="K2253" s="1460"/>
      <c r="L2253" s="1454">
        <v>13313000700</v>
      </c>
      <c r="M2253" s="1455">
        <v>0</v>
      </c>
      <c r="N2253" s="1455">
        <v>1</v>
      </c>
      <c r="O2253" s="1456">
        <v>1</v>
      </c>
      <c r="AA2253"/>
      <c r="AB2253"/>
    </row>
    <row r="2254" spans="3:28">
      <c r="C2254" s="1461" t="s">
        <v>6036</v>
      </c>
      <c r="D2254" s="1458">
        <v>1</v>
      </c>
      <c r="E2254" s="1458">
        <v>0</v>
      </c>
      <c r="F2254" s="1459">
        <v>1</v>
      </c>
      <c r="G2254" s="1470" t="s">
        <v>6036</v>
      </c>
      <c r="H2254" s="1456">
        <v>1</v>
      </c>
      <c r="I2254" s="1456">
        <v>0</v>
      </c>
      <c r="J2254" s="1471">
        <v>1</v>
      </c>
      <c r="K2254" s="1460"/>
      <c r="L2254" s="1454">
        <v>13313000800</v>
      </c>
      <c r="M2254" s="1455">
        <v>1</v>
      </c>
      <c r="N2254" s="1455">
        <v>0</v>
      </c>
      <c r="O2254" s="1456">
        <v>1</v>
      </c>
      <c r="AA2254"/>
      <c r="AB2254"/>
    </row>
    <row r="2255" spans="3:28">
      <c r="C2255" s="1461" t="s">
        <v>6037</v>
      </c>
      <c r="D2255" s="1458">
        <v>1</v>
      </c>
      <c r="E2255" s="1458">
        <v>1</v>
      </c>
      <c r="F2255" s="1459">
        <v>2</v>
      </c>
      <c r="G2255" s="1470" t="s">
        <v>6037</v>
      </c>
      <c r="H2255" s="1456">
        <v>1</v>
      </c>
      <c r="I2255" s="1456">
        <v>1</v>
      </c>
      <c r="J2255" s="1471">
        <v>2</v>
      </c>
      <c r="K2255" s="1460"/>
      <c r="L2255" s="1454">
        <v>13313000900</v>
      </c>
      <c r="M2255" s="1455">
        <v>1</v>
      </c>
      <c r="N2255" s="1455">
        <v>1</v>
      </c>
      <c r="O2255" s="1456">
        <v>2</v>
      </c>
      <c r="AA2255"/>
      <c r="AB2255"/>
    </row>
    <row r="2256" spans="3:28">
      <c r="C2256" s="1461" t="s">
        <v>6038</v>
      </c>
      <c r="D2256" s="1458">
        <v>0</v>
      </c>
      <c r="E2256" s="1458">
        <v>0</v>
      </c>
      <c r="F2256" s="1459">
        <v>0</v>
      </c>
      <c r="G2256" s="1470" t="s">
        <v>6038</v>
      </c>
      <c r="H2256" s="1456">
        <v>1</v>
      </c>
      <c r="I2256" s="1456">
        <v>0</v>
      </c>
      <c r="J2256" s="1471">
        <v>0</v>
      </c>
      <c r="K2256" s="1460"/>
      <c r="L2256" s="1454">
        <v>13313001000</v>
      </c>
      <c r="M2256" s="1455">
        <v>1</v>
      </c>
      <c r="N2256" s="1455">
        <v>0</v>
      </c>
      <c r="O2256" s="1456">
        <v>0</v>
      </c>
      <c r="AA2256"/>
      <c r="AB2256"/>
    </row>
    <row r="2257" spans="3:28">
      <c r="C2257" s="1461" t="s">
        <v>6039</v>
      </c>
      <c r="D2257" s="1458">
        <v>0</v>
      </c>
      <c r="E2257" s="1458">
        <v>0</v>
      </c>
      <c r="F2257" s="1459">
        <v>0</v>
      </c>
      <c r="G2257" s="1470" t="s">
        <v>6039</v>
      </c>
      <c r="H2257" s="1456">
        <v>0</v>
      </c>
      <c r="I2257" s="1456">
        <v>0</v>
      </c>
      <c r="J2257" s="1471">
        <v>0</v>
      </c>
      <c r="K2257" s="1460"/>
      <c r="L2257" s="1454">
        <v>13313001100</v>
      </c>
      <c r="M2257" s="1455">
        <v>0</v>
      </c>
      <c r="N2257" s="1455">
        <v>0</v>
      </c>
      <c r="O2257" s="1456">
        <v>0</v>
      </c>
      <c r="AA2257"/>
      <c r="AB2257"/>
    </row>
    <row r="2258" spans="3:28">
      <c r="C2258" s="1461" t="s">
        <v>6040</v>
      </c>
      <c r="D2258" s="1458">
        <v>0</v>
      </c>
      <c r="E2258" s="1458">
        <v>0</v>
      </c>
      <c r="F2258" s="1459">
        <v>0</v>
      </c>
      <c r="G2258" s="1470" t="s">
        <v>6040</v>
      </c>
      <c r="H2258" s="1456">
        <v>0</v>
      </c>
      <c r="I2258" s="1456">
        <v>0</v>
      </c>
      <c r="J2258" s="1471">
        <v>0</v>
      </c>
      <c r="K2258" s="1460"/>
      <c r="L2258" s="1454">
        <v>13313001200</v>
      </c>
      <c r="M2258" s="1455">
        <v>0</v>
      </c>
      <c r="N2258" s="1455">
        <v>0</v>
      </c>
      <c r="O2258" s="1456">
        <v>0</v>
      </c>
      <c r="AA2258"/>
      <c r="AB2258"/>
    </row>
    <row r="2259" spans="3:28">
      <c r="C2259" s="1461" t="s">
        <v>6041</v>
      </c>
      <c r="D2259" s="1458">
        <v>0</v>
      </c>
      <c r="E2259" s="1458">
        <v>0</v>
      </c>
      <c r="F2259" s="1459">
        <v>0</v>
      </c>
      <c r="G2259" s="1470" t="s">
        <v>6041</v>
      </c>
      <c r="H2259" s="1456">
        <v>0</v>
      </c>
      <c r="I2259" s="1456">
        <v>0</v>
      </c>
      <c r="J2259" s="1471">
        <v>0</v>
      </c>
      <c r="K2259" s="1460"/>
      <c r="L2259" s="1454">
        <v>13313001300</v>
      </c>
      <c r="M2259" s="1455">
        <v>0</v>
      </c>
      <c r="N2259" s="1455">
        <v>0</v>
      </c>
      <c r="O2259" s="1456">
        <v>0</v>
      </c>
      <c r="AA2259"/>
      <c r="AB2259"/>
    </row>
    <row r="2260" spans="3:28">
      <c r="C2260" s="1461" t="s">
        <v>6042</v>
      </c>
      <c r="D2260" s="1458">
        <v>0</v>
      </c>
      <c r="E2260" s="1458">
        <v>0</v>
      </c>
      <c r="F2260" s="1459">
        <v>0</v>
      </c>
      <c r="G2260" s="1470" t="s">
        <v>6042</v>
      </c>
      <c r="H2260" s="1456">
        <v>0</v>
      </c>
      <c r="I2260" s="1456">
        <v>0</v>
      </c>
      <c r="J2260" s="1471">
        <v>0</v>
      </c>
      <c r="K2260" s="1460"/>
      <c r="L2260" s="1454">
        <v>13313001400</v>
      </c>
      <c r="M2260" s="1455">
        <v>0</v>
      </c>
      <c r="N2260" s="1455">
        <v>0</v>
      </c>
      <c r="O2260" s="1456">
        <v>0</v>
      </c>
      <c r="AA2260"/>
      <c r="AB2260"/>
    </row>
    <row r="2261" spans="3:28">
      <c r="C2261" s="1461" t="s">
        <v>6043</v>
      </c>
      <c r="D2261" s="1458">
        <v>1</v>
      </c>
      <c r="E2261" s="1458">
        <v>0</v>
      </c>
      <c r="F2261" s="1459">
        <v>1</v>
      </c>
      <c r="G2261" s="1470" t="s">
        <v>6043</v>
      </c>
      <c r="H2261" s="1456">
        <v>0</v>
      </c>
      <c r="I2261" s="1456">
        <v>0</v>
      </c>
      <c r="J2261" s="1471">
        <v>0</v>
      </c>
      <c r="K2261" s="1460"/>
      <c r="L2261" s="1454">
        <v>13313001500</v>
      </c>
      <c r="M2261" s="1455">
        <v>1</v>
      </c>
      <c r="N2261" s="1455">
        <v>0</v>
      </c>
      <c r="O2261" s="1456">
        <v>1</v>
      </c>
      <c r="AA2261"/>
      <c r="AB2261"/>
    </row>
    <row r="2262" spans="3:28">
      <c r="C2262" s="1461" t="s">
        <v>6044</v>
      </c>
      <c r="D2262" s="1458">
        <v>0</v>
      </c>
      <c r="E2262" s="1458">
        <v>0</v>
      </c>
      <c r="F2262" s="1459">
        <v>0</v>
      </c>
      <c r="G2262" s="1470" t="s">
        <v>6044</v>
      </c>
      <c r="H2262" s="1456">
        <v>0</v>
      </c>
      <c r="I2262" s="1456">
        <v>0</v>
      </c>
      <c r="J2262" s="1471">
        <v>0</v>
      </c>
      <c r="K2262" s="1460"/>
      <c r="L2262" s="1454">
        <v>13315960100</v>
      </c>
      <c r="M2262" s="1455">
        <v>0</v>
      </c>
      <c r="N2262" s="1455">
        <v>0</v>
      </c>
      <c r="O2262" s="1456">
        <v>0</v>
      </c>
      <c r="AA2262"/>
      <c r="AB2262"/>
    </row>
    <row r="2263" spans="3:28">
      <c r="C2263" s="1461" t="s">
        <v>6045</v>
      </c>
      <c r="D2263" s="1458">
        <v>0</v>
      </c>
      <c r="E2263" s="1458">
        <v>0</v>
      </c>
      <c r="F2263" s="1459">
        <v>0</v>
      </c>
      <c r="G2263" s="1470" t="s">
        <v>6045</v>
      </c>
      <c r="H2263" s="1456">
        <v>0</v>
      </c>
      <c r="I2263" s="1456">
        <v>0</v>
      </c>
      <c r="J2263" s="1471">
        <v>0</v>
      </c>
      <c r="K2263" s="1460"/>
      <c r="L2263" s="1454">
        <v>13315960200</v>
      </c>
      <c r="M2263" s="1455">
        <v>0</v>
      </c>
      <c r="N2263" s="1455">
        <v>0</v>
      </c>
      <c r="O2263" s="1456">
        <v>0</v>
      </c>
      <c r="AA2263"/>
      <c r="AB2263"/>
    </row>
    <row r="2264" spans="3:28">
      <c r="C2264" s="1461" t="s">
        <v>6046</v>
      </c>
      <c r="D2264" s="1458">
        <v>0</v>
      </c>
      <c r="E2264" s="1458">
        <v>0</v>
      </c>
      <c r="F2264" s="1459">
        <v>0</v>
      </c>
      <c r="G2264" s="1470" t="s">
        <v>6046</v>
      </c>
      <c r="H2264" s="1456">
        <v>0</v>
      </c>
      <c r="I2264" s="1456">
        <v>0</v>
      </c>
      <c r="J2264" s="1471">
        <v>0</v>
      </c>
      <c r="K2264" s="1460"/>
      <c r="L2264" s="1454">
        <v>13315960300</v>
      </c>
      <c r="M2264" s="1455">
        <v>0</v>
      </c>
      <c r="N2264" s="1455">
        <v>0</v>
      </c>
      <c r="O2264" s="1456">
        <v>0</v>
      </c>
      <c r="AA2264"/>
      <c r="AB2264"/>
    </row>
    <row r="2265" spans="3:28">
      <c r="C2265" s="1461" t="s">
        <v>6047</v>
      </c>
      <c r="D2265" s="1458">
        <v>0</v>
      </c>
      <c r="E2265" s="1458">
        <v>0</v>
      </c>
      <c r="F2265" s="1459">
        <v>0</v>
      </c>
      <c r="G2265" s="1470" t="s">
        <v>6047</v>
      </c>
      <c r="H2265" s="1456">
        <v>0</v>
      </c>
      <c r="I2265" s="1456">
        <v>0</v>
      </c>
      <c r="J2265" s="1471">
        <v>0</v>
      </c>
      <c r="K2265" s="1460"/>
      <c r="L2265" s="1454">
        <v>13315960400</v>
      </c>
      <c r="M2265" s="1455">
        <v>0</v>
      </c>
      <c r="N2265" s="1455">
        <v>0</v>
      </c>
      <c r="O2265" s="1456">
        <v>0</v>
      </c>
      <c r="AA2265"/>
      <c r="AB2265"/>
    </row>
    <row r="2266" spans="3:28">
      <c r="C2266" s="1461" t="s">
        <v>6048</v>
      </c>
      <c r="D2266" s="1458">
        <v>0</v>
      </c>
      <c r="E2266" s="1458">
        <v>0</v>
      </c>
      <c r="F2266" s="1459">
        <v>0</v>
      </c>
      <c r="G2266" s="1470" t="s">
        <v>6048</v>
      </c>
      <c r="H2266" s="1456">
        <v>0</v>
      </c>
      <c r="I2266" s="1456">
        <v>1</v>
      </c>
      <c r="J2266" s="1471">
        <v>1</v>
      </c>
      <c r="K2266" s="1460"/>
      <c r="L2266" s="1454">
        <v>13317010101</v>
      </c>
      <c r="M2266" s="1455">
        <v>0</v>
      </c>
      <c r="N2266" s="1455">
        <v>1</v>
      </c>
      <c r="O2266" s="1456">
        <v>1</v>
      </c>
      <c r="AA2266"/>
      <c r="AB2266"/>
    </row>
    <row r="2267" spans="3:28">
      <c r="C2267" s="1461" t="s">
        <v>6049</v>
      </c>
      <c r="D2267" s="1458">
        <v>0</v>
      </c>
      <c r="E2267" s="1458">
        <v>0</v>
      </c>
      <c r="F2267" s="1459">
        <v>0</v>
      </c>
      <c r="G2267" s="1470" t="s">
        <v>6049</v>
      </c>
      <c r="H2267" s="1456">
        <v>0</v>
      </c>
      <c r="I2267" s="1456">
        <v>0</v>
      </c>
      <c r="J2267" s="1471">
        <v>0</v>
      </c>
      <c r="K2267" s="1460"/>
      <c r="L2267" s="1454">
        <v>13317010102</v>
      </c>
      <c r="M2267" s="1455">
        <v>0</v>
      </c>
      <c r="N2267" s="1455">
        <v>0</v>
      </c>
      <c r="O2267" s="1456">
        <v>0</v>
      </c>
      <c r="AA2267"/>
      <c r="AB2267"/>
    </row>
    <row r="2268" spans="3:28">
      <c r="C2268" s="1461" t="s">
        <v>6050</v>
      </c>
      <c r="D2268" s="1458">
        <v>1</v>
      </c>
      <c r="E2268" s="1458">
        <v>0</v>
      </c>
      <c r="F2268" s="1459">
        <v>1</v>
      </c>
      <c r="G2268" s="1470" t="s">
        <v>6050</v>
      </c>
      <c r="H2268" s="1456">
        <v>0</v>
      </c>
      <c r="I2268" s="1456">
        <v>0</v>
      </c>
      <c r="J2268" s="1471">
        <v>0</v>
      </c>
      <c r="K2268" s="1460"/>
      <c r="L2268" s="1454">
        <v>13317010301</v>
      </c>
      <c r="M2268" s="1455">
        <v>1</v>
      </c>
      <c r="N2268" s="1455">
        <v>0</v>
      </c>
      <c r="O2268" s="1456">
        <v>1</v>
      </c>
      <c r="AA2268"/>
      <c r="AB2268"/>
    </row>
    <row r="2269" spans="3:28">
      <c r="C2269" s="1461" t="s">
        <v>6051</v>
      </c>
      <c r="D2269" s="1458">
        <v>0</v>
      </c>
      <c r="E2269" s="1458">
        <v>0</v>
      </c>
      <c r="F2269" s="1459">
        <v>0</v>
      </c>
      <c r="G2269" s="1470" t="s">
        <v>6051</v>
      </c>
      <c r="H2269" s="1456">
        <v>0</v>
      </c>
      <c r="I2269" s="1456">
        <v>0</v>
      </c>
      <c r="J2269" s="1471">
        <v>0</v>
      </c>
      <c r="K2269" s="1460"/>
      <c r="L2269" s="1454">
        <v>13317010302</v>
      </c>
      <c r="M2269" s="1455">
        <v>0</v>
      </c>
      <c r="N2269" s="1455">
        <v>0</v>
      </c>
      <c r="O2269" s="1456">
        <v>0</v>
      </c>
      <c r="AA2269"/>
      <c r="AB2269"/>
    </row>
    <row r="2270" spans="3:28">
      <c r="C2270" s="1461" t="s">
        <v>6052</v>
      </c>
      <c r="D2270" s="1458">
        <v>0</v>
      </c>
      <c r="E2270" s="1458">
        <v>0</v>
      </c>
      <c r="F2270" s="1459">
        <v>0</v>
      </c>
      <c r="G2270" s="1470" t="s">
        <v>6052</v>
      </c>
      <c r="H2270" s="1456">
        <v>0</v>
      </c>
      <c r="I2270" s="1456">
        <v>0</v>
      </c>
      <c r="J2270" s="1471">
        <v>0</v>
      </c>
      <c r="K2270" s="1460"/>
      <c r="L2270" s="1454">
        <v>13319960200</v>
      </c>
      <c r="M2270" s="1455">
        <v>0</v>
      </c>
      <c r="N2270" s="1455">
        <v>0</v>
      </c>
      <c r="O2270" s="1456">
        <v>0</v>
      </c>
      <c r="AA2270"/>
      <c r="AB2270"/>
    </row>
    <row r="2271" spans="3:28">
      <c r="C2271" s="1461" t="s">
        <v>6053</v>
      </c>
      <c r="D2271" s="1458">
        <v>0</v>
      </c>
      <c r="E2271" s="1458">
        <v>0</v>
      </c>
      <c r="F2271" s="1459">
        <v>0</v>
      </c>
      <c r="G2271" s="1470" t="s">
        <v>6053</v>
      </c>
      <c r="H2271" s="1456">
        <v>0</v>
      </c>
      <c r="I2271" s="1456">
        <v>1</v>
      </c>
      <c r="J2271" s="1471">
        <v>1</v>
      </c>
      <c r="K2271" s="1460"/>
      <c r="L2271" s="1454">
        <v>13319960300</v>
      </c>
      <c r="M2271" s="1455">
        <v>0</v>
      </c>
      <c r="N2271" s="1455">
        <v>1</v>
      </c>
      <c r="O2271" s="1456">
        <v>1</v>
      </c>
      <c r="AA2271"/>
      <c r="AB2271"/>
    </row>
    <row r="2272" spans="3:28">
      <c r="C2272" s="1461" t="s">
        <v>6054</v>
      </c>
      <c r="D2272" s="1458">
        <v>0</v>
      </c>
      <c r="E2272" s="1458">
        <v>0</v>
      </c>
      <c r="F2272" s="1459">
        <v>0</v>
      </c>
      <c r="G2272" s="1470" t="s">
        <v>6054</v>
      </c>
      <c r="H2272" s="1456">
        <v>0</v>
      </c>
      <c r="I2272" s="1456">
        <v>0</v>
      </c>
      <c r="J2272" s="1471">
        <v>0</v>
      </c>
      <c r="K2272" s="1460"/>
      <c r="L2272" s="1454">
        <v>13319960400</v>
      </c>
      <c r="M2272" s="1455">
        <v>0</v>
      </c>
      <c r="N2272" s="1455">
        <v>0</v>
      </c>
      <c r="O2272" s="1456">
        <v>0</v>
      </c>
      <c r="AA2272"/>
      <c r="AB2272"/>
    </row>
    <row r="2273" spans="3:28">
      <c r="C2273" s="1461" t="s">
        <v>6055</v>
      </c>
      <c r="D2273" s="1458">
        <v>0</v>
      </c>
      <c r="E2273" s="1458">
        <v>0</v>
      </c>
      <c r="F2273" s="1459">
        <v>0</v>
      </c>
      <c r="G2273" s="1470" t="s">
        <v>6055</v>
      </c>
      <c r="H2273" s="1456">
        <v>0</v>
      </c>
      <c r="I2273" s="1456">
        <v>0</v>
      </c>
      <c r="J2273" s="1471">
        <v>0</v>
      </c>
      <c r="K2273" s="1460"/>
      <c r="L2273" s="1454">
        <v>13321950100</v>
      </c>
      <c r="M2273" s="1455">
        <v>0</v>
      </c>
      <c r="N2273" s="1455">
        <v>0</v>
      </c>
      <c r="O2273" s="1456">
        <v>0</v>
      </c>
      <c r="AA2273"/>
      <c r="AB2273"/>
    </row>
    <row r="2274" spans="3:28">
      <c r="C2274" s="1461" t="s">
        <v>6056</v>
      </c>
      <c r="D2274" s="1458">
        <v>0</v>
      </c>
      <c r="E2274" s="1458">
        <v>0</v>
      </c>
      <c r="F2274" s="1459">
        <v>0</v>
      </c>
      <c r="G2274" s="1470" t="s">
        <v>6056</v>
      </c>
      <c r="H2274" s="1456">
        <v>0</v>
      </c>
      <c r="I2274" s="1456">
        <v>0</v>
      </c>
      <c r="J2274" s="1471">
        <v>0</v>
      </c>
      <c r="K2274" s="1460"/>
      <c r="L2274" s="1454">
        <v>13321950200</v>
      </c>
      <c r="M2274" s="1455">
        <v>0</v>
      </c>
      <c r="N2274" s="1455">
        <v>0</v>
      </c>
      <c r="O2274" s="1456">
        <v>0</v>
      </c>
      <c r="AA2274"/>
      <c r="AB2274"/>
    </row>
    <row r="2275" spans="3:28">
      <c r="C2275" s="1461" t="s">
        <v>6057</v>
      </c>
      <c r="D2275" s="1458">
        <v>0</v>
      </c>
      <c r="E2275" s="1458">
        <v>0</v>
      </c>
      <c r="F2275" s="1459">
        <v>0</v>
      </c>
      <c r="G2275" s="1470" t="s">
        <v>6057</v>
      </c>
      <c r="H2275" s="1456">
        <v>0</v>
      </c>
      <c r="I2275" s="1456">
        <v>0</v>
      </c>
      <c r="J2275" s="1471">
        <v>0</v>
      </c>
      <c r="K2275" s="1460"/>
      <c r="L2275" s="1454">
        <v>13321950400</v>
      </c>
      <c r="M2275" s="1455">
        <v>0</v>
      </c>
      <c r="N2275" s="1455">
        <v>0</v>
      </c>
      <c r="O2275" s="1456">
        <v>0</v>
      </c>
      <c r="AA2275"/>
      <c r="AB2275"/>
    </row>
    <row r="2276" spans="3:28">
      <c r="C2276" s="1461" t="s">
        <v>6058</v>
      </c>
      <c r="D2276" s="1458">
        <v>0</v>
      </c>
      <c r="E2276" s="1458">
        <v>0</v>
      </c>
      <c r="F2276" s="1459">
        <v>0</v>
      </c>
      <c r="G2276" s="1470" t="s">
        <v>6058</v>
      </c>
      <c r="H2276" s="1456">
        <v>0</v>
      </c>
      <c r="I2276" s="1456">
        <v>0</v>
      </c>
      <c r="J2276" s="1471">
        <v>0</v>
      </c>
      <c r="K2276" s="1460"/>
      <c r="L2276" s="1454">
        <v>13321950500</v>
      </c>
      <c r="M2276" s="1455">
        <v>0</v>
      </c>
      <c r="N2276" s="1455">
        <v>0</v>
      </c>
      <c r="O2276" s="1456">
        <v>0</v>
      </c>
      <c r="AA2276"/>
      <c r="AB2276"/>
    </row>
    <row r="2277" spans="3:28">
      <c r="C2277" s="1462" t="s">
        <v>6059</v>
      </c>
      <c r="D2277" s="1463">
        <v>0</v>
      </c>
      <c r="E2277" s="1463">
        <v>0</v>
      </c>
      <c r="F2277" s="1464">
        <v>0</v>
      </c>
      <c r="G2277" s="1472" t="s">
        <v>6059</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09375" defaultRowHeight="13.2"/>
  <cols>
    <col min="1" max="8" width="9.33203125" style="357" bestFit="1" customWidth="1"/>
    <col min="9" max="9" width="14.33203125" style="357" bestFit="1" customWidth="1"/>
    <col min="10" max="17" width="9.33203125" style="357" bestFit="1" customWidth="1"/>
    <col min="18" max="18" width="9.109375" style="357"/>
    <col min="19" max="21" width="9.33203125" style="357" bestFit="1" customWidth="1"/>
    <col min="22" max="22" width="9.88671875" style="357" bestFit="1" customWidth="1"/>
    <col min="23" max="23" width="9.33203125" style="357" bestFit="1" customWidth="1"/>
    <col min="24" max="24" width="11.33203125" style="357" bestFit="1" customWidth="1"/>
    <col min="25" max="359" width="9.33203125" style="357" bestFit="1" customWidth="1"/>
    <col min="360" max="16384" width="9.109375" style="357"/>
  </cols>
  <sheetData>
    <row r="1" spans="1:26" ht="13.8">
      <c r="A1" s="2536" t="str">
        <f>CONCATENATE("PART ONE - PROJECT INFORMATION"," - ",$O$7," ",$F$25,", ",'Part I-Project Identification'!F25,", ",'Part I-Project Identification'!J25," County")</f>
        <v>PART ONE - PROJECT INFORMATION -  Washington, Brightwood Lane Apartments,  County</v>
      </c>
      <c r="B1" s="2536"/>
      <c r="C1" s="2536"/>
      <c r="D1" s="2536"/>
      <c r="E1" s="2536"/>
      <c r="F1" s="2536"/>
      <c r="G1" s="2536"/>
      <c r="H1" s="2536"/>
      <c r="I1" s="2536"/>
      <c r="J1" s="2536"/>
      <c r="K1" s="2536"/>
      <c r="L1" s="2536"/>
      <c r="M1" s="2536"/>
      <c r="N1" s="2536"/>
      <c r="O1" s="2536"/>
      <c r="P1" s="2536"/>
    </row>
    <row r="2" spans="1:26" ht="13.8">
      <c r="A2" s="2537"/>
      <c r="B2" s="2537"/>
      <c r="C2" s="2537"/>
      <c r="D2" s="2537"/>
      <c r="E2" s="2537"/>
      <c r="F2" s="2537"/>
      <c r="G2" s="2537"/>
      <c r="H2" s="2537"/>
      <c r="I2" s="2537"/>
      <c r="J2" s="2537"/>
      <c r="K2" s="2537"/>
      <c r="L2" s="2537"/>
      <c r="M2" s="2537"/>
      <c r="N2" s="2537"/>
      <c r="O2" s="2537"/>
      <c r="P2" s="2537"/>
    </row>
    <row r="3" spans="1:26" ht="12.75" customHeight="1">
      <c r="A3" s="2538" t="s">
        <v>6949</v>
      </c>
      <c r="B3" s="2538"/>
      <c r="C3" s="2538"/>
      <c r="D3" s="2538"/>
      <c r="E3" s="2538"/>
      <c r="F3" s="2538"/>
      <c r="G3" s="2538"/>
      <c r="H3" s="2538"/>
      <c r="I3" s="2538"/>
      <c r="J3" s="2538"/>
      <c r="K3" s="2538"/>
      <c r="L3" s="2538"/>
      <c r="M3" s="2538"/>
      <c r="N3" s="2538"/>
      <c r="O3" s="2538"/>
      <c r="P3" s="2538"/>
    </row>
    <row r="4" spans="1:26" ht="13.8">
      <c r="A4" s="2537"/>
      <c r="B4" s="2537"/>
      <c r="C4" s="2537"/>
      <c r="D4" s="2537"/>
      <c r="E4" s="2537"/>
      <c r="F4" s="2537"/>
      <c r="G4" s="2537"/>
      <c r="H4" s="2537"/>
      <c r="I4" s="2537"/>
      <c r="J4" s="2537"/>
      <c r="K4" s="2537"/>
      <c r="L4" s="2537"/>
      <c r="M4" s="2537"/>
      <c r="N4" s="2537"/>
      <c r="O4" s="2537"/>
      <c r="P4" s="2537"/>
    </row>
    <row r="5" spans="1:26" ht="14.25" customHeight="1">
      <c r="A5" s="2539" t="str">
        <f>'Part I-Project Identification'!A6</f>
        <v>Sept 2023</v>
      </c>
      <c r="B5" s="2540"/>
      <c r="C5" s="2540"/>
      <c r="D5" s="2540"/>
      <c r="E5" s="1819"/>
      <c r="F5" s="2537"/>
      <c r="G5" s="2541" t="s">
        <v>6950</v>
      </c>
      <c r="H5" s="1819"/>
      <c r="I5" s="1819"/>
      <c r="J5" s="1819"/>
      <c r="K5" s="1819"/>
      <c r="L5" s="2537"/>
      <c r="M5" s="1819"/>
      <c r="N5" s="1819"/>
      <c r="O5" s="1819"/>
      <c r="P5" s="2542" t="s">
        <v>3290</v>
      </c>
    </row>
    <row r="6" spans="1:26" ht="14.25" customHeight="1">
      <c r="A6" s="2540"/>
      <c r="B6" s="2540"/>
      <c r="C6" s="2540"/>
      <c r="D6" s="2540"/>
      <c r="E6" s="2543"/>
      <c r="F6" s="2537"/>
      <c r="G6" s="2541" t="s">
        <v>6951</v>
      </c>
      <c r="H6" s="1622"/>
      <c r="I6" s="1622"/>
      <c r="J6" s="1622"/>
      <c r="K6" s="1819"/>
      <c r="L6" s="1819"/>
      <c r="M6" s="1819"/>
      <c r="N6" s="1819"/>
      <c r="O6" s="2536" t="str">
        <f>'Part I-Project Identification'!O7</f>
        <v>2023-5</v>
      </c>
      <c r="P6" s="2536"/>
    </row>
    <row r="7" spans="1:26" ht="12.75" customHeight="1">
      <c r="A7" s="2540"/>
      <c r="B7" s="2540"/>
      <c r="C7" s="2540"/>
      <c r="D7" s="2540"/>
      <c r="E7" s="2543"/>
      <c r="F7" s="2536"/>
      <c r="G7" s="2544" t="s">
        <v>2959</v>
      </c>
      <c r="H7" s="1622"/>
      <c r="I7" s="1622"/>
      <c r="J7" s="1622"/>
      <c r="K7" s="1819"/>
      <c r="L7" s="1819"/>
      <c r="M7" s="1819"/>
      <c r="N7" s="1819"/>
      <c r="O7" s="1819"/>
      <c r="P7" s="1819"/>
    </row>
    <row r="8" spans="1:26" ht="13.8">
      <c r="A8" s="2537"/>
      <c r="B8" s="1819"/>
      <c r="C8" s="1819"/>
      <c r="D8" s="1819"/>
      <c r="E8" s="1622"/>
      <c r="F8" s="1819"/>
      <c r="G8" s="1819"/>
      <c r="H8" s="1622"/>
      <c r="I8" s="1622"/>
      <c r="J8" s="1819"/>
      <c r="K8" s="1819"/>
      <c r="L8" s="1819"/>
      <c r="M8" s="1622"/>
      <c r="N8" s="1819"/>
      <c r="O8" s="1819"/>
      <c r="P8" s="1819"/>
    </row>
    <row r="9" spans="1:26" ht="13.8">
      <c r="A9" s="2536" t="s">
        <v>573</v>
      </c>
      <c r="B9" s="2536" t="s">
        <v>2192</v>
      </c>
      <c r="C9" s="1819"/>
      <c r="D9" s="378"/>
      <c r="E9" s="1622"/>
      <c r="F9" s="2545" t="s">
        <v>3267</v>
      </c>
      <c r="G9" s="1819"/>
      <c r="H9" s="1819"/>
      <c r="I9" s="2465">
        <f>'Part III-A-Uses of Funds'!$J$191</f>
        <v>206805</v>
      </c>
      <c r="J9" s="2465"/>
      <c r="K9" s="1819"/>
      <c r="L9" s="1819" t="s">
        <v>3268</v>
      </c>
      <c r="M9" s="1819"/>
      <c r="N9" s="1819"/>
      <c r="O9" s="2466">
        <f>'Part II-Sources of Funds'!$I$6</f>
        <v>0</v>
      </c>
      <c r="P9" s="2466"/>
    </row>
    <row r="10" spans="1:26" ht="13.8">
      <c r="A10" s="2536"/>
      <c r="B10" s="2536"/>
      <c r="C10" s="1819"/>
      <c r="D10" s="378"/>
      <c r="E10" s="1622"/>
      <c r="F10" s="1622"/>
      <c r="G10" s="1819"/>
      <c r="H10" s="1819"/>
      <c r="I10" s="2546"/>
      <c r="J10" s="1819"/>
      <c r="K10" s="1819"/>
      <c r="L10" s="1819"/>
      <c r="M10" s="1819"/>
      <c r="N10" s="2547"/>
      <c r="O10" s="1819"/>
      <c r="P10" s="1819"/>
    </row>
    <row r="11" spans="1:26" ht="13.8">
      <c r="A11" s="2546" t="s">
        <v>689</v>
      </c>
      <c r="B11" s="2536" t="s">
        <v>1891</v>
      </c>
      <c r="C11" s="1819"/>
      <c r="D11" s="1819"/>
      <c r="E11" s="1819"/>
      <c r="F11" s="2548" t="str">
        <f>'Part I-Project Identification'!F12</f>
        <v>4% Credit/TE Bond</v>
      </c>
      <c r="G11" s="2548"/>
      <c r="H11" s="2548"/>
      <c r="I11" s="2549" t="s">
        <v>6952</v>
      </c>
      <c r="J11" s="2536" t="s">
        <v>6953</v>
      </c>
      <c r="K11" s="2536"/>
      <c r="L11" s="1622"/>
      <c r="M11" s="1819"/>
      <c r="N11" s="1819"/>
      <c r="O11" s="1819" t="str">
        <f>'Part I-Project Identification'!O12</f>
        <v>2023PA-###</v>
      </c>
      <c r="P11" s="1819"/>
    </row>
    <row r="12" spans="1:26" ht="13.8">
      <c r="A12" s="2537"/>
      <c r="B12" s="378"/>
      <c r="C12" s="378"/>
      <c r="D12" s="378"/>
      <c r="E12" s="378"/>
      <c r="F12" s="1819"/>
      <c r="G12" s="1819"/>
      <c r="H12" s="1622"/>
      <c r="I12" s="1819"/>
      <c r="J12" s="2545"/>
      <c r="K12" s="2546"/>
      <c r="L12" s="1819"/>
      <c r="M12" s="1622"/>
      <c r="N12" s="1819"/>
      <c r="O12" s="1819"/>
      <c r="P12" s="1819"/>
    </row>
    <row r="13" spans="1:26" ht="13.8">
      <c r="A13" s="2546" t="s">
        <v>691</v>
      </c>
      <c r="B13" s="2536" t="s">
        <v>3673</v>
      </c>
      <c r="C13" s="1819"/>
      <c r="D13" s="2545"/>
      <c r="E13" s="1622"/>
      <c r="F13" s="1819"/>
      <c r="G13" s="1622"/>
      <c r="H13" s="1622"/>
      <c r="I13" s="1622"/>
      <c r="J13" s="1819"/>
      <c r="K13" s="1819"/>
      <c r="L13" s="2547"/>
      <c r="M13" s="1819"/>
      <c r="N13" s="1819"/>
      <c r="O13" s="1819"/>
      <c r="P13" s="1819"/>
    </row>
    <row r="14" spans="1:26" ht="13.8">
      <c r="A14" s="1819"/>
      <c r="B14" s="1819" t="s">
        <v>3296</v>
      </c>
      <c r="C14" s="1819"/>
      <c r="D14" s="1819"/>
      <c r="E14" s="1819"/>
      <c r="F14" s="1819" t="str">
        <f>'Part I-Project Identification'!F15</f>
        <v>CAHEC Properties Corporation</v>
      </c>
      <c r="G14" s="1819"/>
      <c r="H14" s="1819"/>
      <c r="I14" s="1819" t="s">
        <v>1670</v>
      </c>
      <c r="J14" s="1819" t="str">
        <f>'Part I-Project Identification'!J15</f>
        <v>George Baker</v>
      </c>
      <c r="K14" s="1819"/>
      <c r="L14" s="1819"/>
      <c r="M14" s="2545" t="s">
        <v>1839</v>
      </c>
      <c r="N14" s="1819" t="str">
        <f>'Part I-Project Identification'!N15</f>
        <v>Vice President</v>
      </c>
      <c r="O14" s="1819"/>
      <c r="P14" s="1819"/>
    </row>
    <row r="15" spans="1:26" s="1819" customFormat="1" ht="12.75" customHeight="1">
      <c r="B15" s="2545" t="s">
        <v>1599</v>
      </c>
      <c r="F15" s="2550">
        <f>'Part I-Project Identification'!F16</f>
        <v>8034196528</v>
      </c>
      <c r="G15" s="2550"/>
      <c r="H15" s="2550"/>
      <c r="I15" s="2545" t="s">
        <v>1598</v>
      </c>
      <c r="J15" s="2551">
        <f>'Part I-Project Identification'!J16</f>
        <v>0</v>
      </c>
      <c r="M15" s="2545" t="s">
        <v>1600</v>
      </c>
      <c r="N15" s="2550">
        <f>'Part I-Project Identification'!N16</f>
        <v>0</v>
      </c>
      <c r="O15" s="2550"/>
      <c r="P15" s="2550"/>
      <c r="Q15" s="357"/>
      <c r="R15" s="357"/>
      <c r="S15" s="357"/>
      <c r="V15" s="2552"/>
      <c r="W15" s="2552"/>
      <c r="X15" s="2552"/>
      <c r="Z15" s="1622">
        <v>18</v>
      </c>
    </row>
    <row r="16" spans="1:26" s="1819" customFormat="1" ht="13.8">
      <c r="B16" s="2545" t="s">
        <v>1842</v>
      </c>
      <c r="F16" s="2553" t="str">
        <f>'Part I-Project Identification'!F17</f>
        <v>gbaker@cahec.com</v>
      </c>
      <c r="G16" s="2553"/>
      <c r="H16" s="2553"/>
      <c r="I16" s="2553"/>
      <c r="J16" s="2553"/>
      <c r="K16" s="2553"/>
      <c r="L16" s="2553"/>
      <c r="M16" s="2545" t="s">
        <v>1838</v>
      </c>
      <c r="N16" s="2550">
        <f>'Part I-Project Identification'!N17</f>
        <v>9193488695</v>
      </c>
      <c r="O16" s="2550"/>
      <c r="P16" s="2550"/>
      <c r="Q16" s="357"/>
      <c r="R16" s="357"/>
      <c r="S16" s="357"/>
      <c r="U16" s="2552"/>
      <c r="V16" s="2552"/>
      <c r="W16" s="2552"/>
      <c r="X16" s="2552"/>
      <c r="Z16" s="1622">
        <v>19</v>
      </c>
    </row>
    <row r="17" spans="1:26" ht="13.8">
      <c r="A17" s="2537"/>
      <c r="B17" s="2536" t="s">
        <v>3672</v>
      </c>
      <c r="C17" s="378"/>
      <c r="D17" s="1819"/>
      <c r="E17" s="1819"/>
      <c r="F17" s="1819"/>
      <c r="G17" s="1819"/>
      <c r="H17" s="1622"/>
      <c r="I17" s="1819"/>
      <c r="J17" s="378"/>
      <c r="K17" s="1819"/>
      <c r="L17" s="1819"/>
      <c r="M17" s="1819"/>
      <c r="N17" s="1819"/>
      <c r="O17" s="1819"/>
      <c r="P17" s="1622"/>
    </row>
    <row r="18" spans="1:26" ht="13.8">
      <c r="A18" s="1819"/>
      <c r="B18" s="1819" t="s">
        <v>3296</v>
      </c>
      <c r="C18" s="1819"/>
      <c r="D18" s="1819"/>
      <c r="E18" s="1819"/>
      <c r="F18" s="1819" t="str">
        <f>'Part I-Project Identification'!F19</f>
        <v>CAHEC Properties Corporation</v>
      </c>
      <c r="G18" s="1819"/>
      <c r="H18" s="1819"/>
      <c r="I18" s="1819" t="s">
        <v>1670</v>
      </c>
      <c r="J18" s="1819" t="str">
        <f>'Part I-Project Identification'!J19</f>
        <v>Andrea Wolford</v>
      </c>
      <c r="K18" s="1819"/>
      <c r="L18" s="1819"/>
      <c r="M18" s="2545" t="s">
        <v>1839</v>
      </c>
      <c r="N18" s="1819" t="str">
        <f>'Part I-Project Identification'!N19</f>
        <v>Manager, Development</v>
      </c>
      <c r="O18" s="1819"/>
      <c r="P18" s="1819"/>
    </row>
    <row r="19" spans="1:26" s="1819" customFormat="1" ht="12.75" customHeight="1">
      <c r="B19" s="2545" t="s">
        <v>1599</v>
      </c>
      <c r="F19" s="2550">
        <f>'Part I-Project Identification'!F20</f>
        <v>8034196528</v>
      </c>
      <c r="G19" s="2550"/>
      <c r="H19" s="2550"/>
      <c r="I19" s="2545" t="s">
        <v>1598</v>
      </c>
      <c r="J19" s="2551">
        <f>'Part I-Project Identification'!J20</f>
        <v>0</v>
      </c>
      <c r="M19" s="2545" t="s">
        <v>1600</v>
      </c>
      <c r="N19" s="2550">
        <f>'Part I-Project Identification'!N20</f>
        <v>0</v>
      </c>
      <c r="O19" s="2550"/>
      <c r="P19" s="2550"/>
      <c r="Q19" s="357"/>
      <c r="R19" s="357"/>
      <c r="S19" s="357"/>
      <c r="V19" s="2552"/>
      <c r="W19" s="2552"/>
      <c r="X19" s="2552"/>
      <c r="Z19" s="1622">
        <v>18</v>
      </c>
    </row>
    <row r="20" spans="1:26" s="1819" customFormat="1" ht="13.8">
      <c r="B20" s="2545" t="s">
        <v>1842</v>
      </c>
      <c r="F20" s="2553" t="str">
        <f>'Part I-Project Identification'!F21</f>
        <v>awolford@cahecproperties.com</v>
      </c>
      <c r="G20" s="2553"/>
      <c r="H20" s="2553"/>
      <c r="I20" s="2553"/>
      <c r="J20" s="2553"/>
      <c r="K20" s="2553"/>
      <c r="L20" s="2553"/>
      <c r="M20" s="2545" t="s">
        <v>1838</v>
      </c>
      <c r="N20" s="2550">
        <f>'Part I-Project Identification'!N21</f>
        <v>8032405640</v>
      </c>
      <c r="O20" s="2550"/>
      <c r="P20" s="2550"/>
      <c r="Q20" s="357"/>
      <c r="R20" s="357"/>
      <c r="S20" s="357"/>
      <c r="U20" s="2552"/>
      <c r="V20" s="2552"/>
      <c r="W20" s="2552"/>
      <c r="X20" s="2552"/>
      <c r="Z20" s="1622">
        <v>19</v>
      </c>
    </row>
    <row r="21" spans="1:26" ht="13.8">
      <c r="A21" s="1819"/>
      <c r="B21" s="1819"/>
      <c r="C21" s="1819"/>
      <c r="D21" s="1819"/>
      <c r="E21" s="1819"/>
      <c r="F21" s="1819"/>
      <c r="G21" s="1819"/>
      <c r="H21" s="1819"/>
      <c r="I21" s="378"/>
      <c r="J21" s="378"/>
      <c r="K21" s="378"/>
      <c r="L21" s="378"/>
      <c r="M21" s="378"/>
      <c r="N21" s="378"/>
      <c r="O21" s="378"/>
      <c r="P21" s="378"/>
    </row>
    <row r="22" spans="1:26" ht="13.8">
      <c r="A22" s="2546" t="s">
        <v>1666</v>
      </c>
      <c r="B22" s="2536" t="s">
        <v>1381</v>
      </c>
      <c r="C22" s="1819"/>
      <c r="D22" s="378"/>
      <c r="E22" s="1622"/>
      <c r="F22" s="1622"/>
      <c r="G22" s="2545"/>
      <c r="H22" s="1622"/>
      <c r="I22" s="1622"/>
      <c r="J22" s="1622"/>
      <c r="K22" s="1819"/>
      <c r="L22" s="1819"/>
      <c r="M22" s="1819"/>
      <c r="N22" s="1819"/>
      <c r="O22" s="1819"/>
      <c r="P22" s="1819"/>
    </row>
    <row r="23" spans="1:26" ht="13.8">
      <c r="A23" s="2546"/>
      <c r="B23" s="2536"/>
      <c r="C23" s="1819"/>
      <c r="D23" s="378"/>
      <c r="E23" s="1622"/>
      <c r="F23" s="1622"/>
      <c r="G23" s="2545"/>
      <c r="H23" s="1622"/>
      <c r="I23" s="1622"/>
      <c r="J23" s="1622"/>
      <c r="K23" s="1819"/>
      <c r="L23" s="2547"/>
      <c r="M23" s="2547"/>
      <c r="N23" s="1819"/>
      <c r="O23" s="1819"/>
      <c r="P23" s="1819"/>
    </row>
    <row r="24" spans="1:26" ht="13.8">
      <c r="A24" s="2536"/>
      <c r="B24" s="1819" t="s">
        <v>574</v>
      </c>
      <c r="C24" s="1819"/>
      <c r="D24" s="2536"/>
      <c r="E24" s="1819"/>
      <c r="F24" s="1819" t="str">
        <f>'Part I-Project Identification'!F25</f>
        <v>Brightwood Lane Apartments</v>
      </c>
      <c r="G24" s="1819"/>
      <c r="H24" s="1819"/>
      <c r="I24" s="1819"/>
      <c r="J24" s="1819"/>
      <c r="K24" s="1819"/>
      <c r="L24" s="1819"/>
      <c r="M24" s="2545" t="s">
        <v>425</v>
      </c>
      <c r="N24" s="1819"/>
      <c r="O24" s="1819"/>
      <c r="P24" s="2467" t="str">
        <f>'Part I-Project Identification'!P25</f>
        <v>Yes</v>
      </c>
    </row>
    <row r="25" spans="1:26" ht="13.8">
      <c r="A25" s="2537"/>
      <c r="B25" s="1819" t="s">
        <v>575</v>
      </c>
      <c r="C25" s="1819"/>
      <c r="D25" s="1819"/>
      <c r="E25" s="1819"/>
      <c r="F25" s="1819" t="str">
        <f>'Part I-Project Identification'!F26</f>
        <v>Washington</v>
      </c>
      <c r="G25" s="1819"/>
      <c r="H25" s="1819"/>
      <c r="I25" s="2554" t="s">
        <v>576</v>
      </c>
      <c r="J25" s="1819" t="str">
        <f>'Part I-Project Identification'!J26</f>
        <v>Wilkes</v>
      </c>
      <c r="K25" s="1819"/>
      <c r="L25" s="1819"/>
      <c r="M25" s="2545" t="s">
        <v>426</v>
      </c>
      <c r="N25" s="1819"/>
      <c r="O25" s="1819"/>
      <c r="P25" s="2467" t="str">
        <f>'Part I-Project Identification'!P26</f>
        <v>No</v>
      </c>
    </row>
    <row r="26" spans="1:26" ht="13.8">
      <c r="A26" s="2537"/>
      <c r="B26" s="1819" t="s">
        <v>3907</v>
      </c>
      <c r="C26" s="2555"/>
      <c r="D26" s="1681"/>
      <c r="E26" s="1681"/>
      <c r="F26" s="1819" t="str">
        <f>'Part I-Project Identification'!F27</f>
        <v>City Limits</v>
      </c>
      <c r="G26" s="1819"/>
      <c r="H26" s="1819"/>
      <c r="I26" s="1622"/>
      <c r="J26" s="379" t="s">
        <v>6724</v>
      </c>
      <c r="K26" s="1622"/>
      <c r="L26" s="1819"/>
      <c r="M26" s="2545" t="s">
        <v>6667</v>
      </c>
      <c r="N26" s="1819"/>
      <c r="O26" s="2556">
        <f>'Part I-Project Identification'!O27</f>
        <v>3.44</v>
      </c>
      <c r="P26" s="2556"/>
    </row>
    <row r="27" spans="1:26" ht="13.8">
      <c r="A27" s="2537"/>
      <c r="B27" s="1819" t="s">
        <v>1455</v>
      </c>
      <c r="C27" s="1819"/>
      <c r="D27" s="1819"/>
      <c r="E27" s="1819"/>
      <c r="F27" s="2545" t="str">
        <f>'Part I-Project Identification'!F28</f>
        <v>Yes</v>
      </c>
      <c r="G27" s="1819"/>
      <c r="H27" s="1819"/>
      <c r="I27" s="1622"/>
      <c r="J27" s="1622" t="s">
        <v>2499</v>
      </c>
      <c r="K27" s="1622" t="str">
        <f>IF(F27="Yes","Rural","Urban")</f>
        <v>Rural</v>
      </c>
      <c r="L27" s="1819"/>
      <c r="M27" s="2545" t="s">
        <v>2399</v>
      </c>
      <c r="N27" s="2537" t="str">
        <f>'Part I-Project Identification'!N28</f>
        <v>Non-MSA</v>
      </c>
      <c r="O27" s="1819" t="str">
        <f>'Part I-Project Identification'!O28</f>
        <v>Wilkes Co.</v>
      </c>
      <c r="P27" s="1819"/>
    </row>
    <row r="28" spans="1:26" ht="13.8">
      <c r="A28" s="2537"/>
      <c r="B28" s="2537"/>
      <c r="C28" s="2555"/>
      <c r="D28" s="1681"/>
      <c r="E28" s="1681"/>
      <c r="F28" s="1622"/>
      <c r="G28" s="1622"/>
      <c r="H28" s="1622"/>
      <c r="I28" s="1622"/>
      <c r="J28" s="1681"/>
      <c r="K28" s="1622"/>
      <c r="L28" s="1622"/>
      <c r="M28" s="1819"/>
      <c r="N28" s="1819"/>
      <c r="O28" s="1819"/>
      <c r="P28" s="1622"/>
    </row>
    <row r="29" spans="1:26" ht="13.8">
      <c r="A29" s="2546" t="s">
        <v>1668</v>
      </c>
      <c r="B29" s="2546" t="s">
        <v>6654</v>
      </c>
      <c r="C29" s="1819"/>
      <c r="D29" s="377"/>
      <c r="E29" s="377"/>
      <c r="F29" s="377"/>
      <c r="G29" s="1622"/>
      <c r="H29" s="1622"/>
      <c r="I29" s="1622"/>
      <c r="J29" s="1681"/>
      <c r="K29" s="1622"/>
      <c r="L29" s="1622"/>
      <c r="M29" s="1819"/>
      <c r="N29" s="1819"/>
      <c r="O29" s="1819"/>
      <c r="P29" s="2557"/>
    </row>
    <row r="30" spans="1:26" ht="13.8">
      <c r="A30" s="2537"/>
      <c r="B30" s="2537"/>
      <c r="C30" s="1819"/>
      <c r="D30" s="1819"/>
      <c r="E30" s="1819"/>
      <c r="F30" s="1819"/>
      <c r="G30" s="1819"/>
      <c r="H30" s="1819"/>
      <c r="I30" s="1819"/>
      <c r="J30" s="1819"/>
      <c r="K30" s="1819"/>
      <c r="L30" s="1819"/>
      <c r="M30" s="2545"/>
      <c r="N30" s="2558"/>
      <c r="O30" s="2558"/>
      <c r="P30" s="2468"/>
    </row>
    <row r="31" spans="1:26" ht="13.8">
      <c r="A31" s="2537"/>
      <c r="B31" s="2546" t="s">
        <v>6653</v>
      </c>
      <c r="C31" s="1819"/>
      <c r="D31" s="2559"/>
      <c r="E31" s="2559"/>
      <c r="F31" s="2559"/>
      <c r="G31" s="2559"/>
      <c r="H31" s="1622"/>
      <c r="I31" s="1819"/>
      <c r="J31" s="378"/>
      <c r="K31" s="1681"/>
      <c r="L31" s="1819"/>
      <c r="M31" s="1819"/>
      <c r="N31" s="1819"/>
      <c r="O31" s="1819"/>
      <c r="P31" s="1622"/>
    </row>
    <row r="32" spans="1:26" ht="13.8">
      <c r="A32" s="2537"/>
      <c r="B32" s="2537"/>
      <c r="C32" s="2546"/>
      <c r="D32" s="2559"/>
      <c r="E32" s="2559"/>
      <c r="F32" s="2559"/>
      <c r="G32" s="2559"/>
      <c r="H32" s="1622"/>
      <c r="I32" s="1819"/>
      <c r="J32" s="378"/>
      <c r="K32" s="1681"/>
      <c r="L32" s="1819"/>
      <c r="M32" s="1819"/>
      <c r="N32" s="1819"/>
      <c r="O32" s="1819"/>
      <c r="P32" s="1622"/>
    </row>
    <row r="33" spans="1:17" ht="13.8">
      <c r="A33" s="2537"/>
      <c r="B33" s="2537"/>
      <c r="C33" s="1819" t="s">
        <v>1208</v>
      </c>
      <c r="D33" s="2548"/>
      <c r="E33" s="1819"/>
      <c r="F33" s="1819"/>
      <c r="G33" s="1819"/>
      <c r="H33" s="1819"/>
      <c r="I33" s="1681"/>
      <c r="J33" s="1819"/>
      <c r="K33" s="2536"/>
      <c r="L33" s="1819" t="s">
        <v>3086</v>
      </c>
      <c r="M33" s="1819"/>
      <c r="N33" s="1819"/>
      <c r="O33" s="1819"/>
      <c r="P33" s="1681"/>
    </row>
    <row r="34" spans="1:17" ht="13.8">
      <c r="A34" s="2537"/>
      <c r="B34" s="2536"/>
      <c r="C34" s="1819" t="s">
        <v>3933</v>
      </c>
      <c r="D34" s="1819"/>
      <c r="E34" s="1819"/>
      <c r="F34" s="1819"/>
      <c r="G34" s="1819"/>
      <c r="H34" s="1819"/>
      <c r="I34" s="1681"/>
      <c r="J34" s="2554" t="s">
        <v>2483</v>
      </c>
      <c r="K34" s="1819"/>
      <c r="L34" s="1819"/>
      <c r="M34" s="1819"/>
      <c r="N34" s="1819"/>
      <c r="O34" s="2560"/>
      <c r="P34" s="2560"/>
    </row>
    <row r="35" spans="1:17" ht="13.8">
      <c r="A35" s="2537"/>
      <c r="B35" s="2536"/>
      <c r="C35" s="1819" t="s">
        <v>1676</v>
      </c>
      <c r="D35" s="1819"/>
      <c r="E35" s="1819"/>
      <c r="F35" s="1819"/>
      <c r="G35" s="1819"/>
      <c r="H35" s="1819"/>
      <c r="I35" s="1681" t="str">
        <f>'Part I-Project Identification'!I36</f>
        <v>No</v>
      </c>
      <c r="J35" s="2554" t="s">
        <v>2483</v>
      </c>
      <c r="K35" s="1819"/>
      <c r="L35" s="1819"/>
      <c r="M35" s="1819"/>
      <c r="N35" s="1819"/>
      <c r="O35" s="2560">
        <f>'Part I-Project Identification'!O36</f>
        <v>0</v>
      </c>
      <c r="P35" s="2560"/>
    </row>
    <row r="36" spans="1:17" ht="13.8">
      <c r="A36" s="2537"/>
      <c r="B36" s="2537"/>
      <c r="C36" s="1819" t="s">
        <v>2574</v>
      </c>
      <c r="D36" s="1819"/>
      <c r="E36" s="1819"/>
      <c r="F36" s="1819"/>
      <c r="G36" s="1819"/>
      <c r="H36" s="1819"/>
      <c r="I36" s="1681" t="str">
        <f>'Part I-Project Identification'!I37</f>
        <v>No</v>
      </c>
      <c r="J36" s="2554" t="s">
        <v>2483</v>
      </c>
      <c r="K36" s="1819"/>
      <c r="L36" s="1819"/>
      <c r="M36" s="1819"/>
      <c r="N36" s="1819"/>
      <c r="O36" s="2560">
        <f>'Part I-Project Identification'!O37</f>
        <v>0</v>
      </c>
      <c r="P36" s="2560"/>
    </row>
    <row r="37" spans="1:17" ht="13.8">
      <c r="A37" s="2537"/>
      <c r="B37" s="2537"/>
      <c r="C37" s="1819"/>
      <c r="D37" s="1819"/>
      <c r="E37" s="1819"/>
      <c r="F37" s="1819"/>
      <c r="G37" s="1819"/>
      <c r="H37" s="1819"/>
      <c r="I37" s="1819"/>
      <c r="J37" s="1819"/>
      <c r="K37" s="1819"/>
      <c r="L37" s="1819"/>
      <c r="M37" s="1819"/>
      <c r="N37" s="1819"/>
      <c r="O37" s="1819"/>
      <c r="P37" s="378"/>
    </row>
    <row r="38" spans="1:17" ht="13.8">
      <c r="A38" s="1819"/>
      <c r="B38" s="2536"/>
      <c r="C38" s="1819"/>
      <c r="D38" s="1819"/>
      <c r="E38" s="1819"/>
      <c r="F38" s="1819"/>
      <c r="G38" s="1819"/>
      <c r="H38" s="1819"/>
      <c r="I38" s="1819"/>
      <c r="J38" s="1819"/>
      <c r="K38" s="1819"/>
      <c r="L38" s="378"/>
      <c r="M38" s="378"/>
      <c r="N38" s="378"/>
      <c r="O38" s="378"/>
      <c r="P38" s="2547"/>
    </row>
    <row r="39" spans="1:17" ht="13.8">
      <c r="A39" s="2537" t="s">
        <v>496</v>
      </c>
      <c r="B39" s="377"/>
      <c r="C39" s="377" t="s">
        <v>530</v>
      </c>
      <c r="D39" s="378"/>
      <c r="E39" s="378"/>
      <c r="F39" s="378"/>
      <c r="G39" s="378"/>
      <c r="H39" s="378"/>
      <c r="I39" s="378"/>
      <c r="J39" s="378"/>
      <c r="K39" s="378"/>
      <c r="L39" s="378"/>
      <c r="M39" s="377" t="s">
        <v>720</v>
      </c>
      <c r="N39" s="377" t="s">
        <v>74</v>
      </c>
      <c r="O39" s="378"/>
      <c r="P39" s="378"/>
    </row>
    <row r="40" spans="1:17" ht="171.6">
      <c r="A40" s="2561" t="str">
        <f>'Part I-Project Identification'!A41</f>
        <v>Brightwood Lane Apartments is designated as a "mixed" property by USDA. Units 1-24 are family and units 25-40 are elderly (62 and over) and disabled.</v>
      </c>
      <c r="B40" s="2561"/>
      <c r="C40" s="2561"/>
      <c r="D40" s="2561"/>
      <c r="E40" s="2561"/>
      <c r="F40" s="2561"/>
      <c r="G40" s="2561"/>
      <c r="H40" s="2561"/>
      <c r="I40" s="2561"/>
      <c r="J40" s="2561"/>
      <c r="K40" s="2561"/>
      <c r="L40" s="2561"/>
      <c r="M40" s="2561">
        <f>'Part I-Project Identification'!M41</f>
        <v>0</v>
      </c>
      <c r="N40" s="2561"/>
      <c r="O40" s="2561"/>
      <c r="P40" s="2561"/>
    </row>
    <row r="45" spans="1:17" ht="13.8">
      <c r="A45" s="2536" t="str">
        <f>CONCATENATE("PART TWO - SOURCES OF FUNDS (Proposed)","  -  ",'Part I-Project Identification'!$O$7," ",'Part I-Project Identification'!$F$25,", ",'Part I-Project Identification'!$F$26,", ",'Part I-Project Identification'!$J$26," County")</f>
        <v>PART TWO - SOURCES OF FUNDS (Proposed)  -  2023-5 Brightwood Lane Apartments, Washington, Wilkes County</v>
      </c>
      <c r="B45" s="2536"/>
      <c r="C45" s="2536"/>
      <c r="D45" s="2536"/>
      <c r="E45" s="2536"/>
      <c r="F45" s="2536"/>
      <c r="G45" s="2536"/>
      <c r="H45" s="2536"/>
      <c r="I45" s="2536"/>
      <c r="J45" s="2536"/>
      <c r="K45" s="2536"/>
      <c r="L45" s="2536"/>
      <c r="M45" s="2536"/>
      <c r="N45" s="2536"/>
      <c r="O45" s="2536"/>
      <c r="P45" s="2536"/>
      <c r="Q45" s="2536"/>
    </row>
    <row r="46" spans="1:17" ht="13.8">
      <c r="A46" s="378"/>
      <c r="B46" s="378"/>
      <c r="C46" s="378"/>
      <c r="D46" s="378"/>
      <c r="E46" s="378"/>
      <c r="F46" s="378"/>
      <c r="G46" s="359"/>
      <c r="H46" s="359"/>
      <c r="I46" s="359"/>
      <c r="J46" s="359"/>
      <c r="K46" s="359"/>
      <c r="L46" s="359"/>
      <c r="M46" s="2562"/>
      <c r="N46" s="2562"/>
      <c r="O46" s="2562"/>
      <c r="P46" s="2562"/>
      <c r="Q46" s="2562"/>
    </row>
    <row r="47" spans="1:17" ht="13.8">
      <c r="A47" s="2536" t="s">
        <v>573</v>
      </c>
      <c r="B47" s="2536" t="s">
        <v>2294</v>
      </c>
      <c r="C47" s="1819"/>
      <c r="D47" s="1819"/>
      <c r="E47" s="1819"/>
      <c r="F47" s="1819"/>
      <c r="G47" s="1819"/>
      <c r="H47" s="2563"/>
      <c r="I47" s="2563"/>
      <c r="J47" s="2563"/>
      <c r="K47" s="2563"/>
      <c r="L47" s="2564" t="str">
        <f>'Part I-Project Identification'!$A$6</f>
        <v>Sept 2023</v>
      </c>
      <c r="M47" s="2564"/>
      <c r="N47" s="2564"/>
      <c r="O47" s="2564"/>
      <c r="P47" s="2564"/>
      <c r="Q47" s="2563"/>
    </row>
    <row r="48" spans="1:17" ht="13.8">
      <c r="A48" s="377"/>
      <c r="B48" s="2537"/>
      <c r="C48" s="377"/>
      <c r="D48" s="1819"/>
      <c r="E48" s="1819"/>
      <c r="F48" s="1819"/>
      <c r="G48" s="1819"/>
      <c r="H48" s="2563"/>
      <c r="I48" s="2563"/>
      <c r="J48" s="2563"/>
      <c r="K48" s="2563"/>
      <c r="L48" s="2563"/>
      <c r="M48" s="2563"/>
      <c r="N48" s="2563"/>
      <c r="O48" s="2563"/>
      <c r="P48" s="2563"/>
      <c r="Q48" s="2563"/>
    </row>
    <row r="49" spans="1:17" ht="13.8">
      <c r="A49" s="2537"/>
      <c r="B49" s="1622" t="str">
        <f>'Part II-Sources of Funds'!B6</f>
        <v>Yes</v>
      </c>
      <c r="C49" s="2541" t="s">
        <v>2219</v>
      </c>
      <c r="D49" s="1819"/>
      <c r="E49" s="1622" t="str">
        <f>'Part II-Sources of Funds'!E6</f>
        <v>No</v>
      </c>
      <c r="F49" s="2541" t="s">
        <v>6080</v>
      </c>
      <c r="G49" s="1819"/>
      <c r="H49" s="2563"/>
      <c r="I49" s="2565">
        <f>'Part II-Sources of Funds'!I6</f>
        <v>0</v>
      </c>
      <c r="J49" s="359"/>
      <c r="K49" s="2563"/>
      <c r="L49" s="1622" t="str">
        <f>'Part II-Sources of Funds'!L6</f>
        <v>No</v>
      </c>
      <c r="M49" s="2541" t="s">
        <v>1437</v>
      </c>
      <c r="N49" s="2563"/>
      <c r="O49" s="2563"/>
      <c r="P49" s="2563"/>
      <c r="Q49" s="2561"/>
    </row>
    <row r="50" spans="1:17" ht="13.8">
      <c r="A50" s="2537"/>
      <c r="B50" s="1622" t="str">
        <f>'Part II-Sources of Funds'!B7</f>
        <v>No</v>
      </c>
      <c r="C50" s="2541" t="s">
        <v>3877</v>
      </c>
      <c r="D50" s="1819"/>
      <c r="E50" s="1622" t="str">
        <f>'Part II-Sources of Funds'!E7</f>
        <v>No</v>
      </c>
      <c r="F50" s="2541" t="s">
        <v>6081</v>
      </c>
      <c r="G50" s="2563"/>
      <c r="H50" s="2563"/>
      <c r="I50" s="2565">
        <f>'Part II-Sources of Funds'!I7</f>
        <v>0</v>
      </c>
      <c r="J50" s="359"/>
      <c r="K50" s="2563"/>
      <c r="L50" s="1622" t="str">
        <f>'Part II-Sources of Funds'!L7</f>
        <v>No</v>
      </c>
      <c r="M50" s="2541" t="s">
        <v>514</v>
      </c>
      <c r="N50" s="2563"/>
      <c r="O50" s="2563"/>
      <c r="P50" s="2561"/>
      <c r="Q50" s="2561"/>
    </row>
    <row r="51" spans="1:17" ht="13.8">
      <c r="A51" s="1819"/>
      <c r="B51" s="1622" t="str">
        <f>'Part II-Sources of Funds'!B8</f>
        <v>No</v>
      </c>
      <c r="C51" s="2541" t="s">
        <v>6661</v>
      </c>
      <c r="D51" s="2563"/>
      <c r="E51" s="2563"/>
      <c r="F51" s="2563" t="s">
        <v>6664</v>
      </c>
      <c r="G51" s="2563"/>
      <c r="H51" s="2563" t="str">
        <f>'Part II-Sources of Funds'!H8</f>
        <v>Specify Other HOME Source here</v>
      </c>
      <c r="I51" s="2563"/>
      <c r="J51" s="2563"/>
      <c r="K51" s="2563"/>
      <c r="L51" s="1622" t="str">
        <f>'Part II-Sources of Funds'!L8</f>
        <v>No</v>
      </c>
      <c r="M51" s="2541" t="s">
        <v>6666</v>
      </c>
      <c r="N51" s="2563"/>
      <c r="O51" s="2563"/>
      <c r="P51" s="2561"/>
      <c r="Q51" s="2561"/>
    </row>
    <row r="52" spans="1:17" ht="13.8">
      <c r="A52" s="2537"/>
      <c r="B52" s="1622" t="str">
        <f>'Part II-Sources of Funds'!B9</f>
        <v>No</v>
      </c>
      <c r="C52" s="2563" t="s">
        <v>3301</v>
      </c>
      <c r="D52" s="2563"/>
      <c r="E52" s="1622" t="str">
        <f>'Part II-Sources of Funds'!E9</f>
        <v>No</v>
      </c>
      <c r="F52" s="2563" t="str">
        <f>'Part II-Sources of Funds'!F9</f>
        <v>Other Type of FEDERAL Funding * - describe type/program here</v>
      </c>
      <c r="G52" s="2563"/>
      <c r="H52" s="2563"/>
      <c r="I52" s="2563"/>
      <c r="J52" s="2563"/>
      <c r="K52" s="2563"/>
      <c r="L52" s="1622" t="str">
        <f>'Part II-Sources of Funds'!L9</f>
        <v>No</v>
      </c>
      <c r="M52" s="2541" t="s">
        <v>3878</v>
      </c>
      <c r="N52" s="2563"/>
      <c r="O52" s="2563"/>
      <c r="P52" s="2563"/>
      <c r="Q52" s="2561"/>
    </row>
    <row r="53" spans="1:17" ht="13.8">
      <c r="A53" s="2537"/>
      <c r="B53" s="1622" t="str">
        <f>'Part II-Sources of Funds'!B10</f>
        <v>Yes</v>
      </c>
      <c r="C53" s="2541" t="s">
        <v>2394</v>
      </c>
      <c r="D53" s="2563"/>
      <c r="E53" s="2563"/>
      <c r="F53" s="2563" t="str">
        <f>'Part II-Sources of Funds'!F10</f>
        <v>Specify Source/Administrator of Other FEDERAL Funding here</v>
      </c>
      <c r="G53" s="2563"/>
      <c r="H53" s="2563"/>
      <c r="I53" s="2563"/>
      <c r="J53" s="2563"/>
      <c r="K53" s="2563"/>
      <c r="L53" s="1622" t="str">
        <f>'Part II-Sources of Funds'!L10</f>
        <v>No</v>
      </c>
      <c r="M53" s="2541" t="s">
        <v>3192</v>
      </c>
      <c r="N53" s="2563"/>
      <c r="O53" s="2563"/>
      <c r="P53" s="2561"/>
      <c r="Q53" s="2561"/>
    </row>
    <row r="54" spans="1:17" ht="13.8">
      <c r="A54" s="2537"/>
      <c r="B54" s="1622" t="str">
        <f>'Part II-Sources of Funds'!B11</f>
        <v>Yes</v>
      </c>
      <c r="C54" s="2541" t="s">
        <v>2395</v>
      </c>
      <c r="D54" s="2563"/>
      <c r="E54" s="1622" t="str">
        <f>'Part II-Sources of Funds'!E11</f>
        <v>No</v>
      </c>
      <c r="F54" s="2563" t="str">
        <f>'Part II-Sources of Funds'!F11</f>
        <v>Other Type of STATE/LOCAL Funding * - describe type/program here</v>
      </c>
      <c r="G54" s="2563"/>
      <c r="H54" s="2563"/>
      <c r="I54" s="2563"/>
      <c r="J54" s="2563"/>
      <c r="K54" s="2563"/>
      <c r="L54" s="1622" t="str">
        <f>'Part II-Sources of Funds'!L11</f>
        <v>No</v>
      </c>
      <c r="M54" s="2563" t="s">
        <v>2398</v>
      </c>
      <c r="N54" s="2563"/>
      <c r="O54" s="2563"/>
      <c r="P54" s="2563"/>
      <c r="Q54" s="2563"/>
    </row>
    <row r="55" spans="1:17" ht="13.8">
      <c r="A55" s="2537"/>
      <c r="B55" s="1622" t="str">
        <f>'Part II-Sources of Funds'!B12</f>
        <v>Yes</v>
      </c>
      <c r="C55" s="2541" t="s">
        <v>3193</v>
      </c>
      <c r="D55" s="2563"/>
      <c r="E55" s="2563"/>
      <c r="F55" s="2563" t="str">
        <f>'Part II-Sources of Funds'!F12</f>
        <v>Specify Source/Administrator of Other STATE/LOCAL Funding here</v>
      </c>
      <c r="G55" s="2563"/>
      <c r="H55" s="2563"/>
      <c r="I55" s="2563"/>
      <c r="J55" s="2563"/>
      <c r="K55" s="2563"/>
      <c r="L55" s="1622" t="str">
        <f>'Part II-Sources of Funds'!L12</f>
        <v>No</v>
      </c>
      <c r="M55" s="2563" t="s">
        <v>3219</v>
      </c>
      <c r="N55" s="2563"/>
      <c r="O55" s="2563"/>
      <c r="P55" s="2563"/>
      <c r="Q55" s="2563"/>
    </row>
    <row r="56" spans="1:17" ht="13.8">
      <c r="A56" s="2537"/>
      <c r="B56" s="1622" t="str">
        <f>'Part II-Sources of Funds'!B13</f>
        <v>No</v>
      </c>
      <c r="C56" s="2541" t="s">
        <v>6663</v>
      </c>
      <c r="D56" s="2563"/>
      <c r="E56" s="1622" t="str">
        <f>'Part II-Sources of Funds'!E13</f>
        <v>No</v>
      </c>
      <c r="F56" s="2541" t="s">
        <v>6665</v>
      </c>
      <c r="G56" s="2563"/>
      <c r="H56" s="2563" t="str">
        <f>'Part II-Sources of Funds'!H13</f>
        <v>Specify Other PBRA Source here</v>
      </c>
      <c r="I56" s="2563"/>
      <c r="J56" s="2563"/>
      <c r="K56" s="2563"/>
      <c r="L56" s="1622" t="str">
        <f>'Part II-Sources of Funds'!L13</f>
        <v>No</v>
      </c>
      <c r="M56" s="2563" t="s">
        <v>6079</v>
      </c>
      <c r="N56" s="2563"/>
      <c r="O56" s="2563"/>
      <c r="P56" s="2563"/>
      <c r="Q56" s="2563"/>
    </row>
    <row r="57" spans="1:17" ht="13.8">
      <c r="A57" s="2537"/>
      <c r="B57" s="1622" t="str">
        <f>'Part II-Sources of Funds'!B14</f>
        <v>No</v>
      </c>
      <c r="C57" s="2563" t="s">
        <v>2397</v>
      </c>
      <c r="D57" s="2563"/>
      <c r="E57" s="1622" t="str">
        <f>'Part II-Sources of Funds'!E14</f>
        <v>No</v>
      </c>
      <c r="F57" s="2541" t="s">
        <v>3300</v>
      </c>
      <c r="G57" s="2563"/>
      <c r="H57" s="2563"/>
      <c r="I57" s="2563"/>
      <c r="J57" s="2563"/>
      <c r="K57" s="2563"/>
      <c r="L57" s="1622" t="str">
        <f>'Part II-Sources of Funds'!L14</f>
        <v>No</v>
      </c>
      <c r="M57" s="2563" t="s">
        <v>6711</v>
      </c>
      <c r="N57" s="2563"/>
      <c r="O57" s="2563"/>
      <c r="P57" s="2563"/>
      <c r="Q57" s="2563"/>
    </row>
    <row r="58" spans="1:17" ht="13.8">
      <c r="A58" s="2537"/>
      <c r="B58" s="1622" t="str">
        <f>'Part II-Sources of Funds'!B15</f>
        <v>No</v>
      </c>
      <c r="C58" s="2563" t="s">
        <v>3218</v>
      </c>
      <c r="D58" s="2563"/>
      <c r="E58" s="1622" t="str">
        <f>'Part II-Sources of Funds'!E15</f>
        <v>No</v>
      </c>
      <c r="F58" s="2541" t="s">
        <v>6082</v>
      </c>
      <c r="G58" s="2563"/>
      <c r="H58" s="2563"/>
      <c r="I58" s="2563"/>
      <c r="J58" s="2563"/>
      <c r="K58" s="2563"/>
      <c r="L58" s="1622" t="str">
        <f>'Part II-Sources of Funds'!L15</f>
        <v>No</v>
      </c>
      <c r="M58" s="2566" t="s">
        <v>6083</v>
      </c>
      <c r="N58" s="2563"/>
      <c r="O58" s="2563"/>
      <c r="P58" s="2563"/>
      <c r="Q58" s="2563"/>
    </row>
    <row r="59" spans="1:17" ht="13.8">
      <c r="A59" s="2537"/>
      <c r="B59" s="1622" t="str">
        <f>'Part II-Sources of Funds'!B16</f>
        <v>No</v>
      </c>
      <c r="C59" s="2541" t="s">
        <v>1673</v>
      </c>
      <c r="D59" s="2563"/>
      <c r="E59" s="1622" t="str">
        <f>'Part II-Sources of Funds'!E16</f>
        <v>Yes</v>
      </c>
      <c r="F59" s="2541" t="s">
        <v>6500</v>
      </c>
      <c r="G59" s="2563"/>
      <c r="H59" s="2563"/>
      <c r="I59" s="2565">
        <f>'Part II-Sources of Funds'!I16</f>
        <v>2063000</v>
      </c>
      <c r="J59" s="359"/>
      <c r="K59" s="2563"/>
      <c r="L59" s="1622" t="str">
        <f>'Part II-Sources of Funds'!L16</f>
        <v>No</v>
      </c>
      <c r="M59" s="2566" t="s">
        <v>6078</v>
      </c>
      <c r="N59" s="2563"/>
      <c r="O59" s="2563"/>
      <c r="P59" s="2563"/>
      <c r="Q59" s="2563"/>
    </row>
    <row r="60" spans="1:17" ht="13.8">
      <c r="A60" s="2537"/>
      <c r="B60" s="2563" t="s">
        <v>3879</v>
      </c>
      <c r="C60" s="1819"/>
      <c r="D60" s="1819"/>
      <c r="E60" s="1819"/>
      <c r="F60" s="1819"/>
      <c r="G60" s="1819"/>
      <c r="H60" s="1819"/>
      <c r="I60" s="1819"/>
      <c r="J60" s="1819"/>
      <c r="K60" s="1819"/>
      <c r="L60" s="1819"/>
      <c r="M60" s="2562"/>
      <c r="N60" s="1819"/>
      <c r="O60" s="1819"/>
      <c r="P60" s="1819"/>
      <c r="Q60" s="1819"/>
    </row>
    <row r="61" spans="1:17" ht="13.8">
      <c r="A61" s="2537"/>
      <c r="B61" s="2563"/>
      <c r="C61" s="2563"/>
      <c r="D61" s="2563"/>
      <c r="E61" s="2563"/>
      <c r="F61" s="2563"/>
      <c r="G61" s="2563"/>
      <c r="H61" s="2563"/>
      <c r="I61" s="2563"/>
      <c r="J61" s="2563"/>
      <c r="K61" s="2563"/>
      <c r="L61" s="1819"/>
      <c r="M61" s="378"/>
      <c r="N61" s="1819"/>
      <c r="O61" s="1819"/>
      <c r="P61" s="1819"/>
      <c r="Q61" s="1819"/>
    </row>
    <row r="62" spans="1:17" ht="13.8">
      <c r="A62" s="2536" t="s">
        <v>689</v>
      </c>
      <c r="B62" s="2546" t="s">
        <v>2165</v>
      </c>
      <c r="C62" s="1819"/>
      <c r="D62" s="1819"/>
      <c r="E62" s="1819"/>
      <c r="F62" s="1819"/>
      <c r="G62" s="1819"/>
      <c r="H62" s="2548"/>
      <c r="I62" s="2548"/>
      <c r="J62" s="2548"/>
      <c r="K62" s="2548"/>
      <c r="L62" s="1819"/>
      <c r="M62" s="1819"/>
      <c r="N62" s="1819"/>
      <c r="O62" s="1819"/>
      <c r="P62" s="1819"/>
      <c r="Q62" s="1819"/>
    </row>
    <row r="63" spans="1:17" ht="13.8">
      <c r="A63" s="2536"/>
      <c r="B63" s="2546"/>
      <c r="C63" s="1819"/>
      <c r="D63" s="2548"/>
      <c r="E63" s="2548"/>
      <c r="F63" s="2548"/>
      <c r="G63" s="2548"/>
      <c r="H63" s="2548"/>
      <c r="I63" s="2548"/>
      <c r="J63" s="2548"/>
      <c r="K63" s="1819"/>
      <c r="L63" s="1819"/>
      <c r="M63" s="1819"/>
      <c r="N63" s="1622"/>
      <c r="O63" s="1622"/>
      <c r="P63" s="1819"/>
      <c r="Q63" s="1819"/>
    </row>
    <row r="64" spans="1:17" ht="13.8">
      <c r="A64" s="1819"/>
      <c r="B64" s="2545" t="s">
        <v>1734</v>
      </c>
      <c r="C64" s="1819"/>
      <c r="D64" s="1819"/>
      <c r="E64" s="1819"/>
      <c r="F64" s="1819"/>
      <c r="G64" s="1819"/>
      <c r="H64" s="1819" t="s">
        <v>1220</v>
      </c>
      <c r="I64" s="1819"/>
      <c r="J64" s="1819"/>
      <c r="K64" s="1819"/>
      <c r="L64" s="1819" t="s">
        <v>3845</v>
      </c>
      <c r="M64" s="1819"/>
      <c r="N64" s="1819" t="s">
        <v>1410</v>
      </c>
      <c r="O64" s="1819"/>
      <c r="P64" s="1819" t="s">
        <v>1523</v>
      </c>
      <c r="Q64" s="1819"/>
    </row>
    <row r="65" spans="1:17" ht="41.4">
      <c r="A65" s="1819"/>
      <c r="B65" s="1819" t="s">
        <v>1486</v>
      </c>
      <c r="C65" s="1819"/>
      <c r="D65" s="1819"/>
      <c r="E65" s="1819"/>
      <c r="F65" s="1819"/>
      <c r="G65" s="1819"/>
      <c r="H65" s="2567" t="str">
        <f>'Part II-Sources of Funds'!H22</f>
        <v>Churchill Stateside Group</v>
      </c>
      <c r="I65" s="2567"/>
      <c r="J65" s="2567"/>
      <c r="K65" s="2567"/>
      <c r="L65" s="2469">
        <f>'Part II-Sources of Funds'!L22</f>
        <v>769000</v>
      </c>
      <c r="M65" s="2469"/>
      <c r="N65" s="2470">
        <f>'Part II-Sources of Funds'!N22</f>
        <v>6.7500000000000004E-2</v>
      </c>
      <c r="O65" s="2470"/>
      <c r="P65" s="2471">
        <f>'Part II-Sources of Funds'!P22</f>
        <v>480</v>
      </c>
      <c r="Q65" s="2471"/>
    </row>
    <row r="66" spans="1:17" ht="55.2">
      <c r="A66" s="1819"/>
      <c r="B66" s="1819" t="s">
        <v>1487</v>
      </c>
      <c r="C66" s="1819"/>
      <c r="D66" s="1819"/>
      <c r="E66" s="1819"/>
      <c r="F66" s="1819"/>
      <c r="G66" s="1819"/>
      <c r="H66" s="2567" t="str">
        <f>'Part II-Sources of Funds'!H23</f>
        <v>USDA Rural Development</v>
      </c>
      <c r="I66" s="2567"/>
      <c r="J66" s="2567"/>
      <c r="K66" s="2567"/>
      <c r="L66" s="2469">
        <f>'Part II-Sources of Funds'!L23</f>
        <v>1028757</v>
      </c>
      <c r="M66" s="2469"/>
      <c r="N66" s="2470">
        <f>'Part II-Sources of Funds'!N23</f>
        <v>0.01</v>
      </c>
      <c r="O66" s="2470"/>
      <c r="P66" s="2471">
        <f>'Part II-Sources of Funds'!P23</f>
        <v>360</v>
      </c>
      <c r="Q66" s="2471"/>
    </row>
    <row r="67" spans="1:17" ht="13.8">
      <c r="A67" s="1819"/>
      <c r="B67" s="1819" t="s">
        <v>1488</v>
      </c>
      <c r="C67" s="1819"/>
      <c r="D67" s="1819"/>
      <c r="E67" s="1819"/>
      <c r="F67" s="1819"/>
      <c r="G67" s="1819"/>
      <c r="H67" s="2567">
        <f>'Part II-Sources of Funds'!H24</f>
        <v>0</v>
      </c>
      <c r="I67" s="2567"/>
      <c r="J67" s="2567"/>
      <c r="K67" s="2567"/>
      <c r="L67" s="2469">
        <f>'Part II-Sources of Funds'!L24</f>
        <v>0</v>
      </c>
      <c r="M67" s="2469"/>
      <c r="N67" s="2470">
        <f>'Part II-Sources of Funds'!N24</f>
        <v>0</v>
      </c>
      <c r="O67" s="2470"/>
      <c r="P67" s="2471">
        <f>'Part II-Sources of Funds'!P24</f>
        <v>0</v>
      </c>
      <c r="Q67" s="2471"/>
    </row>
    <row r="68" spans="1:17" ht="13.8">
      <c r="A68" s="1819"/>
      <c r="B68" s="1819" t="s">
        <v>2047</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13.8">
      <c r="A69" s="1819"/>
      <c r="B69" s="1819" t="s">
        <v>745</v>
      </c>
      <c r="C69" s="1819"/>
      <c r="D69" s="1819"/>
      <c r="E69" s="1819"/>
      <c r="F69" s="2563"/>
      <c r="G69" s="2563"/>
      <c r="H69" s="2567">
        <f>'Part II-Sources of Funds'!H26</f>
        <v>0</v>
      </c>
      <c r="I69" s="2567"/>
      <c r="J69" s="2567"/>
      <c r="K69" s="2567"/>
      <c r="L69" s="2469">
        <f>'Part II-Sources of Funds'!L26</f>
        <v>0</v>
      </c>
      <c r="M69" s="2469"/>
      <c r="N69" s="2470"/>
      <c r="O69" s="2470"/>
      <c r="P69" s="1819"/>
      <c r="Q69" s="1819"/>
    </row>
    <row r="70" spans="1:17" ht="13.8">
      <c r="A70" s="1819"/>
      <c r="B70" s="1819" t="s">
        <v>595</v>
      </c>
      <c r="C70" s="1819"/>
      <c r="D70" s="1819"/>
      <c r="E70" s="1819"/>
      <c r="F70" s="2563"/>
      <c r="G70" s="2563"/>
      <c r="H70" s="2567">
        <f>'Part II-Sources of Funds'!H27</f>
        <v>0</v>
      </c>
      <c r="I70" s="2567"/>
      <c r="J70" s="2567"/>
      <c r="K70" s="2567"/>
      <c r="L70" s="2469">
        <f>'Part II-Sources of Funds'!L27</f>
        <v>0</v>
      </c>
      <c r="M70" s="2469"/>
      <c r="N70" s="2470"/>
      <c r="O70" s="2470"/>
      <c r="P70" s="1819"/>
      <c r="Q70" s="1819"/>
    </row>
    <row r="71" spans="1:17" ht="13.8">
      <c r="A71" s="1819"/>
      <c r="B71" s="1819" t="s">
        <v>746</v>
      </c>
      <c r="C71" s="1819"/>
      <c r="D71" s="1819"/>
      <c r="E71" s="1819"/>
      <c r="F71" s="2563"/>
      <c r="G71" s="2563"/>
      <c r="H71" s="2567" t="str">
        <f>'Part II-Sources of Funds'!H28</f>
        <v>CAHEC</v>
      </c>
      <c r="I71" s="2567"/>
      <c r="J71" s="2567"/>
      <c r="K71" s="2567"/>
      <c r="L71" s="2469">
        <f>'Part II-Sources of Funds'!L28</f>
        <v>234227</v>
      </c>
      <c r="M71" s="2469"/>
      <c r="N71" s="1819"/>
      <c r="O71" s="2563"/>
      <c r="P71" s="2563"/>
      <c r="Q71" s="1819"/>
    </row>
    <row r="72" spans="1:17" ht="27.6">
      <c r="A72" s="1819"/>
      <c r="B72" s="1819" t="s">
        <v>747</v>
      </c>
      <c r="C72" s="1819"/>
      <c r="D72" s="1819"/>
      <c r="E72" s="1819"/>
      <c r="F72" s="2563"/>
      <c r="G72" s="2563"/>
      <c r="H72" s="2567" t="str">
        <f>'Part II-Sources of Funds'!H29</f>
        <v>TBD State Investor</v>
      </c>
      <c r="I72" s="2567"/>
      <c r="J72" s="2567"/>
      <c r="K72" s="2567"/>
      <c r="L72" s="2469">
        <f>'Part II-Sources of Funds'!L29</f>
        <v>191142</v>
      </c>
      <c r="M72" s="2469"/>
      <c r="N72" s="1819"/>
      <c r="O72" s="2563"/>
      <c r="P72" s="2563"/>
      <c r="Q72" s="1819"/>
    </row>
    <row r="73" spans="1:17" ht="27.6">
      <c r="A73" s="1819"/>
      <c r="B73" s="1819" t="s">
        <v>232</v>
      </c>
      <c r="C73" s="1819"/>
      <c r="D73" s="2567" t="str">
        <f>'Part II-Sources of Funds'!D30</f>
        <v>Construction Loan</v>
      </c>
      <c r="E73" s="2567"/>
      <c r="F73" s="2567"/>
      <c r="G73" s="2567"/>
      <c r="H73" s="2567" t="str">
        <f>'Part II-Sources of Funds'!H30</f>
        <v>CAHEC Capital</v>
      </c>
      <c r="I73" s="2567"/>
      <c r="J73" s="2567"/>
      <c r="K73" s="2567"/>
      <c r="L73" s="2469">
        <f>'Part II-Sources of Funds'!L30</f>
        <v>50000</v>
      </c>
      <c r="M73" s="2469"/>
      <c r="N73" s="1819"/>
      <c r="O73" s="2563"/>
      <c r="P73" s="2563"/>
      <c r="Q73" s="1819"/>
    </row>
    <row r="74" spans="1:17" ht="69">
      <c r="A74" s="1819"/>
      <c r="B74" s="1819" t="s">
        <v>232</v>
      </c>
      <c r="C74" s="1819"/>
      <c r="D74" s="2567" t="str">
        <f>'Part II-Sources of Funds'!D31</f>
        <v>TEB - Short-term Cash Collateralized</v>
      </c>
      <c r="E74" s="2567"/>
      <c r="F74" s="2567"/>
      <c r="G74" s="2567"/>
      <c r="H74" s="2567" t="str">
        <f>'Part II-Sources of Funds'!H31</f>
        <v>Housing Authority of Macon-Bibb County</v>
      </c>
      <c r="I74" s="2567"/>
      <c r="J74" s="2567"/>
      <c r="K74" s="2567"/>
      <c r="L74" s="2469">
        <f>'Part II-Sources of Funds'!L31</f>
        <v>2063000</v>
      </c>
      <c r="M74" s="2469"/>
      <c r="N74" s="1819"/>
      <c r="O74" s="2563"/>
      <c r="P74" s="2563"/>
      <c r="Q74" s="2563"/>
    </row>
    <row r="75" spans="1:17" ht="13.8">
      <c r="A75" s="1819"/>
      <c r="B75" s="1819" t="s">
        <v>232</v>
      </c>
      <c r="C75" s="1819"/>
      <c r="D75" s="2567">
        <f>'Part II-Sources of Funds'!D32</f>
        <v>0</v>
      </c>
      <c r="E75" s="2567"/>
      <c r="F75" s="2567"/>
      <c r="G75" s="2567"/>
      <c r="H75" s="2567">
        <f>'Part II-Sources of Funds'!H32</f>
        <v>0</v>
      </c>
      <c r="I75" s="2567"/>
      <c r="J75" s="2567"/>
      <c r="K75" s="2567"/>
      <c r="L75" s="2469">
        <f>'Part II-Sources of Funds'!L32</f>
        <v>0</v>
      </c>
      <c r="M75" s="2469"/>
      <c r="N75" s="1819"/>
      <c r="O75" s="2563"/>
      <c r="P75" s="2563"/>
      <c r="Q75" s="2563"/>
    </row>
    <row r="76" spans="1:17" ht="13.8">
      <c r="A76" s="1819"/>
      <c r="B76" s="2546" t="s">
        <v>1221</v>
      </c>
      <c r="C76" s="1819"/>
      <c r="D76" s="1819"/>
      <c r="E76" s="1819"/>
      <c r="F76" s="1819"/>
      <c r="G76" s="1819"/>
      <c r="H76" s="1819"/>
      <c r="I76" s="1819"/>
      <c r="J76" s="2563"/>
      <c r="K76" s="2563"/>
      <c r="L76" s="2472">
        <f>SUM(L65:L75)</f>
        <v>4336126</v>
      </c>
      <c r="M76" s="2472"/>
      <c r="N76" s="378"/>
      <c r="O76" s="2563"/>
      <c r="P76" s="2563"/>
      <c r="Q76" s="2563"/>
    </row>
    <row r="77" spans="1:17" ht="13.8">
      <c r="A77" s="1819"/>
      <c r="B77" s="2545" t="s">
        <v>1222</v>
      </c>
      <c r="C77" s="1819"/>
      <c r="D77" s="1819"/>
      <c r="E77" s="1819"/>
      <c r="F77" s="1819"/>
      <c r="G77" s="1819"/>
      <c r="H77" s="1819"/>
      <c r="I77" s="1819"/>
      <c r="J77" s="2563"/>
      <c r="K77" s="2563"/>
      <c r="L77" s="2472">
        <f>'Part II-Sources of Funds'!L34</f>
        <v>4336126</v>
      </c>
      <c r="M77" s="2472"/>
      <c r="N77" s="2568"/>
      <c r="O77" s="2563"/>
      <c r="P77" s="2563"/>
      <c r="Q77" s="2563"/>
    </row>
    <row r="78" spans="1:17" ht="13.8">
      <c r="A78" s="1819"/>
      <c r="B78" s="2545" t="s">
        <v>2002</v>
      </c>
      <c r="C78" s="1819"/>
      <c r="D78" s="1819"/>
      <c r="E78" s="1819"/>
      <c r="F78" s="1819"/>
      <c r="G78" s="1819"/>
      <c r="H78" s="1819"/>
      <c r="I78" s="1819"/>
      <c r="J78" s="2563"/>
      <c r="K78" s="2563"/>
      <c r="L78" s="2569">
        <f>L76-L77</f>
        <v>0</v>
      </c>
      <c r="M78" s="2569"/>
      <c r="N78" s="2568"/>
      <c r="O78" s="2563"/>
      <c r="P78" s="2563"/>
      <c r="Q78" s="2563"/>
    </row>
    <row r="79" spans="1:17" ht="13.8">
      <c r="A79" s="377"/>
      <c r="B79" s="2546"/>
      <c r="C79" s="378"/>
      <c r="D79" s="378"/>
      <c r="E79" s="378"/>
      <c r="F79" s="378"/>
      <c r="G79" s="378"/>
      <c r="H79" s="378"/>
      <c r="I79" s="378"/>
      <c r="J79" s="378"/>
      <c r="K79" s="378"/>
      <c r="L79" s="378"/>
      <c r="M79" s="1622"/>
      <c r="N79" s="1622"/>
      <c r="O79" s="2562"/>
      <c r="P79" s="2562"/>
      <c r="Q79" s="2562"/>
    </row>
    <row r="80" spans="1:17" ht="13.8">
      <c r="A80" s="2536" t="s">
        <v>691</v>
      </c>
      <c r="B80" s="2546" t="s">
        <v>744</v>
      </c>
      <c r="C80" s="378"/>
      <c r="D80" s="378"/>
      <c r="E80" s="378"/>
      <c r="F80" s="378"/>
      <c r="G80" s="378"/>
      <c r="H80" s="378"/>
      <c r="I80" s="378"/>
      <c r="J80" s="378"/>
      <c r="K80" s="378"/>
      <c r="L80" s="378"/>
      <c r="M80" s="1622"/>
      <c r="N80" s="1622"/>
      <c r="O80" s="378"/>
      <c r="P80" s="2562"/>
      <c r="Q80" s="2562"/>
    </row>
    <row r="81" spans="1:17" ht="13.5" customHeight="1">
      <c r="A81" s="1819"/>
      <c r="B81" s="1819"/>
      <c r="C81" s="1819"/>
      <c r="D81" s="1819"/>
      <c r="E81" s="1819"/>
      <c r="F81" s="1622"/>
      <c r="G81" s="1622"/>
      <c r="H81" s="1819"/>
      <c r="I81" s="1819"/>
      <c r="J81" s="2563"/>
      <c r="K81" s="1681" t="s">
        <v>1948</v>
      </c>
      <c r="L81" s="1622" t="s">
        <v>1218</v>
      </c>
      <c r="M81" s="1622" t="s">
        <v>1223</v>
      </c>
      <c r="N81" s="2563"/>
      <c r="O81" s="2563"/>
      <c r="P81" s="2568" t="s">
        <v>31</v>
      </c>
      <c r="Q81" s="2568"/>
    </row>
    <row r="82" spans="1:17" ht="13.8">
      <c r="A82" s="1819"/>
      <c r="B82" s="2545" t="s">
        <v>1734</v>
      </c>
      <c r="C82" s="1819"/>
      <c r="D82" s="1819"/>
      <c r="E82" s="1819" t="s">
        <v>1220</v>
      </c>
      <c r="F82" s="1819"/>
      <c r="G82" s="1819"/>
      <c r="H82" s="1819"/>
      <c r="I82" s="1819" t="s">
        <v>3844</v>
      </c>
      <c r="J82" s="1819"/>
      <c r="K82" s="1622" t="s">
        <v>1675</v>
      </c>
      <c r="L82" s="1622" t="s">
        <v>2046</v>
      </c>
      <c r="M82" s="1622" t="s">
        <v>2046</v>
      </c>
      <c r="N82" s="1819" t="s">
        <v>69</v>
      </c>
      <c r="O82" s="1819"/>
      <c r="P82" s="2568"/>
      <c r="Q82" s="2568"/>
    </row>
    <row r="83" spans="1:17" ht="41.4">
      <c r="A83" s="1819"/>
      <c r="B83" s="1819" t="s">
        <v>2402</v>
      </c>
      <c r="C83" s="1819"/>
      <c r="D83" s="1819"/>
      <c r="E83" s="2567" t="str">
        <f>'Part II-Sources of Funds'!E40</f>
        <v>Churchill Stateside Group</v>
      </c>
      <c r="F83" s="2567"/>
      <c r="G83" s="2567"/>
      <c r="H83" s="2567"/>
      <c r="I83" s="2570">
        <f>'Part II-Sources of Funds'!I40</f>
        <v>769000</v>
      </c>
      <c r="J83" s="1819"/>
      <c r="K83" s="2571">
        <f>'Part II-Sources of Funds'!K40</f>
        <v>6.7500000000000004E-2</v>
      </c>
      <c r="L83" s="1622">
        <f>'Part II-Sources of Funds'!L40</f>
        <v>40</v>
      </c>
      <c r="M83" s="1622">
        <f>'Part II-Sources of Funds'!M40</f>
        <v>40</v>
      </c>
      <c r="N83" s="1819" t="str">
        <f>'Part II-Sources of Funds'!N40</f>
        <v>Amortizing</v>
      </c>
      <c r="O83" s="1819"/>
      <c r="P83" s="2473">
        <f>'Part II-Sources of Funds'!P40</f>
        <v>55677.768952730781</v>
      </c>
      <c r="Q83" s="2473"/>
    </row>
    <row r="84" spans="1:17" ht="55.2">
      <c r="A84" s="1819"/>
      <c r="B84" s="1819" t="s">
        <v>2403</v>
      </c>
      <c r="C84" s="1819"/>
      <c r="D84" s="1819"/>
      <c r="E84" s="2567" t="str">
        <f>'Part II-Sources of Funds'!E41</f>
        <v>USDA Rural Development</v>
      </c>
      <c r="F84" s="2567"/>
      <c r="G84" s="2567"/>
      <c r="H84" s="2567"/>
      <c r="I84" s="2570">
        <f>'Part II-Sources of Funds'!I41</f>
        <v>1028757</v>
      </c>
      <c r="J84" s="1819"/>
      <c r="K84" s="2571">
        <f>'Part II-Sources of Funds'!K41</f>
        <v>0.01</v>
      </c>
      <c r="L84" s="1622">
        <f>'Part II-Sources of Funds'!L41</f>
        <v>30</v>
      </c>
      <c r="M84" s="1622">
        <f>'Part II-Sources of Funds'!M41</f>
        <v>50</v>
      </c>
      <c r="N84" s="1819" t="str">
        <f>'Part II-Sources of Funds'!N41</f>
        <v>Adjusted Interest</v>
      </c>
      <c r="O84" s="1819"/>
      <c r="P84" s="2473" t="str">
        <f>'Part II-Sources of Funds'!P41</f>
        <v/>
      </c>
      <c r="Q84" s="2473"/>
    </row>
    <row r="85" spans="1:17" ht="13.8">
      <c r="A85" s="1819"/>
      <c r="B85" s="1819" t="s">
        <v>2404</v>
      </c>
      <c r="C85" s="1819"/>
      <c r="D85" s="1819"/>
      <c r="E85" s="2567">
        <f>'Part II-Sources of Funds'!E42</f>
        <v>0</v>
      </c>
      <c r="F85" s="2567"/>
      <c r="G85" s="2567"/>
      <c r="H85" s="2567"/>
      <c r="I85" s="2570">
        <f>'Part II-Sources of Funds'!I42</f>
        <v>0</v>
      </c>
      <c r="J85" s="1819"/>
      <c r="K85" s="2571">
        <f>'Part II-Sources of Funds'!K42</f>
        <v>0</v>
      </c>
      <c r="L85" s="1622">
        <f>'Part II-Sources of Funds'!L42</f>
        <v>0</v>
      </c>
      <c r="M85" s="1622">
        <f>'Part II-Sources of Funds'!M42</f>
        <v>0</v>
      </c>
      <c r="N85" s="1819">
        <f>'Part II-Sources of Funds'!N42</f>
        <v>0</v>
      </c>
      <c r="O85" s="1819"/>
      <c r="P85" s="2473" t="str">
        <f>'Part II-Sources of Funds'!P42</f>
        <v/>
      </c>
      <c r="Q85" s="2473"/>
    </row>
    <row r="86" spans="1:17" ht="13.8">
      <c r="A86" s="1819"/>
      <c r="B86" s="1819" t="s">
        <v>690</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ht="13.8">
      <c r="A87" s="1819"/>
      <c r="B87" s="1819" t="s">
        <v>3944</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ht="41.4">
      <c r="A88" s="1819"/>
      <c r="B88" s="1819" t="s">
        <v>220</v>
      </c>
      <c r="C88" s="1819"/>
      <c r="D88" s="2572">
        <f>'Part II-Sources of Funds'!D45</f>
        <v>7.4637149792657023E-2</v>
      </c>
      <c r="E88" s="2567" t="str">
        <f>'Part II-Sources of Funds'!E45</f>
        <v>CAHEC Properties, LLC</v>
      </c>
      <c r="F88" s="2567"/>
      <c r="G88" s="2567"/>
      <c r="H88" s="2567"/>
      <c r="I88" s="2570">
        <f>'Part II-Sources of Funds'!I45</f>
        <v>35421</v>
      </c>
      <c r="J88" s="1819"/>
      <c r="K88" s="2571">
        <f>'Part II-Sources of Funds'!K45</f>
        <v>0</v>
      </c>
      <c r="L88" s="1622">
        <f>'Part II-Sources of Funds'!L45</f>
        <v>15</v>
      </c>
      <c r="M88" s="1622">
        <f>'Part II-Sources of Funds'!M45</f>
        <v>15</v>
      </c>
      <c r="N88" s="1819" t="str">
        <f>'Part II-Sources of Funds'!N45</f>
        <v>Cash Flow</v>
      </c>
      <c r="O88" s="1819"/>
      <c r="P88" s="2473">
        <f>'Part II-Sources of Funds'!P45</f>
        <v>0</v>
      </c>
      <c r="Q88" s="2473"/>
    </row>
    <row r="89" spans="1:17" ht="13.8">
      <c r="A89" s="1819"/>
      <c r="B89" s="1819"/>
      <c r="C89" s="1819"/>
      <c r="D89" s="1819"/>
      <c r="E89" s="1819"/>
      <c r="F89" s="1819"/>
      <c r="G89" s="1819"/>
      <c r="H89" s="1819"/>
      <c r="I89" s="2573"/>
      <c r="J89" s="2574"/>
      <c r="K89" s="2571"/>
      <c r="L89" s="1622"/>
      <c r="M89" s="1622"/>
      <c r="N89" s="2474"/>
      <c r="O89" s="2474"/>
      <c r="P89" s="1622"/>
      <c r="Q89" s="1622"/>
    </row>
    <row r="90" spans="1:17" ht="13.8">
      <c r="A90" s="1819"/>
      <c r="B90" s="2563" t="s">
        <v>3406</v>
      </c>
      <c r="C90" s="1819"/>
      <c r="D90" s="2563"/>
      <c r="E90" s="2563" t="s">
        <v>3364</v>
      </c>
      <c r="F90" s="2575">
        <f>'Part II-Sources of Funds'!F47</f>
        <v>187008.37542131686</v>
      </c>
      <c r="G90" s="2563"/>
      <c r="H90" s="2576" t="s">
        <v>3405</v>
      </c>
      <c r="I90" s="2575">
        <f>'Part II-Sources of Funds'!I47</f>
        <v>35421</v>
      </c>
      <c r="J90" s="2563"/>
      <c r="K90" s="2576" t="s">
        <v>3407</v>
      </c>
      <c r="L90" s="2577">
        <f>'Part II-Sources of Funds'!L47</f>
        <v>0.18940862899963143</v>
      </c>
      <c r="M90" s="2577"/>
      <c r="N90" s="2473" t="s">
        <v>3848</v>
      </c>
      <c r="O90" s="2473"/>
      <c r="P90" s="1820">
        <f>'Part II-Sources of Funds'!P47</f>
        <v>0</v>
      </c>
      <c r="Q90" s="1820"/>
    </row>
    <row r="91" spans="1:17" ht="13.8">
      <c r="A91" s="1819"/>
      <c r="B91" s="1819"/>
      <c r="C91" s="1819"/>
      <c r="D91" s="1819"/>
      <c r="E91" s="1819"/>
      <c r="F91" s="1819"/>
      <c r="G91" s="1819"/>
      <c r="H91" s="1819"/>
      <c r="I91" s="2573"/>
      <c r="J91" s="2574"/>
      <c r="K91" s="2571"/>
      <c r="L91" s="1622"/>
      <c r="M91" s="1622"/>
      <c r="N91" s="2474"/>
      <c r="O91" s="2474"/>
      <c r="P91" s="1622"/>
      <c r="Q91" s="1622"/>
    </row>
    <row r="92" spans="1:17" ht="13.8">
      <c r="A92" s="1819"/>
      <c r="B92" s="1819" t="s">
        <v>2047</v>
      </c>
      <c r="C92" s="1819"/>
      <c r="D92" s="1819"/>
      <c r="E92" s="2567">
        <f>'Part II-Sources of Funds'!E49</f>
        <v>0</v>
      </c>
      <c r="F92" s="2567"/>
      <c r="G92" s="2567"/>
      <c r="H92" s="2567"/>
      <c r="I92" s="2570">
        <f>'Part II-Sources of Funds'!I49</f>
        <v>0</v>
      </c>
      <c r="J92" s="1819"/>
      <c r="K92" s="1819"/>
      <c r="L92" s="1819"/>
      <c r="M92" s="1819"/>
      <c r="N92" s="1819"/>
      <c r="O92" s="1819"/>
      <c r="P92" s="1622" t="s">
        <v>483</v>
      </c>
      <c r="Q92" s="1819"/>
    </row>
    <row r="93" spans="1:17" ht="13.8">
      <c r="A93" s="1819"/>
      <c r="B93" s="1819" t="s">
        <v>745</v>
      </c>
      <c r="C93" s="1819"/>
      <c r="D93" s="1819"/>
      <c r="E93" s="2567">
        <f>'Part II-Sources of Funds'!E50</f>
        <v>0</v>
      </c>
      <c r="F93" s="2567"/>
      <c r="G93" s="2567"/>
      <c r="H93" s="2567"/>
      <c r="I93" s="2570">
        <f>'Part II-Sources of Funds'!I50</f>
        <v>0</v>
      </c>
      <c r="J93" s="1819"/>
      <c r="K93" s="2563"/>
      <c r="L93" s="2578" t="s">
        <v>484</v>
      </c>
      <c r="M93" s="2578"/>
      <c r="N93" s="2579" t="s">
        <v>485</v>
      </c>
      <c r="O93" s="2579"/>
      <c r="P93" s="2580" t="s">
        <v>2357</v>
      </c>
      <c r="Q93" s="1819"/>
    </row>
    <row r="94" spans="1:17" ht="41.4">
      <c r="A94" s="1819"/>
      <c r="B94" s="1819" t="s">
        <v>746</v>
      </c>
      <c r="C94" s="1819"/>
      <c r="D94" s="1819"/>
      <c r="E94" s="2567" t="str">
        <f>'Part II-Sources of Funds'!E51</f>
        <v>CAHEC, TBD State Investor</v>
      </c>
      <c r="F94" s="2567"/>
      <c r="G94" s="2567"/>
      <c r="H94" s="2567"/>
      <c r="I94" s="2570">
        <f>'Part II-Sources of Funds'!I51</f>
        <v>1586243</v>
      </c>
      <c r="J94" s="1819"/>
      <c r="K94" s="2563"/>
      <c r="L94" s="2581">
        <f>'Part II-Sources of Funds'!L51</f>
        <v>1586242.5148845001</v>
      </c>
      <c r="M94" s="2581"/>
      <c r="N94" s="2582">
        <f>I94-L94</f>
        <v>0.48511549993418157</v>
      </c>
      <c r="O94" s="2582"/>
      <c r="P94" s="2583">
        <f>I94/I104</f>
        <v>0.328439383746646</v>
      </c>
      <c r="Q94" s="1819"/>
    </row>
    <row r="95" spans="1:17" ht="27.6">
      <c r="A95" s="1819"/>
      <c r="B95" s="1819" t="s">
        <v>747</v>
      </c>
      <c r="C95" s="1819"/>
      <c r="D95" s="1819"/>
      <c r="E95" s="2567" t="str">
        <f>'Part II-Sources of Funds'!E52</f>
        <v>TBD State Investor</v>
      </c>
      <c r="F95" s="2567"/>
      <c r="G95" s="2567"/>
      <c r="H95" s="2567"/>
      <c r="I95" s="2570">
        <f>'Part II-Sources of Funds'!I52</f>
        <v>1265647</v>
      </c>
      <c r="J95" s="1819"/>
      <c r="K95" s="2563"/>
      <c r="L95" s="2581">
        <f>'Part II-Sources of Funds'!L52</f>
        <v>1265646.5999999999</v>
      </c>
      <c r="M95" s="2581"/>
      <c r="N95" s="2582">
        <f>I95-L95</f>
        <v>0.40000000013969839</v>
      </c>
      <c r="O95" s="2582"/>
      <c r="P95" s="2583">
        <f>I95/I104</f>
        <v>0.26205841142926478</v>
      </c>
      <c r="Q95" s="1819"/>
    </row>
    <row r="96" spans="1:17" ht="13.8">
      <c r="A96" s="1819"/>
      <c r="B96" s="1819" t="s">
        <v>1331</v>
      </c>
      <c r="C96" s="1819"/>
      <c r="D96" s="1819"/>
      <c r="E96" s="2567">
        <f>'Part II-Sources of Funds'!E53</f>
        <v>0</v>
      </c>
      <c r="F96" s="2567"/>
      <c r="G96" s="2567"/>
      <c r="H96" s="2567"/>
      <c r="I96" s="2570">
        <f>'Part II-Sources of Funds'!I53</f>
        <v>0</v>
      </c>
      <c r="J96" s="1819"/>
      <c r="K96" s="2563"/>
      <c r="L96" s="2563"/>
      <c r="M96" s="2563"/>
      <c r="N96" s="2563"/>
      <c r="O96" s="2563"/>
      <c r="P96" s="2583">
        <f>SUM(P94:P95)</f>
        <v>0.59049779517591072</v>
      </c>
      <c r="Q96" s="1819"/>
    </row>
    <row r="97" spans="1:17" ht="13.8">
      <c r="A97" s="1819"/>
      <c r="B97" s="1819" t="s">
        <v>497</v>
      </c>
      <c r="C97" s="1819"/>
      <c r="D97" s="1819"/>
      <c r="E97" s="2567">
        <f>'Part II-Sources of Funds'!E54</f>
        <v>0</v>
      </c>
      <c r="F97" s="2567"/>
      <c r="G97" s="2567"/>
      <c r="H97" s="2567"/>
      <c r="I97" s="2570">
        <f>'Part II-Sources of Funds'!I54</f>
        <v>0</v>
      </c>
      <c r="J97" s="1819"/>
      <c r="K97" s="1819"/>
      <c r="L97" s="2563"/>
      <c r="M97" s="2563"/>
      <c r="N97" s="2563"/>
      <c r="O97" s="2563"/>
      <c r="P97" s="2563"/>
      <c r="Q97" s="1819"/>
    </row>
    <row r="98" spans="1:17" ht="13.8">
      <c r="A98" s="1819"/>
      <c r="B98" s="1819" t="s">
        <v>1732</v>
      </c>
      <c r="C98" s="1819"/>
      <c r="D98" s="1819"/>
      <c r="E98" s="2567" t="str">
        <f>'Part II-Sources of Funds'!E55</f>
        <v>TBD</v>
      </c>
      <c r="F98" s="2567"/>
      <c r="G98" s="2567"/>
      <c r="H98" s="2567"/>
      <c r="I98" s="2570">
        <f>'Part II-Sources of Funds'!I55</f>
        <v>144410</v>
      </c>
      <c r="J98" s="1819"/>
      <c r="K98" s="2563"/>
      <c r="L98" s="2563"/>
      <c r="M98" s="2563"/>
      <c r="N98" s="2567"/>
      <c r="O98" s="2567"/>
      <c r="P98" s="2567"/>
      <c r="Q98" s="1819"/>
    </row>
    <row r="99" spans="1:17" ht="13.8">
      <c r="A99" s="1819"/>
      <c r="B99" s="1819" t="s">
        <v>1733</v>
      </c>
      <c r="C99" s="1819"/>
      <c r="D99" s="1819"/>
      <c r="E99" s="2567">
        <f>'Part II-Sources of Funds'!E56</f>
        <v>0</v>
      </c>
      <c r="F99" s="2567"/>
      <c r="G99" s="2567"/>
      <c r="H99" s="2567"/>
      <c r="I99" s="2570">
        <f>'Part II-Sources of Funds'!I56</f>
        <v>0</v>
      </c>
      <c r="J99" s="1819"/>
      <c r="K99" s="2563"/>
      <c r="L99" s="2563"/>
      <c r="M99" s="2567"/>
      <c r="N99" s="2567"/>
      <c r="O99" s="2567"/>
      <c r="P99" s="2567"/>
      <c r="Q99" s="1819"/>
    </row>
    <row r="100" spans="1:17" ht="41.4">
      <c r="A100" s="1819"/>
      <c r="B100" s="1819" t="s">
        <v>690</v>
      </c>
      <c r="C100" s="2567" t="str">
        <f>'Part II-Sources of Funds'!C57</f>
        <v>MM Capital Contribution</v>
      </c>
      <c r="D100" s="2567"/>
      <c r="E100" s="2567" t="str">
        <f>'Part II-Sources of Funds'!E57</f>
        <v>CAHEC Properties, LLC</v>
      </c>
      <c r="F100" s="2567"/>
      <c r="G100" s="2567"/>
      <c r="H100" s="2567"/>
      <c r="I100" s="2570">
        <f>'Part II-Sources of Funds'!I57</f>
        <v>159</v>
      </c>
      <c r="J100" s="1819"/>
      <c r="K100" s="2563"/>
      <c r="L100" s="2563"/>
      <c r="M100" s="2567"/>
      <c r="N100" s="2567"/>
      <c r="O100" s="2567"/>
      <c r="P100" s="2567"/>
      <c r="Q100" s="1819"/>
    </row>
    <row r="101" spans="1:17" ht="13.8">
      <c r="A101" s="1819"/>
      <c r="B101" s="1819" t="s">
        <v>690</v>
      </c>
      <c r="C101" s="2567">
        <f>'Part II-Sources of Funds'!C58</f>
        <v>0</v>
      </c>
      <c r="D101" s="2567"/>
      <c r="E101" s="2567">
        <f>'Part II-Sources of Funds'!E58</f>
        <v>0</v>
      </c>
      <c r="F101" s="2567"/>
      <c r="G101" s="2567"/>
      <c r="H101" s="2567"/>
      <c r="I101" s="2570">
        <f>'Part II-Sources of Funds'!I58</f>
        <v>0</v>
      </c>
      <c r="J101" s="1819"/>
      <c r="K101" s="1819"/>
      <c r="L101" s="1622"/>
      <c r="M101" s="2567"/>
      <c r="N101" s="2567"/>
      <c r="O101" s="2567"/>
      <c r="P101" s="2567"/>
      <c r="Q101" s="1819"/>
    </row>
    <row r="102" spans="1:17" ht="13.8">
      <c r="A102" s="1819"/>
      <c r="B102" s="1819" t="s">
        <v>690</v>
      </c>
      <c r="C102" s="2567">
        <f>'Part II-Sources of Funds'!C59</f>
        <v>0</v>
      </c>
      <c r="D102" s="2567"/>
      <c r="E102" s="2567">
        <f>'Part II-Sources of Funds'!E59</f>
        <v>0</v>
      </c>
      <c r="F102" s="2567"/>
      <c r="G102" s="2567"/>
      <c r="H102" s="2567"/>
      <c r="I102" s="2570">
        <f>'Part II-Sources of Funds'!I59</f>
        <v>0</v>
      </c>
      <c r="J102" s="1819"/>
      <c r="K102" s="1819"/>
      <c r="L102" s="1622"/>
      <c r="M102" s="2567"/>
      <c r="N102" s="2567"/>
      <c r="O102" s="2567"/>
      <c r="P102" s="2567"/>
      <c r="Q102" s="1819"/>
    </row>
    <row r="103" spans="1:17" ht="13.8">
      <c r="A103" s="1819"/>
      <c r="B103" s="2545" t="s">
        <v>2048</v>
      </c>
      <c r="C103" s="1819"/>
      <c r="D103" s="1819"/>
      <c r="E103" s="1819"/>
      <c r="F103" s="1819"/>
      <c r="G103" s="1819"/>
      <c r="H103" s="2563"/>
      <c r="I103" s="2472">
        <f>SUM(I83:J88)+SUM(I92:J102)</f>
        <v>4829637</v>
      </c>
      <c r="J103" s="2472"/>
      <c r="K103" s="1819"/>
      <c r="L103" s="1622"/>
      <c r="M103" s="2567"/>
      <c r="N103" s="2567"/>
      <c r="O103" s="2567"/>
      <c r="P103" s="2567"/>
      <c r="Q103" s="1819"/>
    </row>
    <row r="104" spans="1:17" ht="13.8">
      <c r="A104" s="1819"/>
      <c r="B104" s="2545" t="s">
        <v>2049</v>
      </c>
      <c r="C104" s="1819"/>
      <c r="D104" s="1819"/>
      <c r="E104" s="1819"/>
      <c r="F104" s="1819"/>
      <c r="G104" s="1819"/>
      <c r="H104" s="2563"/>
      <c r="I104" s="2472">
        <f>'Part III-A-Uses of Funds'!$G$146</f>
        <v>4829637</v>
      </c>
      <c r="J104" s="2472"/>
      <c r="K104" s="1819"/>
      <c r="L104" s="1622"/>
      <c r="M104" s="2567"/>
      <c r="N104" s="2567"/>
      <c r="O104" s="2567"/>
      <c r="P104" s="2567"/>
      <c r="Q104" s="1819"/>
    </row>
    <row r="105" spans="1:17" ht="13.8">
      <c r="A105" s="1819"/>
      <c r="B105" s="2545" t="s">
        <v>1428</v>
      </c>
      <c r="C105" s="1819"/>
      <c r="D105" s="1819"/>
      <c r="E105" s="1819"/>
      <c r="F105" s="1819"/>
      <c r="G105" s="1819"/>
      <c r="H105" s="2563"/>
      <c r="I105" s="2569">
        <f>I103-I104</f>
        <v>0</v>
      </c>
      <c r="J105" s="2569"/>
      <c r="K105" s="1819"/>
      <c r="L105" s="1622"/>
      <c r="M105" s="2567"/>
      <c r="N105" s="2567"/>
      <c r="O105" s="2567"/>
      <c r="P105" s="2567"/>
      <c r="Q105" s="1819"/>
    </row>
    <row r="106" spans="1:17" ht="13.8">
      <c r="A106" s="1819" t="s">
        <v>3945</v>
      </c>
      <c r="B106" s="2545"/>
      <c r="C106" s="1819"/>
      <c r="D106" s="1819"/>
      <c r="E106" s="1819"/>
      <c r="F106" s="1819"/>
      <c r="G106" s="1819"/>
      <c r="H106" s="2574"/>
      <c r="I106" s="2574"/>
      <c r="J106" s="378"/>
      <c r="K106" s="1819"/>
      <c r="L106" s="1622"/>
      <c r="M106" s="2567"/>
      <c r="N106" s="2567"/>
      <c r="O106" s="2567"/>
      <c r="P106" s="2567"/>
      <c r="Q106" s="1819"/>
    </row>
    <row r="107" spans="1:17" ht="13.8">
      <c r="A107" s="378"/>
      <c r="B107" s="378"/>
      <c r="C107" s="378"/>
      <c r="D107" s="378"/>
      <c r="E107" s="378"/>
      <c r="F107" s="378"/>
      <c r="G107" s="378"/>
      <c r="H107" s="378"/>
      <c r="I107" s="378"/>
      <c r="J107" s="378"/>
      <c r="K107" s="378"/>
      <c r="L107" s="378"/>
      <c r="M107" s="378"/>
      <c r="N107" s="378"/>
      <c r="O107" s="378"/>
      <c r="P107" s="378"/>
      <c r="Q107" s="378"/>
    </row>
    <row r="108" spans="1:17" ht="13.8">
      <c r="A108" s="2536" t="s">
        <v>1666</v>
      </c>
      <c r="B108" s="2536" t="s">
        <v>530</v>
      </c>
      <c r="C108" s="378"/>
      <c r="D108" s="378"/>
      <c r="E108" s="378"/>
      <c r="F108" s="378"/>
      <c r="G108" s="378"/>
      <c r="H108" s="378"/>
      <c r="I108" s="378"/>
      <c r="J108" s="378"/>
      <c r="K108" s="2562"/>
      <c r="L108" s="2562"/>
      <c r="M108" s="2536" t="s">
        <v>1666</v>
      </c>
      <c r="N108" s="2536" t="s">
        <v>74</v>
      </c>
      <c r="O108" s="378"/>
      <c r="P108" s="378"/>
      <c r="Q108" s="378"/>
    </row>
    <row r="109" spans="1:17" ht="409.6">
      <c r="A109" s="2561" t="str">
        <f>'Part II-Sources of Funds'!A66</f>
        <v>USDA 515 balance in the application and the purchase and sale agreement is the estimated assumed balance at time of anticipated closing. Property currently has a HOME loan. Development budget includes paying off and removing this loan. 
In addition to purchasing the State Housing Credits, the State Credit Investor will purchase 1% of the Federal Credits. The total investment by the State Credit Investor is $1,281,511 = $1,265,647 (State Housing Credit Equity) + $15,864 (Federal Housing Credit Equity). CAHEC's Federal Housing Credit Equity investment is $1,570,379. The total Federal Housing Credit Equity $1,586,243 = $1,570,379 (CAHEC) + $15,864 (State Investor).</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ht="13.8">
      <c r="A115" s="2536" t="str">
        <f>CONCATENATE("PART THREE (A):  USES OF FUNDS","  -  ",'Part I-Project Identification'!$O$7," ",'Part I-Project Identification'!$F$25,", ",'Part I-Project Identification'!F143,", ",'Part I-Project Identification'!J143," County")</f>
        <v>PART THREE (A):  USES OF FUNDS  -  2023-5 Brightwood Lane Apartments,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ht="13.8">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8">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3.8">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c r="A119" s="2584" t="s">
        <v>573</v>
      </c>
      <c r="B119" s="2584" t="s">
        <v>842</v>
      </c>
      <c r="C119" s="1819"/>
      <c r="D119" s="2585" t="str">
        <f>'Part I-Project Identification'!$A$6</f>
        <v>Sept 2023</v>
      </c>
      <c r="E119" s="2585"/>
      <c r="F119" s="2585"/>
      <c r="G119" s="2585"/>
      <c r="H119" s="2585"/>
      <c r="I119" s="2584"/>
      <c r="J119" s="2538" t="s">
        <v>259</v>
      </c>
      <c r="K119" s="2538"/>
      <c r="L119" s="2469"/>
      <c r="M119" s="2475" t="s">
        <v>460</v>
      </c>
      <c r="N119" s="2475"/>
      <c r="O119" s="1819"/>
      <c r="P119" s="2538" t="s">
        <v>260</v>
      </c>
      <c r="Q119" s="2538"/>
      <c r="R119" s="1819"/>
      <c r="S119" s="2538" t="s">
        <v>261</v>
      </c>
      <c r="T119" s="2538"/>
      <c r="U119" s="1819"/>
      <c r="V119" s="2586" t="str">
        <f>B119</f>
        <v>DEVELOPMENT BUDGET</v>
      </c>
    </row>
    <row r="120" spans="1:22" ht="13.8">
      <c r="A120" s="1819"/>
      <c r="B120" s="1819"/>
      <c r="C120" s="1819"/>
      <c r="D120" s="2585"/>
      <c r="E120" s="2585"/>
      <c r="F120" s="2585"/>
      <c r="G120" s="2536" t="s">
        <v>95</v>
      </c>
      <c r="H120" s="2536"/>
      <c r="I120" s="1819"/>
      <c r="J120" s="2538"/>
      <c r="K120" s="2538"/>
      <c r="L120" s="2469"/>
      <c r="M120" s="2475"/>
      <c r="N120" s="2475"/>
      <c r="O120" s="1819"/>
      <c r="P120" s="2538"/>
      <c r="Q120" s="2538"/>
      <c r="R120" s="1819"/>
      <c r="S120" s="2538"/>
      <c r="T120" s="2538"/>
      <c r="U120" s="1819"/>
      <c r="V120" s="377" t="s">
        <v>2448</v>
      </c>
    </row>
    <row r="121" spans="1:22" ht="13.8">
      <c r="A121" s="1819"/>
      <c r="B121" s="2536" t="s">
        <v>96</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ht="13.8">
      <c r="A122" s="1819"/>
      <c r="B122" s="1819" t="s">
        <v>1855</v>
      </c>
      <c r="C122" s="1819"/>
      <c r="D122" s="1819"/>
      <c r="E122" s="1819"/>
      <c r="F122" s="1819"/>
      <c r="G122" s="2469">
        <f>'Part III-A-Uses of Funds'!G9</f>
        <v>5700</v>
      </c>
      <c r="H122" s="2469"/>
      <c r="I122" s="1819"/>
      <c r="J122" s="2469">
        <f>'Part III-A-Uses of Funds'!J9</f>
        <v>0</v>
      </c>
      <c r="K122" s="2469"/>
      <c r="L122" s="2467"/>
      <c r="M122" s="2469">
        <f>'Part III-A-Uses of Funds'!M9</f>
        <v>0</v>
      </c>
      <c r="N122" s="2469"/>
      <c r="O122" s="1819"/>
      <c r="P122" s="2469">
        <f>'Part III-A-Uses of Funds'!P9</f>
        <v>5700</v>
      </c>
      <c r="Q122" s="2469"/>
      <c r="R122" s="1819"/>
      <c r="S122" s="2469">
        <f>'Part III-A-Uses of Funds'!S9</f>
        <v>0</v>
      </c>
      <c r="T122" s="2469"/>
      <c r="U122" s="1819"/>
      <c r="V122" s="2587"/>
    </row>
    <row r="123" spans="1:22" ht="13.8">
      <c r="A123" s="1819"/>
      <c r="B123" s="1819" t="s">
        <v>431</v>
      </c>
      <c r="C123" s="1819"/>
      <c r="D123" s="1819"/>
      <c r="E123" s="1819"/>
      <c r="F123" s="1819"/>
      <c r="G123" s="2469">
        <f>'Part III-A-Uses of Funds'!G10</f>
        <v>3900</v>
      </c>
      <c r="H123" s="2469"/>
      <c r="I123" s="1819"/>
      <c r="J123" s="2469">
        <f>'Part III-A-Uses of Funds'!J10</f>
        <v>0</v>
      </c>
      <c r="K123" s="2469"/>
      <c r="L123" s="2467"/>
      <c r="M123" s="2469">
        <f>'Part III-A-Uses of Funds'!M10</f>
        <v>0</v>
      </c>
      <c r="N123" s="2469"/>
      <c r="O123" s="1819"/>
      <c r="P123" s="2469">
        <f>'Part III-A-Uses of Funds'!P10</f>
        <v>3900</v>
      </c>
      <c r="Q123" s="2469"/>
      <c r="R123" s="1819"/>
      <c r="S123" s="2469">
        <f>'Part III-A-Uses of Funds'!S10</f>
        <v>0</v>
      </c>
      <c r="T123" s="2469"/>
      <c r="U123" s="1819"/>
      <c r="V123" s="2587"/>
    </row>
    <row r="124" spans="1:22" ht="13.8">
      <c r="A124" s="1819"/>
      <c r="B124" s="1819" t="s">
        <v>458</v>
      </c>
      <c r="C124" s="1819"/>
      <c r="D124" s="1819"/>
      <c r="E124" s="1819"/>
      <c r="F124" s="1819"/>
      <c r="G124" s="2469">
        <f>'Part III-A-Uses of Funds'!G11</f>
        <v>13950</v>
      </c>
      <c r="H124" s="2469"/>
      <c r="I124" s="1819"/>
      <c r="J124" s="2469">
        <f>'Part III-A-Uses of Funds'!J11</f>
        <v>0</v>
      </c>
      <c r="K124" s="2469"/>
      <c r="L124" s="2467"/>
      <c r="M124" s="2469">
        <f>'Part III-A-Uses of Funds'!M11</f>
        <v>0</v>
      </c>
      <c r="N124" s="2469"/>
      <c r="O124" s="1819"/>
      <c r="P124" s="2469">
        <f>'Part III-A-Uses of Funds'!P11</f>
        <v>13950</v>
      </c>
      <c r="Q124" s="2469"/>
      <c r="R124" s="1819"/>
      <c r="S124" s="2469">
        <f>'Part III-A-Uses of Funds'!S11</f>
        <v>0</v>
      </c>
      <c r="T124" s="2469"/>
      <c r="U124" s="1819"/>
      <c r="V124" s="2587"/>
    </row>
    <row r="125" spans="1:22" ht="13.8">
      <c r="A125" s="1819"/>
      <c r="B125" s="1819" t="s">
        <v>459</v>
      </c>
      <c r="C125" s="1819"/>
      <c r="D125" s="1819"/>
      <c r="E125" s="1819"/>
      <c r="F125" s="1819"/>
      <c r="G125" s="2469">
        <f>'Part III-A-Uses of Funds'!G12</f>
        <v>0</v>
      </c>
      <c r="H125" s="2469"/>
      <c r="I125" s="1819"/>
      <c r="J125" s="2469">
        <f>'Part III-A-Uses of Funds'!J12</f>
        <v>0</v>
      </c>
      <c r="K125" s="2469"/>
      <c r="L125" s="2467"/>
      <c r="M125" s="2469">
        <f>'Part III-A-Uses of Funds'!M12</f>
        <v>0</v>
      </c>
      <c r="N125" s="2469"/>
      <c r="O125" s="1819"/>
      <c r="P125" s="2469">
        <f>'Part III-A-Uses of Funds'!P12</f>
        <v>0</v>
      </c>
      <c r="Q125" s="2469"/>
      <c r="R125" s="1819"/>
      <c r="S125" s="2469">
        <f>'Part III-A-Uses of Funds'!S12</f>
        <v>0</v>
      </c>
      <c r="T125" s="2469"/>
      <c r="U125" s="1819"/>
      <c r="V125" s="2587"/>
    </row>
    <row r="126" spans="1:22" ht="13.8">
      <c r="A126" s="1819"/>
      <c r="B126" s="1819" t="s">
        <v>2301</v>
      </c>
      <c r="C126" s="1819"/>
      <c r="D126" s="1819"/>
      <c r="E126" s="1819"/>
      <c r="F126" s="1819"/>
      <c r="G126" s="2469">
        <f>'Part III-A-Uses of Funds'!G13</f>
        <v>12000</v>
      </c>
      <c r="H126" s="2469"/>
      <c r="I126" s="1819"/>
      <c r="J126" s="2469">
        <f>'Part III-A-Uses of Funds'!J13</f>
        <v>0</v>
      </c>
      <c r="K126" s="2469"/>
      <c r="L126" s="2467"/>
      <c r="M126" s="2469">
        <f>'Part III-A-Uses of Funds'!M13</f>
        <v>0</v>
      </c>
      <c r="N126" s="2469"/>
      <c r="O126" s="1819"/>
      <c r="P126" s="2469">
        <f>'Part III-A-Uses of Funds'!P13</f>
        <v>12000</v>
      </c>
      <c r="Q126" s="2469"/>
      <c r="R126" s="1819"/>
      <c r="S126" s="2469">
        <f>'Part III-A-Uses of Funds'!S13</f>
        <v>0</v>
      </c>
      <c r="T126" s="2469"/>
      <c r="U126" s="1819"/>
      <c r="V126" s="2587"/>
    </row>
    <row r="127" spans="1:22" ht="13.8">
      <c r="A127" s="1819"/>
      <c r="B127" s="1819" t="s">
        <v>183</v>
      </c>
      <c r="C127" s="1819"/>
      <c r="D127" s="1819"/>
      <c r="E127" s="1819"/>
      <c r="F127" s="1819"/>
      <c r="G127" s="2469">
        <f>'Part III-A-Uses of Funds'!G14</f>
        <v>0</v>
      </c>
      <c r="H127" s="2469"/>
      <c r="I127" s="1819"/>
      <c r="J127" s="2469">
        <f>'Part III-A-Uses of Funds'!J14</f>
        <v>0</v>
      </c>
      <c r="K127" s="2469"/>
      <c r="L127" s="2467"/>
      <c r="M127" s="2469">
        <f>'Part III-A-Uses of Funds'!M14</f>
        <v>0</v>
      </c>
      <c r="N127" s="2469"/>
      <c r="O127" s="1819"/>
      <c r="P127" s="2469">
        <f>'Part III-A-Uses of Funds'!P14</f>
        <v>0</v>
      </c>
      <c r="Q127" s="2469"/>
      <c r="R127" s="1819"/>
      <c r="S127" s="2469">
        <f>'Part III-A-Uses of Funds'!S14</f>
        <v>0</v>
      </c>
      <c r="T127" s="2469"/>
      <c r="U127" s="1819"/>
      <c r="V127" s="2587"/>
    </row>
    <row r="128" spans="1:22" ht="15.75" customHeight="1">
      <c r="A128" s="2588" t="str">
        <f>IF(AND(G128&gt;0,OR(C128="",C128="&lt;Enter detailed description here; use Comments section if needed&gt;")),"X","")</f>
        <v/>
      </c>
      <c r="B128" s="2544" t="s">
        <v>6272</v>
      </c>
      <c r="C128" s="2589" t="str">
        <f>'Part III-A-Uses of Funds'!C15</f>
        <v>Physical Needs Assessment</v>
      </c>
      <c r="D128" s="2589"/>
      <c r="E128" s="2589"/>
      <c r="F128" s="2589"/>
      <c r="G128" s="2469">
        <f>'Part III-A-Uses of Funds'!G15</f>
        <v>5400</v>
      </c>
      <c r="H128" s="2469"/>
      <c r="I128" s="1819"/>
      <c r="J128" s="2469">
        <f>'Part III-A-Uses of Funds'!J15</f>
        <v>0</v>
      </c>
      <c r="K128" s="2469"/>
      <c r="L128" s="2467"/>
      <c r="M128" s="2469">
        <f>'Part III-A-Uses of Funds'!M15</f>
        <v>0</v>
      </c>
      <c r="N128" s="2469"/>
      <c r="O128" s="1819"/>
      <c r="P128" s="2469">
        <f>'Part III-A-Uses of Funds'!P15</f>
        <v>5400</v>
      </c>
      <c r="Q128" s="2469"/>
      <c r="R128" s="1819"/>
      <c r="S128" s="2469">
        <f>'Part III-A-Uses of Funds'!S15</f>
        <v>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c r="A129" s="2588" t="str">
        <f>IF(AND(G129&gt;0,OR(C129="",C129="&lt;Enter detailed description here; use Comments section if needed&gt;")),"X","")</f>
        <v/>
      </c>
      <c r="B129" s="2544" t="s">
        <v>6273</v>
      </c>
      <c r="C129" s="2589" t="str">
        <f>'Part III-A-Uses of Funds'!C16</f>
        <v>&lt;&lt; Enter description here; provide detail &amp; justification in tab Part III-b &gt;&gt;</v>
      </c>
      <c r="D129" s="2589"/>
      <c r="E129" s="2589"/>
      <c r="F129" s="2589"/>
      <c r="G129" s="2469">
        <f>'Part III-A-Uses of Funds'!G16</f>
        <v>0</v>
      </c>
      <c r="H129" s="2469"/>
      <c r="I129" s="1819"/>
      <c r="J129" s="2469">
        <f>'Part III-A-Uses of Funds'!J16</f>
        <v>0</v>
      </c>
      <c r="K129" s="2469"/>
      <c r="L129" s="2467"/>
      <c r="M129" s="2469">
        <f>'Part III-A-Uses of Funds'!M16</f>
        <v>0</v>
      </c>
      <c r="N129" s="2469"/>
      <c r="O129" s="1819"/>
      <c r="P129" s="2469">
        <f>'Part III-A-Uses of Funds'!P16</f>
        <v>0</v>
      </c>
      <c r="Q129" s="2469"/>
      <c r="R129" s="1819"/>
      <c r="S129" s="2469">
        <f>'Part III-A-Uses of Funds'!S16</f>
        <v>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c r="A130" s="2588" t="str">
        <f>IF(AND(G130&gt;0,OR(C130="",C130="&lt;Enter detailed description here; use Comments section if needed&gt;")),"X","")</f>
        <v/>
      </c>
      <c r="B130" s="2544" t="s">
        <v>6274</v>
      </c>
      <c r="C130" s="2589" t="str">
        <f>'Part III-A-Uses of Funds'!C17</f>
        <v>&lt;&lt; Enter description here; provide detail &amp; justification in tab Part III-b &gt;&gt;</v>
      </c>
      <c r="D130" s="2589"/>
      <c r="E130" s="2589"/>
      <c r="F130" s="2589"/>
      <c r="G130" s="2469">
        <f>'Part III-A-Uses of Funds'!G17</f>
        <v>0</v>
      </c>
      <c r="H130" s="2469"/>
      <c r="I130" s="1819"/>
      <c r="J130" s="2469">
        <f>'Part III-A-Uses of Funds'!J17</f>
        <v>0</v>
      </c>
      <c r="K130" s="2469"/>
      <c r="L130" s="2467"/>
      <c r="M130" s="2469">
        <f>'Part III-A-Uses of Funds'!M17</f>
        <v>0</v>
      </c>
      <c r="N130" s="2469"/>
      <c r="O130" s="1819"/>
      <c r="P130" s="2469">
        <f>'Part III-A-Uses of Funds'!P17</f>
        <v>0</v>
      </c>
      <c r="Q130" s="2469"/>
      <c r="R130" s="1819"/>
      <c r="S130" s="2469">
        <f>'Part III-A-Uses of Funds'!S17</f>
        <v>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ht="13.8">
      <c r="A131" s="1819"/>
      <c r="B131" s="1819"/>
      <c r="C131" s="1819"/>
      <c r="D131" s="1819"/>
      <c r="E131" s="1819"/>
      <c r="F131" s="2591" t="s">
        <v>184</v>
      </c>
      <c r="G131" s="2469">
        <f>SUM(G122:G130)</f>
        <v>40950</v>
      </c>
      <c r="H131" s="2469"/>
      <c r="I131" s="1819"/>
      <c r="J131" s="2469">
        <f>SUM(J122:J130)</f>
        <v>0</v>
      </c>
      <c r="K131" s="2469"/>
      <c r="L131" s="2467"/>
      <c r="M131" s="2469">
        <f>SUM(M122:M130)</f>
        <v>0</v>
      </c>
      <c r="N131" s="2469"/>
      <c r="O131" s="1819"/>
      <c r="P131" s="2469">
        <f>SUM(P122:P130)</f>
        <v>40950</v>
      </c>
      <c r="Q131" s="2469"/>
      <c r="R131" s="1819"/>
      <c r="S131" s="2469">
        <f>SUM(S122:S130)</f>
        <v>0</v>
      </c>
      <c r="T131" s="2469"/>
      <c r="U131" s="1819"/>
      <c r="V131" s="2587">
        <f>SUM(V122:V130)</f>
        <v>0</v>
      </c>
    </row>
    <row r="132" spans="1:22" ht="13.8">
      <c r="A132" s="1819"/>
      <c r="B132" s="2536" t="s">
        <v>2037</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ht="13.8">
      <c r="A133" s="1819"/>
      <c r="B133" s="1819" t="s">
        <v>2038</v>
      </c>
      <c r="C133" s="1819"/>
      <c r="D133" s="1819"/>
      <c r="E133" s="2592" t="s">
        <v>3220</v>
      </c>
      <c r="F133" s="2593">
        <f>IF('Part I-Project Identification'!$O$27="","",G133/'Part I-Project Identification'!$O$27)</f>
        <v>11281.39534883721</v>
      </c>
      <c r="G133" s="2469">
        <f>'Part III-A-Uses of Funds'!G20</f>
        <v>38808</v>
      </c>
      <c r="H133" s="2469"/>
      <c r="I133" s="1819"/>
      <c r="J133" s="2467"/>
      <c r="K133" s="2469"/>
      <c r="L133" s="2467"/>
      <c r="M133" s="2467"/>
      <c r="N133" s="2469"/>
      <c r="O133" s="1819"/>
      <c r="P133" s="2467"/>
      <c r="Q133" s="2469"/>
      <c r="R133" s="1819"/>
      <c r="S133" s="2469">
        <f>'Part III-A-Uses of Funds'!S20</f>
        <v>38808</v>
      </c>
      <c r="T133" s="2469"/>
      <c r="U133" s="1819"/>
      <c r="V133" s="2587"/>
    </row>
    <row r="134" spans="1:22" ht="13.8">
      <c r="A134" s="1819"/>
      <c r="B134" s="1819" t="s">
        <v>1054</v>
      </c>
      <c r="C134" s="1819"/>
      <c r="D134" s="1819"/>
      <c r="E134" s="1819"/>
      <c r="F134" s="1819"/>
      <c r="G134" s="2469">
        <f>'Part III-A-Uses of Funds'!G21</f>
        <v>0</v>
      </c>
      <c r="H134" s="2469"/>
      <c r="I134" s="1819"/>
      <c r="J134" s="2467"/>
      <c r="K134" s="2469"/>
      <c r="L134" s="2467"/>
      <c r="M134" s="2467"/>
      <c r="N134" s="2469"/>
      <c r="O134" s="1819"/>
      <c r="P134" s="2467"/>
      <c r="Q134" s="2469"/>
      <c r="R134" s="1819"/>
      <c r="S134" s="2469">
        <f>'Part III-A-Uses of Funds'!S21</f>
        <v>0</v>
      </c>
      <c r="T134" s="2469"/>
      <c r="U134" s="1819"/>
      <c r="V134" s="2587"/>
    </row>
    <row r="135" spans="1:22" ht="13.8">
      <c r="A135" s="1819"/>
      <c r="B135" s="1819" t="s">
        <v>432</v>
      </c>
      <c r="C135" s="1819"/>
      <c r="D135" s="1819"/>
      <c r="E135" s="1819"/>
      <c r="F135" s="1819"/>
      <c r="G135" s="2469">
        <f>'Part III-A-Uses of Funds'!G22</f>
        <v>29500</v>
      </c>
      <c r="H135" s="2469"/>
      <c r="I135" s="1819"/>
      <c r="J135" s="2467"/>
      <c r="K135" s="2469"/>
      <c r="L135" s="2467"/>
      <c r="M135" s="2469">
        <f>'Part III-A-Uses of Funds'!M22</f>
        <v>29040</v>
      </c>
      <c r="N135" s="2469"/>
      <c r="O135" s="1819"/>
      <c r="P135" s="2467"/>
      <c r="Q135" s="2469"/>
      <c r="R135" s="1819"/>
      <c r="S135" s="2469">
        <f>'Part III-A-Uses of Funds'!S22</f>
        <v>0</v>
      </c>
      <c r="T135" s="2469"/>
      <c r="U135" s="1819"/>
      <c r="V135" s="2587"/>
    </row>
    <row r="136" spans="1:22" ht="13.8">
      <c r="A136" s="1819"/>
      <c r="B136" s="1819" t="s">
        <v>405</v>
      </c>
      <c r="C136" s="1819"/>
      <c r="D136" s="1819"/>
      <c r="E136" s="1819"/>
      <c r="F136" s="1819"/>
      <c r="G136" s="2469">
        <f>'Part III-A-Uses of Funds'!G23</f>
        <v>1309949</v>
      </c>
      <c r="H136" s="2469"/>
      <c r="I136" s="1819"/>
      <c r="J136" s="2467"/>
      <c r="K136" s="2469"/>
      <c r="L136" s="2467"/>
      <c r="M136" s="2469">
        <f>'Part III-A-Uses of Funds'!M23</f>
        <v>1236361</v>
      </c>
      <c r="N136" s="2469"/>
      <c r="O136" s="1819"/>
      <c r="P136" s="2467"/>
      <c r="Q136" s="2469"/>
      <c r="R136" s="1819"/>
      <c r="S136" s="2469">
        <f>'Part III-A-Uses of Funds'!S23</f>
        <v>73588</v>
      </c>
      <c r="T136" s="2469"/>
      <c r="U136" s="1819"/>
      <c r="V136" s="2587"/>
    </row>
    <row r="137" spans="1:22" ht="13.8">
      <c r="A137" s="1819"/>
      <c r="B137" s="1819"/>
      <c r="C137" s="1819"/>
      <c r="D137" s="1819"/>
      <c r="E137" s="1819"/>
      <c r="F137" s="2591" t="s">
        <v>184</v>
      </c>
      <c r="G137" s="2469">
        <f>SUM(G133:G136)</f>
        <v>1378257</v>
      </c>
      <c r="H137" s="2469"/>
      <c r="I137" s="1819"/>
      <c r="J137" s="2467"/>
      <c r="K137" s="2469"/>
      <c r="L137" s="2467"/>
      <c r="M137" s="2469">
        <f>SUM(M135:M136)</f>
        <v>1265401</v>
      </c>
      <c r="N137" s="2469"/>
      <c r="O137" s="1819"/>
      <c r="P137" s="2467"/>
      <c r="Q137" s="2469"/>
      <c r="R137" s="1819"/>
      <c r="S137" s="2469">
        <f>SUM(S133:S136)</f>
        <v>112396</v>
      </c>
      <c r="T137" s="2469"/>
      <c r="U137" s="1819"/>
      <c r="V137" s="2587">
        <f>SUM(V133:V136)</f>
        <v>0</v>
      </c>
    </row>
    <row r="138" spans="1:22" ht="13.8">
      <c r="A138" s="1819"/>
      <c r="B138" s="2536" t="s">
        <v>1055</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ht="13.8">
      <c r="A139" s="1819"/>
      <c r="B139" s="1819" t="s">
        <v>1056</v>
      </c>
      <c r="C139" s="1819"/>
      <c r="D139" s="1819"/>
      <c r="E139" s="2592" t="s">
        <v>3220</v>
      </c>
      <c r="F139" s="2593">
        <f>IF('Part I-Project Identification'!$O$27="","",G139/'Part I-Project Identification'!$O$27)</f>
        <v>0</v>
      </c>
      <c r="G139" s="2469">
        <f>'Part III-A-Uses of Funds'!G26</f>
        <v>0</v>
      </c>
      <c r="H139" s="2469"/>
      <c r="I139" s="1819"/>
      <c r="J139" s="2469">
        <f>'Part III-A-Uses of Funds'!J26</f>
        <v>0</v>
      </c>
      <c r="K139" s="2469"/>
      <c r="L139" s="2467"/>
      <c r="M139" s="2469">
        <f>'Part III-A-Uses of Funds'!M26</f>
        <v>0</v>
      </c>
      <c r="N139" s="2469"/>
      <c r="O139" s="1819"/>
      <c r="P139" s="2469">
        <f>'Part III-A-Uses of Funds'!P26</f>
        <v>0</v>
      </c>
      <c r="Q139" s="2469"/>
      <c r="R139" s="1819"/>
      <c r="S139" s="2469">
        <f>'Part III-A-Uses of Funds'!S26</f>
        <v>0</v>
      </c>
      <c r="T139" s="2469"/>
      <c r="U139" s="1819"/>
      <c r="V139" s="2587"/>
    </row>
    <row r="140" spans="1:22" ht="13.8">
      <c r="A140" s="1819"/>
      <c r="B140" s="1819" t="s">
        <v>1057</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ht="13.8">
      <c r="A141" s="1819"/>
      <c r="B141" s="1819"/>
      <c r="C141" s="1819"/>
      <c r="D141" s="1819"/>
      <c r="E141" s="1819"/>
      <c r="F141" s="2591" t="s">
        <v>184</v>
      </c>
      <c r="G141" s="2469">
        <f>SUM(G139:G140)</f>
        <v>0</v>
      </c>
      <c r="H141" s="2469"/>
      <c r="I141" s="1819"/>
      <c r="J141" s="2469">
        <f>SUM(J139:J140)</f>
        <v>0</v>
      </c>
      <c r="K141" s="2469"/>
      <c r="L141" s="2467"/>
      <c r="M141" s="2469">
        <f>M139</f>
        <v>0</v>
      </c>
      <c r="N141" s="2469"/>
      <c r="O141" s="1819"/>
      <c r="P141" s="2469">
        <f>P139</f>
        <v>0</v>
      </c>
      <c r="Q141" s="2469"/>
      <c r="R141" s="1819"/>
      <c r="S141" s="2469">
        <f>SUM(S139:S140)</f>
        <v>0</v>
      </c>
      <c r="T141" s="2469"/>
      <c r="U141" s="1819"/>
      <c r="V141" s="2587">
        <f>SUM(V139:V140)</f>
        <v>0</v>
      </c>
    </row>
    <row r="142" spans="1:22" ht="13.8">
      <c r="A142" s="1819"/>
      <c r="B142" s="2536" t="s">
        <v>1058</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ht="13.8">
      <c r="A143" s="1819"/>
      <c r="B143" s="1819" t="s">
        <v>1059</v>
      </c>
      <c r="C143" s="1819"/>
      <c r="D143" s="1819"/>
      <c r="E143" s="1819"/>
      <c r="F143" s="1819"/>
      <c r="G143" s="2469">
        <f>'Part III-A-Uses of Funds'!G30</f>
        <v>0</v>
      </c>
      <c r="H143" s="2469"/>
      <c r="I143" s="1819"/>
      <c r="J143" s="2469">
        <f>'Part III-A-Uses of Funds'!J30</f>
        <v>0</v>
      </c>
      <c r="K143" s="2469"/>
      <c r="L143" s="2467"/>
      <c r="M143" s="2469">
        <f>'Part III-A-Uses of Funds'!M30</f>
        <v>0</v>
      </c>
      <c r="N143" s="2469"/>
      <c r="O143" s="1819"/>
      <c r="P143" s="2469">
        <f>'Part III-A-Uses of Funds'!P30</f>
        <v>0</v>
      </c>
      <c r="Q143" s="2469"/>
      <c r="R143" s="1819"/>
      <c r="S143" s="2469">
        <f>'Part III-A-Uses of Funds'!S30</f>
        <v>0</v>
      </c>
      <c r="T143" s="2469"/>
      <c r="U143" s="1819"/>
      <c r="V143" s="2587"/>
    </row>
    <row r="144" spans="1:22" ht="13.8">
      <c r="A144" s="1819"/>
      <c r="B144" s="1819" t="s">
        <v>1060</v>
      </c>
      <c r="C144" s="1819"/>
      <c r="D144" s="1819"/>
      <c r="E144" s="1819"/>
      <c r="F144" s="1819"/>
      <c r="G144" s="2469">
        <f>'Part III-A-Uses of Funds'!G31</f>
        <v>1800000</v>
      </c>
      <c r="H144" s="2469"/>
      <c r="I144" s="1819"/>
      <c r="J144" s="2469">
        <f>'Part III-A-Uses of Funds'!J31</f>
        <v>0</v>
      </c>
      <c r="K144" s="2469"/>
      <c r="L144" s="2467"/>
      <c r="M144" s="2469">
        <f>'Part III-A-Uses of Funds'!M31</f>
        <v>0</v>
      </c>
      <c r="N144" s="2469"/>
      <c r="O144" s="1819"/>
      <c r="P144" s="2469">
        <f>'Part III-A-Uses of Funds'!P31</f>
        <v>1800000</v>
      </c>
      <c r="Q144" s="2469"/>
      <c r="R144" s="1819"/>
      <c r="S144" s="2469">
        <f>'Part III-A-Uses of Funds'!S31</f>
        <v>0</v>
      </c>
      <c r="T144" s="2469"/>
      <c r="U144" s="1819"/>
      <c r="V144" s="2587"/>
    </row>
    <row r="145" spans="1:22" ht="13.8">
      <c r="A145" s="1819"/>
      <c r="B145" s="1819" t="s">
        <v>6089</v>
      </c>
      <c r="C145" s="1819"/>
      <c r="D145" s="1819"/>
      <c r="E145" s="1819"/>
      <c r="F145" s="1819"/>
      <c r="G145" s="2469">
        <f>'Part III-A-Uses of Funds'!G32</f>
        <v>0</v>
      </c>
      <c r="H145" s="2469"/>
      <c r="I145" s="1819"/>
      <c r="J145" s="2469">
        <f>'Part III-A-Uses of Funds'!J32</f>
        <v>0</v>
      </c>
      <c r="K145" s="2469"/>
      <c r="L145" s="2467"/>
      <c r="M145" s="2469">
        <f>'Part III-A-Uses of Funds'!M32</f>
        <v>0</v>
      </c>
      <c r="N145" s="2469"/>
      <c r="O145" s="1819"/>
      <c r="P145" s="2469">
        <f>'Part III-A-Uses of Funds'!P32</f>
        <v>0</v>
      </c>
      <c r="Q145" s="2469"/>
      <c r="R145" s="1819"/>
      <c r="S145" s="2469">
        <f>'Part III-A-Uses of Funds'!S32</f>
        <v>0</v>
      </c>
      <c r="T145" s="2469"/>
      <c r="U145" s="1819"/>
      <c r="V145" s="2587"/>
    </row>
    <row r="146" spans="1:22" ht="13.8">
      <c r="A146" s="1819"/>
      <c r="B146" s="1819" t="s">
        <v>6087</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ht="13.8">
      <c r="A147" s="378"/>
      <c r="B147" s="1819" t="s">
        <v>2494</v>
      </c>
      <c r="C147" s="378"/>
      <c r="D147" s="378"/>
      <c r="E147" s="378"/>
      <c r="F147" s="378"/>
      <c r="G147" s="2469">
        <f>'Part III-A-Uses of Funds'!G34</f>
        <v>0</v>
      </c>
      <c r="H147" s="2469"/>
      <c r="I147" s="1819"/>
      <c r="J147" s="2469">
        <f>'Part III-A-Uses of Funds'!J34</f>
        <v>0</v>
      </c>
      <c r="K147" s="2469"/>
      <c r="L147" s="2467"/>
      <c r="M147" s="2469">
        <f>'Part III-A-Uses of Funds'!M34</f>
        <v>0</v>
      </c>
      <c r="N147" s="2469"/>
      <c r="O147" s="1819"/>
      <c r="P147" s="2469">
        <f>'Part III-A-Uses of Funds'!P34</f>
        <v>0</v>
      </c>
      <c r="Q147" s="2469"/>
      <c r="R147" s="1819"/>
      <c r="S147" s="2469">
        <f>'Part III-A-Uses of Funds'!S34</f>
        <v>0</v>
      </c>
      <c r="T147" s="2469"/>
      <c r="U147" s="378"/>
      <c r="V147" s="2587"/>
    </row>
    <row r="148" spans="1:22" ht="13.8">
      <c r="A148" s="378"/>
      <c r="B148" s="1819" t="s">
        <v>6088</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ht="13.8">
      <c r="A149" s="1819"/>
      <c r="B149" s="1819"/>
      <c r="C149" s="2594"/>
      <c r="D149" s="2594"/>
      <c r="E149" s="2595"/>
      <c r="F149" s="2591" t="s">
        <v>184</v>
      </c>
      <c r="G149" s="2469">
        <f>SUM(G143:G148)</f>
        <v>1800000</v>
      </c>
      <c r="H149" s="2469"/>
      <c r="I149" s="1819"/>
      <c r="J149" s="2469">
        <f>SUM(J143:J148)</f>
        <v>0</v>
      </c>
      <c r="K149" s="2469"/>
      <c r="L149" s="2467"/>
      <c r="M149" s="2469">
        <f>SUM(M143:M148)</f>
        <v>0</v>
      </c>
      <c r="N149" s="2469"/>
      <c r="O149" s="1819"/>
      <c r="P149" s="2469">
        <f>SUM(P143:P148)</f>
        <v>1800000</v>
      </c>
      <c r="Q149" s="2469"/>
      <c r="R149" s="1819"/>
      <c r="S149" s="2469">
        <f>SUM(S143:S148)</f>
        <v>0</v>
      </c>
      <c r="T149" s="2469"/>
      <c r="U149" s="1819"/>
      <c r="V149" s="2587">
        <f>SUM(V143:V148)</f>
        <v>0</v>
      </c>
    </row>
    <row r="150" spans="1:22" ht="13.8">
      <c r="A150" s="1819"/>
      <c r="B150" s="2536" t="s">
        <v>2163</v>
      </c>
      <c r="C150" s="1819"/>
      <c r="D150" s="2548" t="s">
        <v>3224</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3.8">
      <c r="A151" s="1819"/>
      <c r="B151" s="1819" t="s">
        <v>2164</v>
      </c>
      <c r="C151" s="1819"/>
      <c r="D151" s="2598">
        <f>'DCA Underwriting Assumptions'!$R$38</f>
        <v>0.06</v>
      </c>
      <c r="E151" s="2478">
        <f>ROUNDDOWN(D151*(G141+G149),0)</f>
        <v>108000</v>
      </c>
      <c r="F151" s="2598">
        <f>IF(($G$24+$G$32)=0,0,G151/($G$24+$G$32))</f>
        <v>0</v>
      </c>
      <c r="G151" s="2469">
        <f>'Part III-A-Uses of Funds'!G38</f>
        <v>108000</v>
      </c>
      <c r="H151" s="2469"/>
      <c r="I151" s="1819"/>
      <c r="J151" s="2469">
        <f>'Part III-A-Uses of Funds'!J38</f>
        <v>0</v>
      </c>
      <c r="K151" s="2469"/>
      <c r="L151" s="2467"/>
      <c r="M151" s="2469">
        <f>'Part III-A-Uses of Funds'!M38</f>
        <v>0</v>
      </c>
      <c r="N151" s="2469"/>
      <c r="O151" s="1819"/>
      <c r="P151" s="2469">
        <f>'Part III-A-Uses of Funds'!P38</f>
        <v>108000</v>
      </c>
      <c r="Q151" s="2469"/>
      <c r="R151" s="1819"/>
      <c r="S151" s="2469">
        <f>'Part III-A-Uses of Funds'!S38</f>
        <v>0</v>
      </c>
      <c r="T151" s="2469"/>
      <c r="U151" s="1819"/>
      <c r="V151" s="2587"/>
    </row>
    <row r="152" spans="1:22" ht="13.8">
      <c r="A152" s="1819"/>
      <c r="B152" s="1819" t="s">
        <v>2475</v>
      </c>
      <c r="C152" s="1819"/>
      <c r="D152" s="2598">
        <f>'DCA Underwriting Assumptions'!$R$39</f>
        <v>0.02</v>
      </c>
      <c r="E152" s="2478">
        <f>ROUNDDOWN(D152*(G141+G149),0)</f>
        <v>36000</v>
      </c>
      <c r="F152" s="2598">
        <f>IF(($G$24+$G$32)=0,0,G152/($G$24+$G$32))</f>
        <v>0</v>
      </c>
      <c r="G152" s="2469">
        <f>'Part III-A-Uses of Funds'!G39</f>
        <v>36000</v>
      </c>
      <c r="H152" s="2469"/>
      <c r="I152" s="378"/>
      <c r="J152" s="2469">
        <f>'Part III-A-Uses of Funds'!J39</f>
        <v>0</v>
      </c>
      <c r="K152" s="2469"/>
      <c r="L152" s="2467"/>
      <c r="M152" s="2469">
        <f>'Part III-A-Uses of Funds'!M39</f>
        <v>0</v>
      </c>
      <c r="N152" s="2469"/>
      <c r="O152" s="1819"/>
      <c r="P152" s="2469">
        <f>'Part III-A-Uses of Funds'!P39</f>
        <v>36000</v>
      </c>
      <c r="Q152" s="2469"/>
      <c r="R152" s="1819"/>
      <c r="S152" s="2469">
        <f>'Part III-A-Uses of Funds'!S39</f>
        <v>0</v>
      </c>
      <c r="T152" s="2469"/>
      <c r="U152" s="1819"/>
      <c r="V152" s="2587"/>
    </row>
    <row r="153" spans="1:22" ht="13.8">
      <c r="A153" s="1819"/>
      <c r="B153" s="1819" t="s">
        <v>2476</v>
      </c>
      <c r="C153" s="1819"/>
      <c r="D153" s="2598">
        <f>'DCA Underwriting Assumptions'!$R$40</f>
        <v>0.06</v>
      </c>
      <c r="E153" s="2478">
        <f>ROUNDDOWN(D153*(G141+G149),0)</f>
        <v>108000</v>
      </c>
      <c r="F153" s="2598">
        <f>IF(($G$24+$G$32)=0,0,G153/($G$24+$G$32))</f>
        <v>0</v>
      </c>
      <c r="G153" s="2469">
        <f>'Part III-A-Uses of Funds'!G40</f>
        <v>108000</v>
      </c>
      <c r="H153" s="2469"/>
      <c r="I153" s="378"/>
      <c r="J153" s="2469">
        <f>'Part III-A-Uses of Funds'!J40</f>
        <v>0</v>
      </c>
      <c r="K153" s="2469"/>
      <c r="L153" s="2467"/>
      <c r="M153" s="2469">
        <f>'Part III-A-Uses of Funds'!M40</f>
        <v>0</v>
      </c>
      <c r="N153" s="2469"/>
      <c r="O153" s="1819"/>
      <c r="P153" s="2469">
        <f>'Part III-A-Uses of Funds'!P40</f>
        <v>108000</v>
      </c>
      <c r="Q153" s="2469"/>
      <c r="R153" s="1819"/>
      <c r="S153" s="2469">
        <f>'Part III-A-Uses of Funds'!S40</f>
        <v>0</v>
      </c>
      <c r="T153" s="2469"/>
      <c r="U153" s="1819"/>
      <c r="V153" s="2587"/>
    </row>
    <row r="154" spans="1:22" ht="13.8">
      <c r="A154" s="1819"/>
      <c r="B154" s="2544" t="s">
        <v>3225</v>
      </c>
      <c r="C154" s="1819"/>
      <c r="D154" s="2596">
        <f>SUM(D151:D153)</f>
        <v>0.14000000000000001</v>
      </c>
      <c r="E154" s="2599">
        <f>SUM(E151:E153)</f>
        <v>252000</v>
      </c>
      <c r="F154" s="2591" t="s">
        <v>184</v>
      </c>
      <c r="G154" s="2469">
        <f>SUM(G151:G153)</f>
        <v>252000</v>
      </c>
      <c r="H154" s="2469"/>
      <c r="I154" s="1819"/>
      <c r="J154" s="2469">
        <f>SUM(J151:J153)</f>
        <v>0</v>
      </c>
      <c r="K154" s="2469"/>
      <c r="L154" s="2467"/>
      <c r="M154" s="2469">
        <f>SUM(M151:M153)</f>
        <v>0</v>
      </c>
      <c r="N154" s="2469"/>
      <c r="O154" s="1819"/>
      <c r="P154" s="2469">
        <f>SUM(P151:P153)</f>
        <v>252000</v>
      </c>
      <c r="Q154" s="2469"/>
      <c r="R154" s="1819"/>
      <c r="S154" s="2469">
        <f>SUM(S151:S153)</f>
        <v>0</v>
      </c>
      <c r="T154" s="2469"/>
      <c r="U154" s="1819"/>
      <c r="V154" s="2587">
        <f>SUM(V151:V153)</f>
        <v>0</v>
      </c>
    </row>
    <row r="155" spans="1:22" ht="13.8">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ht="13.8">
      <c r="A156" s="2537"/>
      <c r="B156" s="1819"/>
      <c r="C156" s="2600" t="s">
        <v>6490</v>
      </c>
      <c r="D156" s="1819"/>
      <c r="E156" s="2537"/>
      <c r="F156" s="2537"/>
      <c r="G156" s="2601">
        <f>G141+G149+G154</f>
        <v>2052000</v>
      </c>
      <c r="H156" s="2601"/>
      <c r="I156" s="2537"/>
      <c r="J156" s="2537"/>
      <c r="K156" s="2537"/>
      <c r="L156" s="2537"/>
      <c r="M156" s="2537"/>
      <c r="N156" s="2537"/>
      <c r="O156" s="2537"/>
      <c r="P156" s="2537"/>
      <c r="Q156" s="2537"/>
      <c r="R156" s="2537"/>
      <c r="S156" s="2537"/>
      <c r="T156" s="2537"/>
      <c r="U156" s="1819"/>
      <c r="V156" s="2587"/>
    </row>
    <row r="157" spans="1:22" ht="13.8">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ht="13.8">
      <c r="A158" s="1819"/>
      <c r="B158" s="2536" t="s">
        <v>6954</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c r="A159" s="378"/>
      <c r="B159" s="2544" t="s">
        <v>6275</v>
      </c>
      <c r="C159" s="2589" t="str">
        <f>'Part III-A-Uses of Funds'!C46</f>
        <v>&lt;&lt; Enter description here; provide detail &amp; justification in tab Part III-b &gt;&gt;</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ht="13.8">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c r="A161" s="1819"/>
      <c r="B161" s="2602" t="s">
        <v>6955</v>
      </c>
      <c r="C161" s="2603"/>
      <c r="D161" s="1819"/>
      <c r="E161" s="2538" t="s">
        <v>2478</v>
      </c>
      <c r="F161" s="2479">
        <f>C162/'Part V-Revenues &amp; Expenses'!$P$65</f>
        <v>51300</v>
      </c>
      <c r="G161" s="2604" t="s">
        <v>6956</v>
      </c>
      <c r="H161" s="1819"/>
      <c r="I161" s="1819"/>
      <c r="J161" s="2480">
        <f>C162/'Part V-Revenues &amp; Expenses'!$P$67</f>
        <v>51300</v>
      </c>
      <c r="K161" s="2480"/>
      <c r="L161" s="1819"/>
      <c r="M161" s="2605" t="s">
        <v>6476</v>
      </c>
      <c r="N161" s="2605"/>
      <c r="O161" s="1819"/>
      <c r="P161" s="2480">
        <f>C162/'Part V-Revenues &amp; Expenses'!$K$175</f>
        <v>68.746021642266072</v>
      </c>
      <c r="Q161" s="2480"/>
      <c r="R161" s="1819"/>
      <c r="S161" s="2606" t="s">
        <v>6478</v>
      </c>
      <c r="T161" s="2606"/>
      <c r="U161" s="1819"/>
      <c r="V161" s="2587"/>
    </row>
    <row r="162" spans="1:22" ht="13.8">
      <c r="A162" s="1819"/>
      <c r="B162" s="2607" t="s">
        <v>6489</v>
      </c>
      <c r="C162" s="2608">
        <f>G141+G149+G154+G159</f>
        <v>2052000</v>
      </c>
      <c r="D162" s="1819"/>
      <c r="E162" s="2538"/>
      <c r="F162" s="2479">
        <f>C162/'Part V-Revenues &amp; Expenses'!$P$166</f>
        <v>70.346246143297904</v>
      </c>
      <c r="G162" s="2606" t="s">
        <v>6957</v>
      </c>
      <c r="H162" s="1819"/>
      <c r="I162" s="1819"/>
      <c r="J162" s="2480">
        <f>C162/'Part V-Revenues &amp; Expenses'!$P$168</f>
        <v>70.346246143297904</v>
      </c>
      <c r="K162" s="2480"/>
      <c r="L162" s="1819"/>
      <c r="M162" s="2606" t="s">
        <v>6477</v>
      </c>
      <c r="N162" s="2606"/>
      <c r="O162" s="1819"/>
      <c r="P162" s="1819"/>
      <c r="Q162" s="1819"/>
      <c r="R162" s="1819"/>
      <c r="S162" s="1819"/>
      <c r="T162" s="1819"/>
      <c r="U162" s="1819"/>
      <c r="V162" s="2587"/>
    </row>
    <row r="163" spans="1:22" ht="13.8">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c r="A164" s="2584" t="s">
        <v>573</v>
      </c>
      <c r="B164" s="2584" t="s">
        <v>6958</v>
      </c>
      <c r="C164" s="1819"/>
      <c r="D164" s="1819"/>
      <c r="E164" s="1819"/>
      <c r="F164" s="1819"/>
      <c r="G164" s="1819"/>
      <c r="H164" s="1819"/>
      <c r="I164" s="1819"/>
      <c r="J164" s="2538" t="s">
        <v>259</v>
      </c>
      <c r="K164" s="2538"/>
      <c r="L164" s="2469"/>
      <c r="M164" s="2475" t="s">
        <v>460</v>
      </c>
      <c r="N164" s="2475"/>
      <c r="O164" s="1819"/>
      <c r="P164" s="2538" t="s">
        <v>260</v>
      </c>
      <c r="Q164" s="2538"/>
      <c r="R164" s="1819"/>
      <c r="S164" s="2538" t="s">
        <v>261</v>
      </c>
      <c r="T164" s="2538"/>
      <c r="U164" s="1819"/>
      <c r="V164" s="2587"/>
    </row>
    <row r="165" spans="1:22" ht="13.8">
      <c r="A165" s="1819"/>
      <c r="B165" s="1819"/>
      <c r="C165" s="1819"/>
      <c r="D165" s="1819"/>
      <c r="E165" s="1819"/>
      <c r="F165" s="1819"/>
      <c r="G165" s="2536" t="s">
        <v>95</v>
      </c>
      <c r="H165" s="2536"/>
      <c r="I165" s="1819"/>
      <c r="J165" s="2538"/>
      <c r="K165" s="2538"/>
      <c r="L165" s="2469"/>
      <c r="M165" s="2475"/>
      <c r="N165" s="2475"/>
      <c r="O165" s="1819"/>
      <c r="P165" s="2538"/>
      <c r="Q165" s="2538"/>
      <c r="R165" s="1819"/>
      <c r="S165" s="2538"/>
      <c r="T165" s="2538"/>
      <c r="U165" s="1819"/>
      <c r="V165" s="2587"/>
    </row>
    <row r="166" spans="1:22" ht="13.8">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ht="13.8">
      <c r="A167" s="1819"/>
      <c r="B167" s="2536" t="s">
        <v>6297</v>
      </c>
      <c r="C167" s="1819"/>
      <c r="D167" s="1819"/>
      <c r="E167" s="1819"/>
      <c r="F167" s="1320" t="s">
        <v>3411</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ht="13.8">
      <c r="A168" s="378"/>
      <c r="B168" s="1819" t="s">
        <v>1821</v>
      </c>
      <c r="C168" s="378"/>
      <c r="D168" s="2592" t="s">
        <v>3410</v>
      </c>
      <c r="E168" s="26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205200</v>
      </c>
      <c r="F168" s="2572">
        <f>G168/C162</f>
        <v>0.1</v>
      </c>
      <c r="G168" s="2469">
        <f>'Part III-A-Uses of Funds'!G55</f>
        <v>205200</v>
      </c>
      <c r="H168" s="2469"/>
      <c r="I168" s="1819"/>
      <c r="J168" s="2469">
        <f>'Part III-A-Uses of Funds'!J55</f>
        <v>0</v>
      </c>
      <c r="K168" s="2469"/>
      <c r="L168" s="2467"/>
      <c r="M168" s="2469">
        <f>'Part III-A-Uses of Funds'!M55</f>
        <v>0</v>
      </c>
      <c r="N168" s="2469"/>
      <c r="O168" s="1819"/>
      <c r="P168" s="2469">
        <f>'Part III-A-Uses of Funds'!P55</f>
        <v>205200</v>
      </c>
      <c r="Q168" s="2469"/>
      <c r="R168" s="1819"/>
      <c r="S168" s="2469">
        <f>'Part III-A-Uses of Funds'!S55</f>
        <v>0</v>
      </c>
      <c r="T168" s="2469"/>
      <c r="U168" s="378"/>
      <c r="V168" s="2587"/>
    </row>
    <row r="169" spans="1:22" ht="13.8">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c r="A170" s="1819"/>
      <c r="B170" s="2610" t="s">
        <v>6298</v>
      </c>
      <c r="C170" s="2603"/>
      <c r="D170" s="1819"/>
      <c r="E170" s="2538" t="s">
        <v>6299</v>
      </c>
      <c r="F170" s="2479">
        <f>B171/'Part V-Revenues &amp; Expenses'!$P$65</f>
        <v>56430</v>
      </c>
      <c r="G170" s="2604" t="s">
        <v>6956</v>
      </c>
      <c r="H170" s="1819"/>
      <c r="I170" s="1819"/>
      <c r="J170" s="2480">
        <f>B171/'Part V-Revenues &amp; Expenses'!$P$67</f>
        <v>56430</v>
      </c>
      <c r="K170" s="2480"/>
      <c r="L170" s="1819"/>
      <c r="M170" s="2605" t="s">
        <v>6476</v>
      </c>
      <c r="N170" s="2605"/>
      <c r="O170" s="1819"/>
      <c r="P170" s="2480">
        <f>B171/'Part V-Revenues &amp; Expenses'!$K$175</f>
        <v>75.620623806492674</v>
      </c>
      <c r="Q170" s="2480"/>
      <c r="R170" s="1819"/>
      <c r="S170" s="2606" t="s">
        <v>6478</v>
      </c>
      <c r="T170" s="2606"/>
      <c r="U170" s="1819"/>
      <c r="V170" s="2587"/>
    </row>
    <row r="171" spans="1:22" ht="13.8">
      <c r="A171" s="1819"/>
      <c r="B171" s="2608">
        <f>C162+G168</f>
        <v>2257200</v>
      </c>
      <c r="C171" s="2608"/>
      <c r="D171" s="1819"/>
      <c r="E171" s="2538"/>
      <c r="F171" s="2479">
        <f>B171/'Part V-Revenues &amp; Expenses'!$P$166</f>
        <v>77.380870757627704</v>
      </c>
      <c r="G171" s="2606" t="s">
        <v>6957</v>
      </c>
      <c r="H171" s="1819"/>
      <c r="I171" s="1819"/>
      <c r="J171" s="2480">
        <f>B171/'Part V-Revenues &amp; Expenses'!$P$168</f>
        <v>77.380870757627704</v>
      </c>
      <c r="K171" s="2480"/>
      <c r="L171" s="1819"/>
      <c r="M171" s="2606" t="s">
        <v>6477</v>
      </c>
      <c r="N171" s="2606"/>
      <c r="O171" s="1819"/>
      <c r="P171" s="1819"/>
      <c r="Q171" s="1819"/>
      <c r="R171" s="1819"/>
      <c r="S171" s="1819"/>
      <c r="T171" s="1819"/>
      <c r="U171" s="1819"/>
      <c r="V171" s="2587"/>
    </row>
    <row r="172" spans="1:22" ht="13.8">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ht="13.8">
      <c r="A173" s="1819"/>
      <c r="B173" s="2536" t="s">
        <v>675</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ht="13.8">
      <c r="A174" s="1819"/>
      <c r="B174" s="1819" t="s">
        <v>3226</v>
      </c>
      <c r="C174" s="1819"/>
      <c r="D174" s="1819"/>
      <c r="E174" s="1819"/>
      <c r="F174" s="1819"/>
      <c r="G174" s="2469">
        <f>'Part III-A-Uses of Funds'!G61</f>
        <v>0</v>
      </c>
      <c r="H174" s="2469"/>
      <c r="I174" s="1819"/>
      <c r="J174" s="2469">
        <f>'Part III-A-Uses of Funds'!J61</f>
        <v>0</v>
      </c>
      <c r="K174" s="2469"/>
      <c r="L174" s="2467"/>
      <c r="M174" s="2469">
        <f>'Part III-A-Uses of Funds'!M61</f>
        <v>0</v>
      </c>
      <c r="N174" s="2469"/>
      <c r="O174" s="1819"/>
      <c r="P174" s="2469">
        <f>'Part III-A-Uses of Funds'!P61</f>
        <v>0</v>
      </c>
      <c r="Q174" s="2469"/>
      <c r="R174" s="1819"/>
      <c r="S174" s="2469">
        <f>'Part III-A-Uses of Funds'!S61</f>
        <v>0</v>
      </c>
      <c r="T174" s="2469"/>
      <c r="U174" s="1819"/>
      <c r="V174" s="2587"/>
    </row>
    <row r="175" spans="1:22" ht="13.8">
      <c r="A175" s="1819"/>
      <c r="B175" s="1819" t="s">
        <v>3227</v>
      </c>
      <c r="C175" s="1819"/>
      <c r="D175" s="1819"/>
      <c r="E175" s="1819"/>
      <c r="F175" s="1819"/>
      <c r="G175" s="2469">
        <f>'Part III-A-Uses of Funds'!G62</f>
        <v>0</v>
      </c>
      <c r="H175" s="2469"/>
      <c r="I175" s="1819"/>
      <c r="J175" s="2469">
        <f>'Part III-A-Uses of Funds'!J62</f>
        <v>0</v>
      </c>
      <c r="K175" s="2469"/>
      <c r="L175" s="2467"/>
      <c r="M175" s="2469">
        <f>'Part III-A-Uses of Funds'!M62</f>
        <v>0</v>
      </c>
      <c r="N175" s="2469"/>
      <c r="O175" s="1819"/>
      <c r="P175" s="2469">
        <f>'Part III-A-Uses of Funds'!P62</f>
        <v>0</v>
      </c>
      <c r="Q175" s="2469"/>
      <c r="R175" s="1819"/>
      <c r="S175" s="2469">
        <f>'Part III-A-Uses of Funds'!S62</f>
        <v>0</v>
      </c>
      <c r="T175" s="2469"/>
      <c r="U175" s="1819"/>
      <c r="V175" s="2587"/>
    </row>
    <row r="176" spans="1:22" ht="13.8">
      <c r="A176" s="1819"/>
      <c r="B176" s="1819" t="s">
        <v>2166</v>
      </c>
      <c r="C176" s="1819"/>
      <c r="D176" s="1819"/>
      <c r="E176" s="1819"/>
      <c r="F176" s="1819"/>
      <c r="G176" s="2469">
        <f>'Part III-A-Uses of Funds'!G63</f>
        <v>7127</v>
      </c>
      <c r="H176" s="2469"/>
      <c r="I176" s="1819"/>
      <c r="J176" s="2469">
        <f>'Part III-A-Uses of Funds'!J63</f>
        <v>0</v>
      </c>
      <c r="K176" s="2469"/>
      <c r="L176" s="2467"/>
      <c r="M176" s="2469">
        <f>'Part III-A-Uses of Funds'!M63</f>
        <v>0</v>
      </c>
      <c r="N176" s="2469"/>
      <c r="O176" s="1819"/>
      <c r="P176" s="2469">
        <f>'Part III-A-Uses of Funds'!P63</f>
        <v>7127</v>
      </c>
      <c r="Q176" s="2469"/>
      <c r="R176" s="1819"/>
      <c r="S176" s="2469">
        <f>'Part III-A-Uses of Funds'!S63</f>
        <v>0</v>
      </c>
      <c r="T176" s="2469"/>
      <c r="U176" s="1819"/>
      <c r="V176" s="2587"/>
    </row>
    <row r="177" spans="1:22" ht="13.8">
      <c r="A177" s="1819"/>
      <c r="B177" s="1819" t="s">
        <v>2167</v>
      </c>
      <c r="C177" s="1819"/>
      <c r="D177" s="1819"/>
      <c r="E177" s="1819"/>
      <c r="F177" s="1819"/>
      <c r="G177" s="2469">
        <f>'Part III-A-Uses of Funds'!G64</f>
        <v>10524</v>
      </c>
      <c r="H177" s="2469"/>
      <c r="I177" s="1819"/>
      <c r="J177" s="2469">
        <f>'Part III-A-Uses of Funds'!J64</f>
        <v>0</v>
      </c>
      <c r="K177" s="2469"/>
      <c r="L177" s="2467"/>
      <c r="M177" s="2469">
        <f>'Part III-A-Uses of Funds'!M64</f>
        <v>0</v>
      </c>
      <c r="N177" s="2469"/>
      <c r="O177" s="1819"/>
      <c r="P177" s="2469">
        <f>'Part III-A-Uses of Funds'!P64</f>
        <v>10524</v>
      </c>
      <c r="Q177" s="2469"/>
      <c r="R177" s="1819"/>
      <c r="S177" s="2469">
        <f>'Part III-A-Uses of Funds'!S64</f>
        <v>0</v>
      </c>
      <c r="T177" s="2469"/>
      <c r="U177" s="1819"/>
      <c r="V177" s="2587"/>
    </row>
    <row r="178" spans="1:22" ht="13.8">
      <c r="A178" s="1819"/>
      <c r="B178" s="1819" t="s">
        <v>2168</v>
      </c>
      <c r="C178" s="1819"/>
      <c r="D178" s="1819"/>
      <c r="E178" s="1819"/>
      <c r="F178" s="1819"/>
      <c r="G178" s="2469">
        <f>'Part III-A-Uses of Funds'!G65</f>
        <v>1000</v>
      </c>
      <c r="H178" s="2469"/>
      <c r="I178" s="1819"/>
      <c r="J178" s="2469">
        <f>'Part III-A-Uses of Funds'!J65</f>
        <v>0</v>
      </c>
      <c r="K178" s="2469"/>
      <c r="L178" s="2467"/>
      <c r="M178" s="2469">
        <f>'Part III-A-Uses of Funds'!M65</f>
        <v>0</v>
      </c>
      <c r="N178" s="2469"/>
      <c r="O178" s="1819"/>
      <c r="P178" s="2469">
        <f>'Part III-A-Uses of Funds'!P65</f>
        <v>1000</v>
      </c>
      <c r="Q178" s="2469"/>
      <c r="R178" s="1819"/>
      <c r="S178" s="2469">
        <f>'Part III-A-Uses of Funds'!S65</f>
        <v>0</v>
      </c>
      <c r="T178" s="2469"/>
      <c r="U178" s="1819"/>
      <c r="V178" s="2587"/>
    </row>
    <row r="179" spans="1:22" ht="13.8">
      <c r="A179" s="1819"/>
      <c r="B179" s="1819" t="s">
        <v>2450</v>
      </c>
      <c r="C179" s="1819"/>
      <c r="D179" s="1819"/>
      <c r="E179" s="1819"/>
      <c r="F179" s="1819"/>
      <c r="G179" s="2469">
        <f>'Part III-A-Uses of Funds'!G66</f>
        <v>0</v>
      </c>
      <c r="H179" s="2469"/>
      <c r="I179" s="1819"/>
      <c r="J179" s="2469">
        <f>'Part III-A-Uses of Funds'!J66</f>
        <v>0</v>
      </c>
      <c r="K179" s="2469"/>
      <c r="L179" s="2467"/>
      <c r="M179" s="2469">
        <f>'Part III-A-Uses of Funds'!M66</f>
        <v>0</v>
      </c>
      <c r="N179" s="2469"/>
      <c r="O179" s="1819"/>
      <c r="P179" s="2469">
        <f>'Part III-A-Uses of Funds'!P66</f>
        <v>0</v>
      </c>
      <c r="Q179" s="2469"/>
      <c r="R179" s="1819"/>
      <c r="S179" s="2469">
        <f>'Part III-A-Uses of Funds'!S66</f>
        <v>0</v>
      </c>
      <c r="T179" s="2469"/>
      <c r="U179" s="1819"/>
      <c r="V179" s="2587"/>
    </row>
    <row r="180" spans="1:22" ht="13.8">
      <c r="A180" s="1819"/>
      <c r="B180" s="1819" t="s">
        <v>676</v>
      </c>
      <c r="C180" s="1819"/>
      <c r="D180" s="1819"/>
      <c r="E180" s="1819"/>
      <c r="F180" s="1819"/>
      <c r="G180" s="2469">
        <f>'Part III-A-Uses of Funds'!G67</f>
        <v>0</v>
      </c>
      <c r="H180" s="2469"/>
      <c r="I180" s="1819"/>
      <c r="J180" s="2469">
        <f>'Part III-A-Uses of Funds'!J67</f>
        <v>0</v>
      </c>
      <c r="K180" s="2469"/>
      <c r="L180" s="2467"/>
      <c r="M180" s="2469">
        <f>'Part III-A-Uses of Funds'!M67</f>
        <v>0</v>
      </c>
      <c r="N180" s="2469"/>
      <c r="O180" s="1819"/>
      <c r="P180" s="2469">
        <f>'Part III-A-Uses of Funds'!P67</f>
        <v>0</v>
      </c>
      <c r="Q180" s="2469"/>
      <c r="R180" s="1819"/>
      <c r="S180" s="2469">
        <f>'Part III-A-Uses of Funds'!S67</f>
        <v>0</v>
      </c>
      <c r="T180" s="2469"/>
      <c r="U180" s="1819"/>
      <c r="V180" s="2587"/>
    </row>
    <row r="181" spans="1:22" ht="13.8">
      <c r="A181" s="1819"/>
      <c r="B181" s="1819" t="s">
        <v>2169</v>
      </c>
      <c r="C181" s="1819"/>
      <c r="D181" s="1819"/>
      <c r="E181" s="1819"/>
      <c r="F181" s="1819"/>
      <c r="G181" s="2469">
        <f>'Part III-A-Uses of Funds'!G68</f>
        <v>0</v>
      </c>
      <c r="H181" s="2469"/>
      <c r="I181" s="1819"/>
      <c r="J181" s="2469">
        <f>'Part III-A-Uses of Funds'!J68</f>
        <v>0</v>
      </c>
      <c r="K181" s="2469"/>
      <c r="L181" s="2467"/>
      <c r="M181" s="2469">
        <f>'Part III-A-Uses of Funds'!M68</f>
        <v>0</v>
      </c>
      <c r="N181" s="2469"/>
      <c r="O181" s="1819"/>
      <c r="P181" s="2469">
        <f>'Part III-A-Uses of Funds'!P68</f>
        <v>0</v>
      </c>
      <c r="Q181" s="2469"/>
      <c r="R181" s="1819"/>
      <c r="S181" s="2469">
        <f>'Part III-A-Uses of Funds'!S68</f>
        <v>0</v>
      </c>
      <c r="T181" s="2469"/>
      <c r="U181" s="1819"/>
      <c r="V181" s="2587"/>
    </row>
    <row r="182" spans="1:22" ht="13.8">
      <c r="A182" s="1819"/>
      <c r="B182" s="1819" t="s">
        <v>1200</v>
      </c>
      <c r="C182" s="1819"/>
      <c r="D182" s="1819"/>
      <c r="E182" s="1819"/>
      <c r="F182" s="1819"/>
      <c r="G182" s="2469">
        <f>'Part III-A-Uses of Funds'!G69</f>
        <v>0</v>
      </c>
      <c r="H182" s="2469"/>
      <c r="I182" s="1819"/>
      <c r="J182" s="2469">
        <f>'Part III-A-Uses of Funds'!J69</f>
        <v>0</v>
      </c>
      <c r="K182" s="2469"/>
      <c r="L182" s="2467"/>
      <c r="M182" s="2469">
        <f>'Part III-A-Uses of Funds'!M69</f>
        <v>0</v>
      </c>
      <c r="N182" s="2469"/>
      <c r="O182" s="1819"/>
      <c r="P182" s="2469">
        <f>'Part III-A-Uses of Funds'!P69</f>
        <v>0</v>
      </c>
      <c r="Q182" s="2469"/>
      <c r="R182" s="1819"/>
      <c r="S182" s="2469">
        <f>'Part III-A-Uses of Funds'!S69</f>
        <v>0</v>
      </c>
      <c r="T182" s="2469"/>
      <c r="U182" s="1819"/>
      <c r="V182" s="2587"/>
    </row>
    <row r="183" spans="1:22" ht="13.8">
      <c r="A183" s="1819"/>
      <c r="B183" s="2611" t="s">
        <v>1085</v>
      </c>
      <c r="C183" s="1819"/>
      <c r="D183" s="2612"/>
      <c r="E183" s="2612"/>
      <c r="F183" s="2481"/>
      <c r="G183" s="2469">
        <f>'Part III-A-Uses of Funds'!G70</f>
        <v>24624</v>
      </c>
      <c r="H183" s="2469"/>
      <c r="I183" s="378"/>
      <c r="J183" s="2469">
        <f>'Part III-A-Uses of Funds'!J70</f>
        <v>0</v>
      </c>
      <c r="K183" s="2469"/>
      <c r="L183" s="2467"/>
      <c r="M183" s="2469">
        <f>'Part III-A-Uses of Funds'!M70</f>
        <v>0</v>
      </c>
      <c r="N183" s="2469"/>
      <c r="O183" s="1819"/>
      <c r="P183" s="2469">
        <f>'Part III-A-Uses of Funds'!P70</f>
        <v>24624</v>
      </c>
      <c r="Q183" s="2469"/>
      <c r="R183" s="1819"/>
      <c r="S183" s="2469">
        <f>'Part III-A-Uses of Funds'!S70</f>
        <v>0</v>
      </c>
      <c r="T183" s="2469"/>
      <c r="U183" s="1819"/>
      <c r="V183" s="2587"/>
    </row>
    <row r="184" spans="1:22" ht="15.75" customHeight="1">
      <c r="A184" s="2588" t="str">
        <f>IF(AND(G184&gt;0,OR(C184="",C184="&lt;Enter detailed description here; use Comments section if needed&gt;")),"X","")</f>
        <v/>
      </c>
      <c r="B184" s="2544" t="s">
        <v>6277</v>
      </c>
      <c r="C184" s="2589" t="str">
        <f>'Part III-A-Uses of Funds'!C71</f>
        <v>Tax-Exempt Bond Interest</v>
      </c>
      <c r="D184" s="2589"/>
      <c r="E184" s="2589"/>
      <c r="F184" s="2589"/>
      <c r="G184" s="2469">
        <f>'Part III-A-Uses of Funds'!G71</f>
        <v>150428</v>
      </c>
      <c r="H184" s="2469"/>
      <c r="I184" s="1819"/>
      <c r="J184" s="2469">
        <f>'Part III-A-Uses of Funds'!J71</f>
        <v>0</v>
      </c>
      <c r="K184" s="2469"/>
      <c r="L184" s="2467"/>
      <c r="M184" s="2469">
        <f>'Part III-A-Uses of Funds'!M71</f>
        <v>0</v>
      </c>
      <c r="N184" s="2469"/>
      <c r="O184" s="1819"/>
      <c r="P184" s="2469">
        <f>'Part III-A-Uses of Funds'!P71</f>
        <v>66188</v>
      </c>
      <c r="Q184" s="2469"/>
      <c r="R184" s="1819"/>
      <c r="S184" s="2469">
        <f>'Part III-A-Uses of Funds'!S71</f>
        <v>84240</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c r="A185" s="2588" t="str">
        <f>IF(AND(G185&gt;0,OR(C185="",C185="&lt;Enter detailed description here; use Comments section if needed&gt;")),"X","")</f>
        <v/>
      </c>
      <c r="B185" s="2544" t="s">
        <v>6278</v>
      </c>
      <c r="C185" s="2589" t="str">
        <f>'Part III-A-Uses of Funds'!C72</f>
        <v>RD 538 Loan Interest</v>
      </c>
      <c r="D185" s="2589"/>
      <c r="E185" s="2589"/>
      <c r="F185" s="2589"/>
      <c r="G185" s="2469">
        <f>'Part III-A-Uses of Funds'!G72</f>
        <v>38793</v>
      </c>
      <c r="H185" s="2469"/>
      <c r="I185" s="1819"/>
      <c r="J185" s="2469">
        <f>'Part III-A-Uses of Funds'!J72</f>
        <v>0</v>
      </c>
      <c r="K185" s="2469"/>
      <c r="L185" s="2467"/>
      <c r="M185" s="2469">
        <f>'Part III-A-Uses of Funds'!M72</f>
        <v>0</v>
      </c>
      <c r="N185" s="2469"/>
      <c r="O185" s="1819"/>
      <c r="P185" s="2469">
        <f>'Part III-A-Uses of Funds'!P72</f>
        <v>22131</v>
      </c>
      <c r="Q185" s="2469"/>
      <c r="R185" s="1819"/>
      <c r="S185" s="2469">
        <f>'Part III-A-Uses of Funds'!S72</f>
        <v>16662</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ht="13.8">
      <c r="A186" s="1819"/>
      <c r="B186" s="1819"/>
      <c r="C186" s="1819"/>
      <c r="D186" s="1819"/>
      <c r="E186" s="1819"/>
      <c r="F186" s="2591" t="s">
        <v>184</v>
      </c>
      <c r="G186" s="2469">
        <f>SUM(G174:G185)</f>
        <v>232496</v>
      </c>
      <c r="H186" s="2469"/>
      <c r="I186" s="1819"/>
      <c r="J186" s="2469">
        <f>SUM(J174:J185)</f>
        <v>0</v>
      </c>
      <c r="K186" s="2469"/>
      <c r="L186" s="2467"/>
      <c r="M186" s="2469">
        <f>SUM(M174:M185)</f>
        <v>0</v>
      </c>
      <c r="N186" s="2469"/>
      <c r="O186" s="1819"/>
      <c r="P186" s="2469">
        <f>SUM(P174:P185)</f>
        <v>131594</v>
      </c>
      <c r="Q186" s="2469"/>
      <c r="R186" s="1819"/>
      <c r="S186" s="2469">
        <f>SUM(S174:S185)</f>
        <v>100902</v>
      </c>
      <c r="T186" s="2469"/>
      <c r="U186" s="1819"/>
      <c r="V186" s="2587">
        <f>SUM(V174:V185)</f>
        <v>0</v>
      </c>
    </row>
    <row r="187" spans="1:22" ht="13.8">
      <c r="A187" s="1819"/>
      <c r="B187" s="2536" t="s">
        <v>449</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ht="13.8">
      <c r="A188" s="1819"/>
      <c r="B188" s="1819" t="s">
        <v>450</v>
      </c>
      <c r="C188" s="1819"/>
      <c r="D188" s="1819"/>
      <c r="E188" s="1819"/>
      <c r="F188" s="1819"/>
      <c r="G188" s="2469">
        <f>'Part III-A-Uses of Funds'!G75</f>
        <v>31200</v>
      </c>
      <c r="H188" s="2469"/>
      <c r="I188" s="1819"/>
      <c r="J188" s="2469">
        <f>'Part III-A-Uses of Funds'!J75</f>
        <v>0</v>
      </c>
      <c r="K188" s="2469"/>
      <c r="L188" s="2467"/>
      <c r="M188" s="2469">
        <f>'Part III-A-Uses of Funds'!M75</f>
        <v>0</v>
      </c>
      <c r="N188" s="2469"/>
      <c r="O188" s="1819"/>
      <c r="P188" s="2469">
        <f>'Part III-A-Uses of Funds'!P75</f>
        <v>31200</v>
      </c>
      <c r="Q188" s="2469"/>
      <c r="R188" s="1819"/>
      <c r="S188" s="2469">
        <f>'Part III-A-Uses of Funds'!S75</f>
        <v>0</v>
      </c>
      <c r="T188" s="2469"/>
      <c r="U188" s="1819"/>
      <c r="V188" s="2587"/>
    </row>
    <row r="189" spans="1:22" ht="13.8">
      <c r="A189" s="1819"/>
      <c r="B189" s="1819" t="s">
        <v>451</v>
      </c>
      <c r="C189" s="1819"/>
      <c r="D189" s="1819"/>
      <c r="E189" s="1819"/>
      <c r="F189" s="1819"/>
      <c r="G189" s="2469">
        <f>'Part III-A-Uses of Funds'!G76</f>
        <v>16800</v>
      </c>
      <c r="H189" s="2469"/>
      <c r="I189" s="1819"/>
      <c r="J189" s="2469">
        <f>'Part III-A-Uses of Funds'!J76</f>
        <v>0</v>
      </c>
      <c r="K189" s="2469"/>
      <c r="L189" s="2467"/>
      <c r="M189" s="2469">
        <f>'Part III-A-Uses of Funds'!M76</f>
        <v>0</v>
      </c>
      <c r="N189" s="2469"/>
      <c r="O189" s="1819"/>
      <c r="P189" s="2469">
        <f>'Part III-A-Uses of Funds'!P76</f>
        <v>16800</v>
      </c>
      <c r="Q189" s="2469"/>
      <c r="R189" s="1819"/>
      <c r="S189" s="2469">
        <f>'Part III-A-Uses of Funds'!S76</f>
        <v>0</v>
      </c>
      <c r="T189" s="2469"/>
      <c r="U189" s="1819"/>
      <c r="V189" s="2587"/>
    </row>
    <row r="190" spans="1:22" ht="13.8">
      <c r="A190" s="1819"/>
      <c r="B190" s="1819" t="s">
        <v>1061</v>
      </c>
      <c r="C190" s="1819"/>
      <c r="D190" s="2547"/>
      <c r="E190" s="2613"/>
      <c r="F190" s="2536"/>
      <c r="G190" s="2469">
        <f>'Part III-A-Uses of Funds'!G77</f>
        <v>0</v>
      </c>
      <c r="H190" s="2469"/>
      <c r="I190" s="1819"/>
      <c r="J190" s="2469">
        <f>'Part III-A-Uses of Funds'!J77</f>
        <v>0</v>
      </c>
      <c r="K190" s="2469"/>
      <c r="L190" s="2467"/>
      <c r="M190" s="2469">
        <f>'Part III-A-Uses of Funds'!M77</f>
        <v>0</v>
      </c>
      <c r="N190" s="2469"/>
      <c r="O190" s="1819"/>
      <c r="P190" s="2469">
        <f>'Part III-A-Uses of Funds'!P77</f>
        <v>0</v>
      </c>
      <c r="Q190" s="2469"/>
      <c r="R190" s="1819"/>
      <c r="S190" s="2469">
        <f>'Part III-A-Uses of Funds'!S77</f>
        <v>0</v>
      </c>
      <c r="T190" s="2469"/>
      <c r="U190" s="1819"/>
      <c r="V190" s="2587"/>
    </row>
    <row r="191" spans="1:22" ht="13.8">
      <c r="A191" s="1819"/>
      <c r="B191" s="1819" t="s">
        <v>1062</v>
      </c>
      <c r="C191" s="1819"/>
      <c r="D191" s="1819"/>
      <c r="E191" s="1819"/>
      <c r="F191" s="1819"/>
      <c r="G191" s="2469">
        <f>'Part III-A-Uses of Funds'!G78</f>
        <v>0</v>
      </c>
      <c r="H191" s="2469"/>
      <c r="I191" s="1819"/>
      <c r="J191" s="2469">
        <f>'Part III-A-Uses of Funds'!J78</f>
        <v>0</v>
      </c>
      <c r="K191" s="2469"/>
      <c r="L191" s="2467"/>
      <c r="M191" s="2469">
        <f>'Part III-A-Uses of Funds'!M78</f>
        <v>0</v>
      </c>
      <c r="N191" s="2469"/>
      <c r="O191" s="1819"/>
      <c r="P191" s="2469">
        <f>'Part III-A-Uses of Funds'!P78</f>
        <v>0</v>
      </c>
      <c r="Q191" s="2469"/>
      <c r="R191" s="1819"/>
      <c r="S191" s="2469">
        <f>'Part III-A-Uses of Funds'!S78</f>
        <v>0</v>
      </c>
      <c r="T191" s="2469"/>
      <c r="U191" s="1819"/>
      <c r="V191" s="2587"/>
    </row>
    <row r="192" spans="1:22" ht="13.8">
      <c r="A192" s="1819"/>
      <c r="B192" s="1819" t="s">
        <v>1063</v>
      </c>
      <c r="C192" s="1819"/>
      <c r="D192" s="1819"/>
      <c r="E192" s="1819"/>
      <c r="F192" s="1819"/>
      <c r="G192" s="2469">
        <f>'Part III-A-Uses of Funds'!G79</f>
        <v>9500</v>
      </c>
      <c r="H192" s="2469"/>
      <c r="I192" s="1819"/>
      <c r="J192" s="2469">
        <f>'Part III-A-Uses of Funds'!J79</f>
        <v>0</v>
      </c>
      <c r="K192" s="2469"/>
      <c r="L192" s="2467"/>
      <c r="M192" s="2469">
        <f>'Part III-A-Uses of Funds'!M79</f>
        <v>0</v>
      </c>
      <c r="N192" s="2469"/>
      <c r="O192" s="1819"/>
      <c r="P192" s="2469">
        <f>'Part III-A-Uses of Funds'!P79</f>
        <v>9500</v>
      </c>
      <c r="Q192" s="2469"/>
      <c r="R192" s="1819"/>
      <c r="S192" s="2469">
        <f>'Part III-A-Uses of Funds'!S79</f>
        <v>0</v>
      </c>
      <c r="T192" s="2469"/>
      <c r="U192" s="1819"/>
      <c r="V192" s="2587"/>
    </row>
    <row r="193" spans="1:22" ht="13.8">
      <c r="A193" s="1819"/>
      <c r="B193" s="1819" t="s">
        <v>1064</v>
      </c>
      <c r="C193" s="1819"/>
      <c r="D193" s="1819"/>
      <c r="E193" s="1819"/>
      <c r="F193" s="1819"/>
      <c r="G193" s="2469">
        <f>'Part III-A-Uses of Funds'!G80</f>
        <v>0</v>
      </c>
      <c r="H193" s="2469"/>
      <c r="I193" s="1819"/>
      <c r="J193" s="2469">
        <f>'Part III-A-Uses of Funds'!J80</f>
        <v>0</v>
      </c>
      <c r="K193" s="2469"/>
      <c r="L193" s="2467"/>
      <c r="M193" s="2469">
        <f>'Part III-A-Uses of Funds'!M80</f>
        <v>0</v>
      </c>
      <c r="N193" s="2469"/>
      <c r="O193" s="1819"/>
      <c r="P193" s="2469">
        <f>'Part III-A-Uses of Funds'!P80</f>
        <v>0</v>
      </c>
      <c r="Q193" s="2469"/>
      <c r="R193" s="1819"/>
      <c r="S193" s="2469">
        <f>'Part III-A-Uses of Funds'!S80</f>
        <v>0</v>
      </c>
      <c r="T193" s="2469"/>
      <c r="U193" s="1819"/>
      <c r="V193" s="2587"/>
    </row>
    <row r="194" spans="1:22" ht="13.8">
      <c r="A194" s="1819"/>
      <c r="B194" s="1819" t="s">
        <v>452</v>
      </c>
      <c r="C194" s="1819"/>
      <c r="D194" s="1819"/>
      <c r="E194" s="1819"/>
      <c r="F194" s="1819"/>
      <c r="G194" s="2469">
        <f>'Part III-A-Uses of Funds'!G81</f>
        <v>0</v>
      </c>
      <c r="H194" s="2469"/>
      <c r="I194" s="1819"/>
      <c r="J194" s="2469">
        <f>'Part III-A-Uses of Funds'!J81</f>
        <v>0</v>
      </c>
      <c r="K194" s="2469"/>
      <c r="L194" s="2467"/>
      <c r="M194" s="2469">
        <f>'Part III-A-Uses of Funds'!M81</f>
        <v>0</v>
      </c>
      <c r="N194" s="2469"/>
      <c r="O194" s="1819"/>
      <c r="P194" s="2469">
        <f>'Part III-A-Uses of Funds'!P81</f>
        <v>0</v>
      </c>
      <c r="Q194" s="2469"/>
      <c r="R194" s="1819"/>
      <c r="S194" s="2469">
        <f>'Part III-A-Uses of Funds'!S81</f>
        <v>0</v>
      </c>
      <c r="T194" s="2469"/>
      <c r="U194" s="1819"/>
      <c r="V194" s="2587"/>
    </row>
    <row r="195" spans="1:22" ht="13.8">
      <c r="A195" s="1819"/>
      <c r="B195" s="1819" t="s">
        <v>453</v>
      </c>
      <c r="C195" s="1819"/>
      <c r="D195" s="1819"/>
      <c r="E195" s="1819"/>
      <c r="F195" s="1819"/>
      <c r="G195" s="2469">
        <f>'Part III-A-Uses of Funds'!G82</f>
        <v>0</v>
      </c>
      <c r="H195" s="2469"/>
      <c r="I195" s="1819"/>
      <c r="J195" s="2469">
        <f>'Part III-A-Uses of Funds'!J82</f>
        <v>0</v>
      </c>
      <c r="K195" s="2469"/>
      <c r="L195" s="2467"/>
      <c r="M195" s="2469">
        <f>'Part III-A-Uses of Funds'!M82</f>
        <v>0</v>
      </c>
      <c r="N195" s="2469"/>
      <c r="O195" s="1819"/>
      <c r="P195" s="2469">
        <f>'Part III-A-Uses of Funds'!P82</f>
        <v>0</v>
      </c>
      <c r="Q195" s="2469"/>
      <c r="R195" s="1819"/>
      <c r="S195" s="2469">
        <f>'Part III-A-Uses of Funds'!S82</f>
        <v>0</v>
      </c>
      <c r="T195" s="2469"/>
      <c r="U195" s="1819"/>
      <c r="V195" s="2587"/>
    </row>
    <row r="196" spans="1:22" ht="13.8">
      <c r="A196" s="1819"/>
      <c r="B196" s="1819" t="s">
        <v>1899</v>
      </c>
      <c r="C196" s="1819"/>
      <c r="D196" s="1819"/>
      <c r="E196" s="1819"/>
      <c r="F196" s="1819"/>
      <c r="G196" s="2469">
        <f>'Part III-A-Uses of Funds'!G83</f>
        <v>13000</v>
      </c>
      <c r="H196" s="2469"/>
      <c r="I196" s="1819"/>
      <c r="J196" s="2469">
        <f>'Part III-A-Uses of Funds'!J83</f>
        <v>0</v>
      </c>
      <c r="K196" s="2469"/>
      <c r="L196" s="2467"/>
      <c r="M196" s="2469">
        <f>'Part III-A-Uses of Funds'!M83</f>
        <v>0</v>
      </c>
      <c r="N196" s="2469"/>
      <c r="O196" s="1819"/>
      <c r="P196" s="2469">
        <f>'Part III-A-Uses of Funds'!P83</f>
        <v>13000</v>
      </c>
      <c r="Q196" s="2469"/>
      <c r="R196" s="1819"/>
      <c r="S196" s="2469">
        <f>'Part III-A-Uses of Funds'!S83</f>
        <v>0</v>
      </c>
      <c r="T196" s="2469"/>
      <c r="U196" s="1819"/>
      <c r="V196" s="2587"/>
    </row>
    <row r="197" spans="1:22" ht="13.8">
      <c r="A197" s="1819"/>
      <c r="B197" s="1819" t="s">
        <v>1201</v>
      </c>
      <c r="C197" s="1819"/>
      <c r="D197" s="1819"/>
      <c r="E197" s="1819"/>
      <c r="F197" s="1819"/>
      <c r="G197" s="2469">
        <f>'Part III-A-Uses of Funds'!G84</f>
        <v>2750</v>
      </c>
      <c r="H197" s="2469"/>
      <c r="I197" s="1819"/>
      <c r="J197" s="2469">
        <f>'Part III-A-Uses of Funds'!J84</f>
        <v>0</v>
      </c>
      <c r="K197" s="2469"/>
      <c r="L197" s="2467"/>
      <c r="M197" s="2469">
        <f>'Part III-A-Uses of Funds'!M84</f>
        <v>0</v>
      </c>
      <c r="N197" s="2469"/>
      <c r="O197" s="1819"/>
      <c r="P197" s="2469">
        <f>'Part III-A-Uses of Funds'!P84</f>
        <v>0</v>
      </c>
      <c r="Q197" s="2469"/>
      <c r="R197" s="1819"/>
      <c r="S197" s="2469">
        <f>'Part III-A-Uses of Funds'!S84</f>
        <v>2750</v>
      </c>
      <c r="T197" s="2469"/>
      <c r="U197" s="1819"/>
      <c r="V197" s="2587"/>
    </row>
    <row r="198" spans="1:22" ht="16.5" customHeight="1">
      <c r="A198" s="2588" t="str">
        <f>IF(AND(G198&gt;0,OR(C198="",C198="&lt;Enter detailed description here; use Comments section if needed&gt;")),"X","")</f>
        <v/>
      </c>
      <c r="B198" s="2544" t="s">
        <v>6279</v>
      </c>
      <c r="C198" s="2589" t="str">
        <f>'Part III-A-Uses of Funds'!C85</f>
        <v>&lt;&lt; Enter description here; provide detail &amp; justification in tab Part III-b &gt;&gt;</v>
      </c>
      <c r="D198" s="2589"/>
      <c r="E198" s="2589"/>
      <c r="F198" s="2589"/>
      <c r="G198" s="2469">
        <f>'Part III-A-Uses of Funds'!G85</f>
        <v>1500</v>
      </c>
      <c r="H198" s="2469"/>
      <c r="I198" s="1819"/>
      <c r="J198" s="2469">
        <f>'Part III-A-Uses of Funds'!J85</f>
        <v>0</v>
      </c>
      <c r="K198" s="2469"/>
      <c r="L198" s="2467"/>
      <c r="M198" s="2469">
        <f>'Part III-A-Uses of Funds'!M85</f>
        <v>0</v>
      </c>
      <c r="N198" s="2469"/>
      <c r="O198" s="1819"/>
      <c r="P198" s="2469">
        <f>'Part III-A-Uses of Funds'!P85</f>
        <v>0</v>
      </c>
      <c r="Q198" s="2469"/>
      <c r="R198" s="1819"/>
      <c r="S198" s="2469">
        <f>'Part III-A-Uses of Funds'!S85</f>
        <v>1500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ht="13.8">
      <c r="A199" s="1819"/>
      <c r="B199" s="1819"/>
      <c r="C199" s="1819"/>
      <c r="D199" s="1819"/>
      <c r="E199" s="1819"/>
      <c r="F199" s="2591" t="s">
        <v>184</v>
      </c>
      <c r="G199" s="2469">
        <f>SUM(G188:G198)</f>
        <v>74750</v>
      </c>
      <c r="H199" s="2469"/>
      <c r="I199" s="1819"/>
      <c r="J199" s="2469">
        <f>SUM(J188:J198)</f>
        <v>0</v>
      </c>
      <c r="K199" s="2469"/>
      <c r="L199" s="2467"/>
      <c r="M199" s="2469">
        <f>SUM(M188:M198)</f>
        <v>0</v>
      </c>
      <c r="N199" s="2469"/>
      <c r="O199" s="1819"/>
      <c r="P199" s="2469">
        <f>SUM(P188:P198)</f>
        <v>70500</v>
      </c>
      <c r="Q199" s="2469"/>
      <c r="R199" s="1819"/>
      <c r="S199" s="2469">
        <f>SUM(S188:S198)</f>
        <v>4250</v>
      </c>
      <c r="T199" s="2469"/>
      <c r="U199" s="1819"/>
      <c r="V199" s="2587">
        <f>SUM(V188:V198)</f>
        <v>0</v>
      </c>
    </row>
    <row r="200" spans="1:22" ht="13.8">
      <c r="A200" s="1819"/>
      <c r="B200" s="2536" t="s">
        <v>1193</v>
      </c>
      <c r="C200" s="1819"/>
      <c r="D200" s="2614" t="s">
        <v>3229</v>
      </c>
      <c r="E200" s="2615">
        <f>G205/'Part V-Revenues &amp; Expenses'!$P$67</f>
        <v>225</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ht="13.8">
      <c r="A201" s="1819"/>
      <c r="B201" s="1819" t="s">
        <v>1194</v>
      </c>
      <c r="C201" s="1819"/>
      <c r="D201" s="1819"/>
      <c r="E201" s="1819"/>
      <c r="F201" s="1819"/>
      <c r="G201" s="2469">
        <f>'Part III-A-Uses of Funds'!G88</f>
        <v>9000</v>
      </c>
      <c r="H201" s="2469"/>
      <c r="I201" s="1819"/>
      <c r="J201" s="2469">
        <f>'Part III-A-Uses of Funds'!J88</f>
        <v>0</v>
      </c>
      <c r="K201" s="2469"/>
      <c r="L201" s="2467"/>
      <c r="M201" s="2469">
        <f>'Part III-A-Uses of Funds'!M88</f>
        <v>0</v>
      </c>
      <c r="N201" s="2469"/>
      <c r="O201" s="1819"/>
      <c r="P201" s="2469">
        <f>'Part III-A-Uses of Funds'!P88</f>
        <v>9000</v>
      </c>
      <c r="Q201" s="2469"/>
      <c r="R201" s="1819"/>
      <c r="S201" s="2469">
        <f>'Part III-A-Uses of Funds'!S88</f>
        <v>0</v>
      </c>
      <c r="T201" s="2469"/>
      <c r="U201" s="1819"/>
      <c r="V201" s="2587"/>
    </row>
    <row r="202" spans="1:22" ht="13.8">
      <c r="A202" s="1819"/>
      <c r="B202" s="1819" t="s">
        <v>1195</v>
      </c>
      <c r="C202" s="1819"/>
      <c r="D202" s="1819"/>
      <c r="E202" s="1819"/>
      <c r="F202" s="1819"/>
      <c r="G202" s="2469">
        <f>'Part III-A-Uses of Funds'!G89</f>
        <v>0</v>
      </c>
      <c r="H202" s="2469"/>
      <c r="I202" s="1819"/>
      <c r="J202" s="2469">
        <f>'Part III-A-Uses of Funds'!J89</f>
        <v>0</v>
      </c>
      <c r="K202" s="2469"/>
      <c r="L202" s="2467"/>
      <c r="M202" s="2469">
        <f>'Part III-A-Uses of Funds'!M89</f>
        <v>0</v>
      </c>
      <c r="N202" s="2469"/>
      <c r="O202" s="1819"/>
      <c r="P202" s="2469">
        <f>'Part III-A-Uses of Funds'!P89</f>
        <v>0</v>
      </c>
      <c r="Q202" s="2469"/>
      <c r="R202" s="1819"/>
      <c r="S202" s="2469">
        <f>'Part III-A-Uses of Funds'!S89</f>
        <v>0</v>
      </c>
      <c r="T202" s="2469"/>
      <c r="U202" s="1819"/>
      <c r="V202" s="2587"/>
    </row>
    <row r="203" spans="1:22" ht="13.8">
      <c r="A203" s="1819"/>
      <c r="B203" s="1819" t="s">
        <v>1196</v>
      </c>
      <c r="C203" s="1819"/>
      <c r="D203" s="2616" t="s">
        <v>1324</v>
      </c>
      <c r="E203" s="2617">
        <f>'Part III-A-Uses of Funds'!E90</f>
        <v>0</v>
      </c>
      <c r="F203" s="1819"/>
      <c r="G203" s="2469">
        <f>'Part III-A-Uses of Funds'!G90</f>
        <v>0</v>
      </c>
      <c r="H203" s="2469"/>
      <c r="I203" s="378"/>
      <c r="J203" s="2469">
        <f>'Part III-A-Uses of Funds'!J90</f>
        <v>0</v>
      </c>
      <c r="K203" s="2469"/>
      <c r="L203" s="2467"/>
      <c r="M203" s="2469">
        <f>'Part III-A-Uses of Funds'!M90</f>
        <v>0</v>
      </c>
      <c r="N203" s="2469"/>
      <c r="O203" s="1819"/>
      <c r="P203" s="2469">
        <f>'Part III-A-Uses of Funds'!P90</f>
        <v>0</v>
      </c>
      <c r="Q203" s="2469"/>
      <c r="R203" s="1819"/>
      <c r="S203" s="2469">
        <f>'Part III-A-Uses of Funds'!S90</f>
        <v>0</v>
      </c>
      <c r="T203" s="2469"/>
      <c r="U203" s="1819"/>
      <c r="V203" s="2587"/>
    </row>
    <row r="204" spans="1:22" ht="13.8">
      <c r="A204" s="1819"/>
      <c r="B204" s="1819" t="s">
        <v>1197</v>
      </c>
      <c r="C204" s="1819"/>
      <c r="D204" s="2616" t="s">
        <v>1324</v>
      </c>
      <c r="E204" s="2617">
        <f>'Part III-A-Uses of Funds'!E91</f>
        <v>0</v>
      </c>
      <c r="F204" s="1819"/>
      <c r="G204" s="2469">
        <f>'Part III-A-Uses of Funds'!G91</f>
        <v>0</v>
      </c>
      <c r="H204" s="2469"/>
      <c r="I204" s="378"/>
      <c r="J204" s="2469">
        <f>'Part III-A-Uses of Funds'!J91</f>
        <v>0</v>
      </c>
      <c r="K204" s="2469"/>
      <c r="L204" s="2467"/>
      <c r="M204" s="2469">
        <f>'Part III-A-Uses of Funds'!M91</f>
        <v>0</v>
      </c>
      <c r="N204" s="2469"/>
      <c r="O204" s="1819"/>
      <c r="P204" s="2469">
        <f>'Part III-A-Uses of Funds'!P91</f>
        <v>0</v>
      </c>
      <c r="Q204" s="2469"/>
      <c r="R204" s="1819"/>
      <c r="S204" s="2469">
        <f>'Part III-A-Uses of Funds'!S91</f>
        <v>0</v>
      </c>
      <c r="T204" s="2469"/>
      <c r="U204" s="1819"/>
      <c r="V204" s="2587"/>
    </row>
    <row r="205" spans="1:22" ht="13.8">
      <c r="A205" s="1819"/>
      <c r="B205" s="1819"/>
      <c r="C205" s="1819"/>
      <c r="D205" s="1819"/>
      <c r="E205" s="1819"/>
      <c r="F205" s="2591" t="s">
        <v>184</v>
      </c>
      <c r="G205" s="2469">
        <f>SUM(G201:G204)</f>
        <v>9000</v>
      </c>
      <c r="H205" s="2469"/>
      <c r="I205" s="1819"/>
      <c r="J205" s="2469">
        <f>SUM(J201:J204)</f>
        <v>0</v>
      </c>
      <c r="K205" s="2469"/>
      <c r="L205" s="2467"/>
      <c r="M205" s="2469">
        <f>SUM(M201:M204)</f>
        <v>0</v>
      </c>
      <c r="N205" s="2469"/>
      <c r="O205" s="1819"/>
      <c r="P205" s="2469">
        <f>SUM(P201:P204)</f>
        <v>9000</v>
      </c>
      <c r="Q205" s="2469"/>
      <c r="R205" s="1819"/>
      <c r="S205" s="2469">
        <f>SUM(S201:S204)</f>
        <v>0</v>
      </c>
      <c r="T205" s="2469"/>
      <c r="U205" s="1819"/>
      <c r="V205" s="2587">
        <f>SUM(V201:V204)</f>
        <v>0</v>
      </c>
    </row>
    <row r="206" spans="1:22" ht="13.8">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c r="A207" s="2584" t="s">
        <v>573</v>
      </c>
      <c r="B207" s="2584" t="s">
        <v>6959</v>
      </c>
      <c r="C207" s="1819"/>
      <c r="D207" s="1819"/>
      <c r="E207" s="1819"/>
      <c r="F207" s="1819"/>
      <c r="G207" s="1819"/>
      <c r="H207" s="1819"/>
      <c r="I207" s="1819"/>
      <c r="J207" s="2538" t="s">
        <v>259</v>
      </c>
      <c r="K207" s="2538"/>
      <c r="L207" s="2469"/>
      <c r="M207" s="2475" t="s">
        <v>460</v>
      </c>
      <c r="N207" s="2475"/>
      <c r="O207" s="1819"/>
      <c r="P207" s="2538" t="s">
        <v>260</v>
      </c>
      <c r="Q207" s="2538"/>
      <c r="R207" s="1819"/>
      <c r="S207" s="2538" t="s">
        <v>261</v>
      </c>
      <c r="T207" s="2538"/>
      <c r="U207" s="1819"/>
      <c r="V207" s="2586" t="str">
        <f>B207</f>
        <v>DEVELOPMENT BUDGET  (cont'd)</v>
      </c>
    </row>
    <row r="208" spans="1:22" ht="13.8">
      <c r="A208" s="1819"/>
      <c r="B208" s="1819"/>
      <c r="C208" s="1819"/>
      <c r="D208" s="1819"/>
      <c r="E208" s="1819"/>
      <c r="F208" s="1819"/>
      <c r="G208" s="2536" t="s">
        <v>95</v>
      </c>
      <c r="H208" s="2536"/>
      <c r="I208" s="1819"/>
      <c r="J208" s="2538"/>
      <c r="K208" s="2538"/>
      <c r="L208" s="2469"/>
      <c r="M208" s="2475"/>
      <c r="N208" s="2475"/>
      <c r="O208" s="1819"/>
      <c r="P208" s="2538"/>
      <c r="Q208" s="2538"/>
      <c r="R208" s="1819"/>
      <c r="S208" s="2538"/>
      <c r="T208" s="2538"/>
      <c r="U208" s="1819"/>
      <c r="V208" s="377" t="s">
        <v>2448</v>
      </c>
    </row>
    <row r="209" spans="1:33" ht="13.8">
      <c r="A209" s="1819"/>
      <c r="B209" s="2536" t="s">
        <v>677</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ht="13.8">
      <c r="A210" s="1819"/>
      <c r="B210" s="1819" t="s">
        <v>1198</v>
      </c>
      <c r="C210" s="1819"/>
      <c r="D210" s="1819"/>
      <c r="E210" s="1819"/>
      <c r="F210" s="1819"/>
      <c r="G210" s="2469">
        <f>'Part III-A-Uses of Funds'!G97</f>
        <v>27301</v>
      </c>
      <c r="H210" s="2469"/>
      <c r="I210" s="1819"/>
      <c r="J210" s="2469"/>
      <c r="K210" s="2469"/>
      <c r="L210" s="2467"/>
      <c r="M210" s="2469"/>
      <c r="N210" s="2469"/>
      <c r="O210" s="1819"/>
      <c r="P210" s="2469"/>
      <c r="Q210" s="2469"/>
      <c r="R210" s="1819"/>
      <c r="S210" s="2469">
        <f>'Part III-A-Uses of Funds'!S97</f>
        <v>27301</v>
      </c>
      <c r="T210" s="2469"/>
      <c r="U210" s="1819"/>
      <c r="V210" s="2587"/>
    </row>
    <row r="211" spans="1:33" ht="13.8">
      <c r="A211" s="1819"/>
      <c r="B211" s="1819" t="s">
        <v>1199</v>
      </c>
      <c r="C211" s="1819"/>
      <c r="D211" s="1819"/>
      <c r="E211" s="1819"/>
      <c r="F211" s="1819"/>
      <c r="G211" s="2469">
        <f>'Part III-A-Uses of Funds'!G98</f>
        <v>9000</v>
      </c>
      <c r="H211" s="2469"/>
      <c r="I211" s="1819"/>
      <c r="J211" s="2469"/>
      <c r="K211" s="2469"/>
      <c r="L211" s="2467"/>
      <c r="M211" s="2469"/>
      <c r="N211" s="2469"/>
      <c r="O211" s="1819"/>
      <c r="P211" s="2469"/>
      <c r="Q211" s="2469"/>
      <c r="R211" s="1819"/>
      <c r="S211" s="2469">
        <f>'Part III-A-Uses of Funds'!S98</f>
        <v>9000</v>
      </c>
      <c r="T211" s="2469"/>
      <c r="U211" s="1819"/>
      <c r="V211" s="2587"/>
    </row>
    <row r="212" spans="1:33" ht="13.8">
      <c r="A212" s="1819"/>
      <c r="B212" s="1819" t="s">
        <v>1200</v>
      </c>
      <c r="C212" s="1819"/>
      <c r="D212" s="1819"/>
      <c r="E212" s="1819"/>
      <c r="F212" s="1819"/>
      <c r="G212" s="2469">
        <f>'Part III-A-Uses of Funds'!G99</f>
        <v>1500</v>
      </c>
      <c r="H212" s="2469"/>
      <c r="I212" s="1819"/>
      <c r="J212" s="2469"/>
      <c r="K212" s="2469"/>
      <c r="L212" s="2467"/>
      <c r="M212" s="2469"/>
      <c r="N212" s="2469"/>
      <c r="O212" s="1819"/>
      <c r="P212" s="2469"/>
      <c r="Q212" s="2469"/>
      <c r="R212" s="1819"/>
      <c r="S212" s="2469">
        <f>'Part III-A-Uses of Funds'!S99</f>
        <v>1500</v>
      </c>
      <c r="T212" s="2469"/>
      <c r="U212" s="1819"/>
      <c r="V212" s="2587"/>
    </row>
    <row r="213" spans="1:33" ht="13.8">
      <c r="A213" s="1819"/>
      <c r="B213" s="1819" t="s">
        <v>1202</v>
      </c>
      <c r="C213" s="1819"/>
      <c r="D213" s="1819"/>
      <c r="E213" s="1819"/>
      <c r="F213" s="1819"/>
      <c r="G213" s="2469">
        <f>'Part III-A-Uses of Funds'!G100</f>
        <v>12378</v>
      </c>
      <c r="H213" s="2469"/>
      <c r="I213" s="1819"/>
      <c r="J213" s="2469"/>
      <c r="K213" s="2469"/>
      <c r="L213" s="2467"/>
      <c r="M213" s="2469"/>
      <c r="N213" s="2469"/>
      <c r="O213" s="1819"/>
      <c r="P213" s="2469"/>
      <c r="Q213" s="2469"/>
      <c r="R213" s="1819"/>
      <c r="S213" s="2469">
        <f>'Part III-A-Uses of Funds'!S100</f>
        <v>12378</v>
      </c>
      <c r="T213" s="2469"/>
      <c r="U213" s="1819"/>
      <c r="V213" s="2587"/>
    </row>
    <row r="214" spans="1:33" ht="13.8">
      <c r="A214" s="1819"/>
      <c r="B214" s="1819" t="s">
        <v>2121</v>
      </c>
      <c r="C214" s="1819"/>
      <c r="D214" s="1819"/>
      <c r="E214" s="1819"/>
      <c r="F214" s="1819"/>
      <c r="G214" s="2469">
        <f>'Part III-A-Uses of Funds'!G101</f>
        <v>50236</v>
      </c>
      <c r="H214" s="2469"/>
      <c r="I214" s="1819"/>
      <c r="J214" s="2469"/>
      <c r="K214" s="2469"/>
      <c r="L214" s="2467"/>
      <c r="M214" s="2469"/>
      <c r="N214" s="2469"/>
      <c r="O214" s="1819"/>
      <c r="P214" s="2469"/>
      <c r="Q214" s="2469"/>
      <c r="R214" s="1819"/>
      <c r="S214" s="2469">
        <f>'Part III-A-Uses of Funds'!S101</f>
        <v>50236</v>
      </c>
      <c r="T214" s="2469"/>
      <c r="U214" s="1819"/>
      <c r="V214" s="2587"/>
    </row>
    <row r="215" spans="1:33" ht="16.5" customHeight="1">
      <c r="A215" s="2588" t="str">
        <f>IF(AND(G215&gt;0,OR(C215="",C215="&lt;Enter detailed description here; use Comments section if needed&gt;")),"X","")</f>
        <v/>
      </c>
      <c r="B215" s="2544" t="s">
        <v>6280</v>
      </c>
      <c r="C215" s="2589" t="str">
        <f>'Part III-A-Uses of Funds'!C102</f>
        <v>&lt;&lt; Enter description here; provide detail &amp; justification in tab Part III-b &gt;&gt;</v>
      </c>
      <c r="D215" s="2589"/>
      <c r="E215" s="2589"/>
      <c r="F215" s="2589"/>
      <c r="G215" s="2469">
        <f>'Part III-A-Uses of Funds'!G102</f>
        <v>0</v>
      </c>
      <c r="H215" s="2469"/>
      <c r="I215" s="1819"/>
      <c r="J215" s="2469"/>
      <c r="K215" s="2469"/>
      <c r="L215" s="2467"/>
      <c r="M215" s="2469"/>
      <c r="N215" s="2469"/>
      <c r="O215" s="1819"/>
      <c r="P215" s="2469"/>
      <c r="Q215" s="2469"/>
      <c r="R215" s="1819"/>
      <c r="S215" s="2469">
        <f>'Part III-A-Uses of Funds'!S102</f>
        <v>0</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ht="13.8">
      <c r="A216" s="1819"/>
      <c r="B216" s="1819"/>
      <c r="C216" s="1819"/>
      <c r="D216" s="1819"/>
      <c r="E216" s="1819"/>
      <c r="F216" s="2591" t="s">
        <v>184</v>
      </c>
      <c r="G216" s="2469">
        <f>SUM(G210:G215)</f>
        <v>100415</v>
      </c>
      <c r="H216" s="2469"/>
      <c r="I216" s="1819"/>
      <c r="J216" s="2469"/>
      <c r="K216" s="2469"/>
      <c r="L216" s="2467"/>
      <c r="M216" s="2469"/>
      <c r="N216" s="2469"/>
      <c r="O216" s="1819"/>
      <c r="P216" s="2469"/>
      <c r="Q216" s="2469"/>
      <c r="R216" s="1819"/>
      <c r="S216" s="2469">
        <f>SUM(S210:S215)</f>
        <v>100415</v>
      </c>
      <c r="T216" s="2469"/>
      <c r="U216" s="1819"/>
      <c r="V216" s="2587">
        <f>SUM(V210:V215)</f>
        <v>0</v>
      </c>
    </row>
    <row r="217" spans="1:33" ht="13.8">
      <c r="A217" s="1819"/>
      <c r="B217" s="2536" t="s">
        <v>678</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3926</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0</v>
      </c>
      <c r="H218" s="2469"/>
      <c r="I218" s="1819"/>
      <c r="J218" s="2467"/>
      <c r="K218" s="2467"/>
      <c r="L218" s="2467"/>
      <c r="M218" s="2467"/>
      <c r="N218" s="2467"/>
      <c r="O218" s="1819"/>
      <c r="P218" s="2467"/>
      <c r="Q218" s="2467"/>
      <c r="R218" s="1819"/>
      <c r="S218" s="2469">
        <f>'Part III-A-Uses of Funds'!S105</f>
        <v>0</v>
      </c>
      <c r="T218" s="2469"/>
      <c r="U218" s="1819"/>
      <c r="V218" s="2587"/>
      <c r="W218" s="2567" t="s">
        <v>6704</v>
      </c>
      <c r="X218" s="1819"/>
      <c r="Y218" s="403" t="s">
        <v>6646</v>
      </c>
      <c r="Z218" s="2544"/>
      <c r="AA218" s="2544"/>
      <c r="AB218" s="2619" t="str">
        <f>'Part V-Revenues &amp; Expenses'!$O$53</f>
        <v>40% of Units at 60% of AMI</v>
      </c>
      <c r="AC218" s="2620"/>
      <c r="AD218" s="2620"/>
      <c r="AE218" s="1819"/>
      <c r="AF218" s="1819"/>
      <c r="AG218" s="1819"/>
    </row>
    <row r="219" spans="1:33" ht="13.8">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5500</v>
      </c>
      <c r="H219" s="2469"/>
      <c r="I219" s="1819"/>
      <c r="J219" s="2467"/>
      <c r="K219" s="2467"/>
      <c r="L219" s="2482"/>
      <c r="M219" s="2467"/>
      <c r="N219" s="2467"/>
      <c r="O219" s="1819"/>
      <c r="P219" s="2467"/>
      <c r="Q219" s="2467"/>
      <c r="R219" s="1819"/>
      <c r="S219" s="2469">
        <f>'Part III-A-Uses of Funds'!S106</f>
        <v>5500</v>
      </c>
      <c r="T219" s="2469"/>
      <c r="U219" s="1819"/>
      <c r="V219" s="2587"/>
      <c r="W219" s="2567"/>
      <c r="X219" s="1819"/>
      <c r="Y219" s="2606" t="s">
        <v>3151</v>
      </c>
      <c r="Z219" s="2606"/>
      <c r="AA219" s="2606"/>
      <c r="AB219" s="2621">
        <f>'Part V-Revenues &amp; Expenses'!$P$67</f>
        <v>40</v>
      </c>
      <c r="AC219" s="1819"/>
      <c r="AD219" s="1819"/>
      <c r="AE219" s="1819"/>
      <c r="AF219" s="1819"/>
      <c r="AG219" s="1819"/>
    </row>
    <row r="220" spans="1:33" ht="13.8">
      <c r="A220" s="1819"/>
      <c r="B220" s="1819" t="s">
        <v>3319</v>
      </c>
      <c r="C220" s="1819"/>
      <c r="D220" s="1819"/>
      <c r="E220" s="1819"/>
      <c r="F220" s="1819"/>
      <c r="G220" s="2469">
        <f>'Part III-A-Uses of Funds'!G107</f>
        <v>4000</v>
      </c>
      <c r="H220" s="2469"/>
      <c r="I220" s="1819"/>
      <c r="J220" s="2467"/>
      <c r="K220" s="2467"/>
      <c r="L220" s="2482"/>
      <c r="M220" s="2467"/>
      <c r="N220" s="2467"/>
      <c r="O220" s="1819"/>
      <c r="P220" s="2467"/>
      <c r="Q220" s="2467"/>
      <c r="R220" s="1819"/>
      <c r="S220" s="2469">
        <f>'Part III-A-Uses of Funds'!S107</f>
        <v>4000</v>
      </c>
      <c r="T220" s="2469"/>
      <c r="U220" s="1819"/>
      <c r="V220" s="2587"/>
      <c r="W220" s="2567"/>
      <c r="X220" s="2567"/>
      <c r="Y220" s="2622" t="s">
        <v>6709</v>
      </c>
      <c r="Z220" s="2544"/>
      <c r="AA220" s="2544"/>
      <c r="AB220" s="2544"/>
      <c r="AC220" s="1819"/>
      <c r="AD220" s="2623" t="s">
        <v>6710</v>
      </c>
      <c r="AE220" s="1819"/>
      <c r="AF220" s="1819"/>
      <c r="AG220" s="1819"/>
    </row>
    <row r="221" spans="1:33" ht="13.8">
      <c r="A221" s="1819"/>
      <c r="B221" s="1819" t="s">
        <v>486</v>
      </c>
      <c r="C221" s="1819"/>
      <c r="D221" s="1819"/>
      <c r="E221" s="2483">
        <f>'Part III-A-Uses of Funds'!E108</f>
        <v>16545</v>
      </c>
      <c r="F221" s="2483"/>
      <c r="G221" s="2469">
        <f>'Part III-A-Uses of Funds'!G108</f>
        <v>16545</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16545</v>
      </c>
      <c r="T221" s="2469"/>
      <c r="U221" s="1819"/>
      <c r="V221" s="2587"/>
      <c r="W221" s="2567"/>
      <c r="X221" s="2567"/>
      <c r="Y221" s="2544" t="s">
        <v>6705</v>
      </c>
      <c r="Z221" s="2544"/>
      <c r="AA221" s="2544"/>
      <c r="AB221" s="2624">
        <f>'Part V-Revenues &amp; Expenses'!N253+'Part V-Revenues &amp; Expenses'!N254</f>
        <v>0</v>
      </c>
      <c r="AC221" s="1819"/>
      <c r="AD221" s="2625">
        <f>AB221*'DCA Underwriting Assumptions'!$Q$63</f>
        <v>0</v>
      </c>
      <c r="AE221" s="1819"/>
      <c r="AF221" s="1819"/>
      <c r="AG221" s="1819"/>
    </row>
    <row r="222" spans="1:33" ht="13.8">
      <c r="A222" s="1819"/>
      <c r="B222" s="1819" t="s">
        <v>702</v>
      </c>
      <c r="C222" s="1819"/>
      <c r="D222" s="1819"/>
      <c r="E222" s="2483">
        <f>'Part III-A-Uses of Funds'!E109</f>
        <v>32000</v>
      </c>
      <c r="F222" s="2483"/>
      <c r="G222" s="2469">
        <f>'Part III-A-Uses of Funds'!G109</f>
        <v>32000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32000</v>
      </c>
      <c r="T222" s="2469"/>
      <c r="U222" s="1819"/>
      <c r="V222" s="2587"/>
      <c r="W222" s="2567"/>
      <c r="X222" s="2567"/>
      <c r="Y222" s="2544" t="s">
        <v>6288</v>
      </c>
      <c r="Z222" s="2544"/>
      <c r="AA222" s="2544"/>
      <c r="AB222" s="2624">
        <f>'Part V-Revenues &amp; Expenses'!$P$140+'Part V-Revenues &amp; Expenses'!$P$141</f>
        <v>0</v>
      </c>
      <c r="AC222" s="1819"/>
      <c r="AD222" s="2625">
        <f>AB222*'DCA Underwriting Assumptions'!$Q$63</f>
        <v>0</v>
      </c>
      <c r="AE222" s="1819"/>
      <c r="AF222" s="1819"/>
      <c r="AG222" s="1819"/>
    </row>
    <row r="223" spans="1:33" ht="13.8">
      <c r="A223" s="1819"/>
      <c r="B223" s="1819" t="s">
        <v>3450</v>
      </c>
      <c r="C223" s="1819"/>
      <c r="D223" s="1819"/>
      <c r="E223" s="1819"/>
      <c r="F223" s="2626"/>
      <c r="G223" s="2469">
        <f>'Part III-A-Uses of Funds'!G110</f>
        <v>0</v>
      </c>
      <c r="H223" s="2469"/>
      <c r="I223" s="2485"/>
      <c r="J223" s="2485"/>
      <c r="K223" s="2485"/>
      <c r="L223" s="2485"/>
      <c r="M223" s="2485"/>
      <c r="N223" s="2485"/>
      <c r="O223" s="2485"/>
      <c r="P223" s="2485"/>
      <c r="Q223" s="2485"/>
      <c r="R223" s="2485"/>
      <c r="S223" s="2469">
        <f>'Part III-A-Uses of Funds'!S110</f>
        <v>0</v>
      </c>
      <c r="T223" s="2469"/>
      <c r="U223" s="1819"/>
      <c r="V223" s="2587"/>
      <c r="W223" s="2567"/>
      <c r="X223" s="1819"/>
      <c r="Y223" s="2544" t="s">
        <v>6706</v>
      </c>
      <c r="Z223" s="2544"/>
      <c r="AA223" s="2544"/>
      <c r="AB223" s="2624">
        <f>'Part V-Revenues &amp; Expenses'!$P$142+'Part V-Revenues &amp; Expenses'!$P$143</f>
        <v>0</v>
      </c>
      <c r="AC223" s="1819"/>
      <c r="AD223" s="2625">
        <f>AB223*'DCA Underwriting Assumptions'!$Q$63</f>
        <v>0</v>
      </c>
      <c r="AE223" s="1819"/>
      <c r="AF223" s="1819"/>
      <c r="AG223" s="1819"/>
    </row>
    <row r="224" spans="1:33" ht="13.8">
      <c r="A224" s="1819"/>
      <c r="B224" s="1819" t="s">
        <v>3451</v>
      </c>
      <c r="C224" s="1819"/>
      <c r="D224" s="1819"/>
      <c r="E224" s="1819"/>
      <c r="F224" s="2626">
        <f>ROUNDUP('DCA Underwriting Assumptions'!$Q$58,0)</f>
        <v>8000</v>
      </c>
      <c r="G224" s="2469">
        <f>'Part III-A-Uses of Funds'!G111</f>
        <v>8000</v>
      </c>
      <c r="H224" s="2469"/>
      <c r="I224" s="1819"/>
      <c r="J224" s="378"/>
      <c r="K224" s="378"/>
      <c r="L224" s="378"/>
      <c r="M224" s="378"/>
      <c r="N224" s="378"/>
      <c r="O224" s="378"/>
      <c r="P224" s="378"/>
      <c r="Q224" s="378"/>
      <c r="R224" s="1819"/>
      <c r="S224" s="2469">
        <f>'Part III-A-Uses of Funds'!S111</f>
        <v>8000</v>
      </c>
      <c r="T224" s="2469"/>
      <c r="U224" s="1819"/>
      <c r="V224" s="2587"/>
      <c r="W224" s="1819"/>
      <c r="X224" s="1819"/>
      <c r="Y224" s="2544"/>
      <c r="Z224" s="2597" t="s">
        <v>6707</v>
      </c>
      <c r="AA224" s="2544"/>
      <c r="AB224" s="2627">
        <f>SUM(AB221:AB223)</f>
        <v>0</v>
      </c>
      <c r="AC224" s="1819"/>
      <c r="AD224" s="2628">
        <f>SUM(AD221:AD223)</f>
        <v>0</v>
      </c>
      <c r="AE224" s="1819"/>
      <c r="AF224" s="1819"/>
      <c r="AG224" s="1819"/>
    </row>
    <row r="225" spans="1:33" ht="15.75" customHeight="1">
      <c r="A225" s="2588" t="str">
        <f>IF(AND(G225&gt;0,OR(C225="",C225="&lt;Enter detailed description here; use Comments section if needed&gt;")),"X","")</f>
        <v/>
      </c>
      <c r="B225" s="2544" t="s">
        <v>6276</v>
      </c>
      <c r="C225" s="2589" t="str">
        <f>'Part III-A-Uses of Funds'!C112</f>
        <v>&lt;&lt; Enter description here; provide detail &amp; justification in tab Part III-b &gt;&gt;</v>
      </c>
      <c r="D225" s="2589"/>
      <c r="E225" s="2589"/>
      <c r="F225" s="2589"/>
      <c r="G225" s="2469">
        <f>'Part III-A-Uses of Funds'!G112</f>
        <v>0</v>
      </c>
      <c r="H225" s="2469"/>
      <c r="I225" s="1819"/>
      <c r="J225" s="378"/>
      <c r="K225" s="378"/>
      <c r="L225" s="378"/>
      <c r="M225" s="378"/>
      <c r="N225" s="378"/>
      <c r="O225" s="378"/>
      <c r="P225" s="378"/>
      <c r="Q225" s="378"/>
      <c r="R225" s="1819"/>
      <c r="S225" s="2469">
        <f>'Part III-A-Uses of Funds'!S112</f>
        <v>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6708</v>
      </c>
      <c r="Z225" s="2544"/>
      <c r="AA225" s="1320"/>
      <c r="AB225" s="2544"/>
      <c r="AC225" s="1819"/>
      <c r="AD225" s="2625"/>
      <c r="AE225" s="1819"/>
      <c r="AF225" s="1819"/>
      <c r="AG225" s="1819"/>
    </row>
    <row r="226" spans="1:33" ht="16.5" customHeight="1">
      <c r="A226" s="2588" t="str">
        <f>IF(AND(G226&gt;0,OR(C226="",C226="&lt;Enter detailed description here; use Comments section if needed&gt;")),"X","")</f>
        <v/>
      </c>
      <c r="B226" s="2544" t="s">
        <v>6276</v>
      </c>
      <c r="C226" s="2589" t="str">
        <f>'Part III-A-Uses of Funds'!C113</f>
        <v>&lt;&lt; Enter description here; provide detail &amp; justification in tab Part III-b &gt;&gt;</v>
      </c>
      <c r="D226" s="2589"/>
      <c r="E226" s="2589"/>
      <c r="F226" s="2589"/>
      <c r="G226" s="2469">
        <f>'Part III-A-Uses of Funds'!G113</f>
        <v>0</v>
      </c>
      <c r="H226" s="2469"/>
      <c r="I226" s="1819"/>
      <c r="J226" s="378"/>
      <c r="K226" s="378"/>
      <c r="L226" s="378"/>
      <c r="M226" s="378"/>
      <c r="N226" s="378"/>
      <c r="O226" s="378"/>
      <c r="P226" s="378"/>
      <c r="Q226" s="378"/>
      <c r="R226" s="1819"/>
      <c r="S226" s="2469">
        <f>'Part III-A-Uses of Funds'!S113</f>
        <v>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40</v>
      </c>
      <c r="AC226" s="1819"/>
      <c r="AD226" s="2625">
        <f>IF($AD$101="Income Averaging",AB226*'DCA Underwriting Assumptions'!$Q$61,AB226*'DCA Underwriting Assumptions'!$Q$60)</f>
        <v>32000</v>
      </c>
      <c r="AE226" s="1819"/>
      <c r="AF226" s="1819"/>
      <c r="AG226" s="1819"/>
    </row>
    <row r="227" spans="1:33" ht="13.8">
      <c r="A227" s="1819"/>
      <c r="B227" s="1819"/>
      <c r="C227" s="1819"/>
      <c r="D227" s="1819"/>
      <c r="E227" s="1819"/>
      <c r="F227" s="2591" t="s">
        <v>184</v>
      </c>
      <c r="G227" s="2469">
        <f>SUM(G218:G226)</f>
        <v>66045</v>
      </c>
      <c r="H227" s="2469"/>
      <c r="I227" s="1819"/>
      <c r="J227" s="2467"/>
      <c r="K227" s="2467"/>
      <c r="L227" s="2467"/>
      <c r="M227" s="2467"/>
      <c r="N227" s="2467"/>
      <c r="O227" s="1819"/>
      <c r="P227" s="2467"/>
      <c r="Q227" s="2467"/>
      <c r="R227" s="1819"/>
      <c r="S227" s="2469">
        <f>SUM(S218:S226)</f>
        <v>66045</v>
      </c>
      <c r="T227" s="2469"/>
      <c r="U227" s="1819"/>
      <c r="V227" s="2587">
        <f>SUM(V218:V226)</f>
        <v>0</v>
      </c>
      <c r="W227" s="1819"/>
      <c r="X227" s="1819"/>
      <c r="Y227" s="2544" t="s">
        <v>6482</v>
      </c>
      <c r="Z227" s="2544"/>
      <c r="AA227" s="2629"/>
      <c r="AB227" s="2624">
        <f>'Part V-Revenues &amp; Expenses'!$P$138+'Part V-Revenues &amp; Expenses'!$P$139</f>
        <v>0</v>
      </c>
      <c r="AC227" s="1819"/>
      <c r="AD227" s="2625">
        <f>IF($AD$101="Income Averaging",AB227*'DCA Underwriting Assumptions'!$Q$61,AB227*'DCA Underwriting Assumptions'!$Q$60)</f>
        <v>0</v>
      </c>
      <c r="AE227" s="1819"/>
      <c r="AF227" s="1819"/>
      <c r="AG227" s="1819"/>
    </row>
    <row r="228" spans="1:33" ht="13.8">
      <c r="A228" s="1819"/>
      <c r="B228" s="2536" t="s">
        <v>2122</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6707</v>
      </c>
      <c r="AA228" s="2544"/>
      <c r="AB228" s="2627">
        <f>SUM(AB226:AB227)</f>
        <v>40</v>
      </c>
      <c r="AC228" s="1819"/>
      <c r="AD228" s="2628">
        <f>SUM(AD226:AD227)</f>
        <v>32000</v>
      </c>
      <c r="AE228" s="1819"/>
      <c r="AF228" s="1819"/>
      <c r="AG228" s="1819"/>
    </row>
    <row r="229" spans="1:33" ht="13.8">
      <c r="A229" s="1819"/>
      <c r="B229" s="1819" t="s">
        <v>267</v>
      </c>
      <c r="C229" s="1819"/>
      <c r="D229" s="1819"/>
      <c r="E229" s="1819"/>
      <c r="F229" s="1819"/>
      <c r="G229" s="2469">
        <f>'Part III-A-Uses of Funds'!G116</f>
        <v>1500</v>
      </c>
      <c r="H229" s="2469"/>
      <c r="I229" s="1819"/>
      <c r="J229" s="2469"/>
      <c r="K229" s="2469"/>
      <c r="L229" s="2467"/>
      <c r="M229" s="2469"/>
      <c r="N229" s="2469"/>
      <c r="O229" s="1819"/>
      <c r="P229" s="2469"/>
      <c r="Q229" s="2469"/>
      <c r="R229" s="1819"/>
      <c r="S229" s="2469">
        <f>'Part III-A-Uses of Funds'!S116</f>
        <v>1500</v>
      </c>
      <c r="T229" s="2469"/>
      <c r="U229" s="1819"/>
      <c r="V229" s="2587"/>
      <c r="W229" s="1819"/>
      <c r="X229" s="1819"/>
      <c r="Y229" s="1819"/>
      <c r="Z229" s="1819"/>
      <c r="AA229" s="1819"/>
      <c r="AB229" s="1819"/>
      <c r="AC229" s="1819"/>
      <c r="AD229" s="1819"/>
      <c r="AE229" s="1819"/>
      <c r="AF229" s="1819"/>
      <c r="AG229" s="1819"/>
    </row>
    <row r="230" spans="1:33" ht="13.8">
      <c r="A230" s="1819"/>
      <c r="B230" s="1819" t="s">
        <v>268</v>
      </c>
      <c r="C230" s="1819"/>
      <c r="D230" s="1819"/>
      <c r="E230" s="1819"/>
      <c r="F230" s="1819"/>
      <c r="G230" s="2469">
        <f>'Part III-A-Uses of Funds'!G117</f>
        <v>0</v>
      </c>
      <c r="H230" s="2469"/>
      <c r="I230" s="1819"/>
      <c r="J230" s="2469"/>
      <c r="K230" s="2469"/>
      <c r="L230" s="2467"/>
      <c r="M230" s="2469"/>
      <c r="N230" s="2469"/>
      <c r="O230" s="1819"/>
      <c r="P230" s="2469"/>
      <c r="Q230" s="2469"/>
      <c r="R230" s="1819"/>
      <c r="S230" s="2469">
        <f>'Part III-A-Uses of Funds'!S117</f>
        <v>0</v>
      </c>
      <c r="T230" s="2469"/>
      <c r="U230" s="1819"/>
      <c r="V230" s="2587"/>
      <c r="W230" s="1819"/>
      <c r="X230" s="1819"/>
      <c r="Y230" s="1819"/>
      <c r="Z230" s="1819"/>
      <c r="AA230" s="1819"/>
      <c r="AB230" s="1819"/>
      <c r="AC230" s="1819"/>
      <c r="AD230" s="1819"/>
      <c r="AE230" s="1819"/>
      <c r="AF230" s="1819"/>
      <c r="AG230" s="1819"/>
    </row>
    <row r="231" spans="1:33" ht="13.8">
      <c r="A231" s="1819"/>
      <c r="B231" s="1819" t="s">
        <v>2200</v>
      </c>
      <c r="C231" s="1819"/>
      <c r="D231" s="1819"/>
      <c r="E231" s="1819"/>
      <c r="F231" s="1819"/>
      <c r="G231" s="2469">
        <f>'Part III-A-Uses of Funds'!G118</f>
        <v>6000</v>
      </c>
      <c r="H231" s="2469"/>
      <c r="I231" s="1819"/>
      <c r="J231" s="2469"/>
      <c r="K231" s="2469"/>
      <c r="L231" s="2467"/>
      <c r="M231" s="2469"/>
      <c r="N231" s="2469"/>
      <c r="O231" s="1819"/>
      <c r="P231" s="2469"/>
      <c r="Q231" s="2469"/>
      <c r="R231" s="1819"/>
      <c r="S231" s="2469">
        <f>'Part III-A-Uses of Funds'!S118</f>
        <v>6000</v>
      </c>
      <c r="T231" s="2469"/>
      <c r="U231" s="1819"/>
      <c r="V231" s="2587"/>
      <c r="W231" s="1819"/>
      <c r="X231" s="1819"/>
      <c r="Y231" s="1819"/>
      <c r="Z231" s="1819"/>
      <c r="AA231" s="1819"/>
      <c r="AB231" s="1819"/>
      <c r="AC231" s="1819"/>
      <c r="AD231" s="1819"/>
      <c r="AE231" s="1819"/>
      <c r="AF231" s="1819"/>
      <c r="AG231" s="1819"/>
    </row>
    <row r="232" spans="1:33" ht="16.5" customHeight="1">
      <c r="A232" s="2588" t="str">
        <f>IF(AND(G232&gt;0,OR(C232="",C232="&lt;Enter detailed description here; use Comments section if needed&gt;")),"X","")</f>
        <v/>
      </c>
      <c r="B232" s="2544" t="s">
        <v>6276</v>
      </c>
      <c r="C232" s="2589" t="str">
        <f>'Part III-A-Uses of Funds'!C119</f>
        <v>&lt;&lt; Enter description here; provide detail &amp; justification in tab Part III-b &gt;&gt;</v>
      </c>
      <c r="D232" s="2589"/>
      <c r="E232" s="2589"/>
      <c r="F232" s="2589"/>
      <c r="G232" s="2469">
        <f>'Part III-A-Uses of Funds'!G119</f>
        <v>0</v>
      </c>
      <c r="H232" s="2469"/>
      <c r="I232" s="1819"/>
      <c r="J232" s="2469"/>
      <c r="K232" s="2469"/>
      <c r="L232" s="2467"/>
      <c r="M232" s="2469"/>
      <c r="N232" s="2469"/>
      <c r="O232" s="1819"/>
      <c r="P232" s="2469"/>
      <c r="Q232" s="2469"/>
      <c r="R232" s="1819"/>
      <c r="S232" s="2469">
        <f>'Part III-A-Uses of Funds'!S119</f>
        <v>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591" t="s">
        <v>184</v>
      </c>
      <c r="G233" s="2469">
        <f>SUM(G229:G232)</f>
        <v>7500</v>
      </c>
      <c r="H233" s="2469"/>
      <c r="I233" s="1819"/>
      <c r="J233" s="2469"/>
      <c r="K233" s="2469"/>
      <c r="L233" s="2467"/>
      <c r="M233" s="2469"/>
      <c r="N233" s="2469"/>
      <c r="O233" s="1819"/>
      <c r="P233" s="2469"/>
      <c r="Q233" s="2469"/>
      <c r="R233" s="1819"/>
      <c r="S233" s="2469">
        <f>SUM(S229:S232)</f>
        <v>7500</v>
      </c>
      <c r="T233" s="2469"/>
      <c r="U233" s="1819"/>
      <c r="V233" s="2587">
        <f>SUM(V229:V232)</f>
        <v>0</v>
      </c>
      <c r="W233" s="1819"/>
      <c r="X233" s="1819"/>
      <c r="Y233" s="1819"/>
      <c r="Z233" s="1819"/>
      <c r="AA233" s="2630" t="s">
        <v>3923</v>
      </c>
      <c r="AB233" s="2630" t="s">
        <v>3924</v>
      </c>
      <c r="AC233" s="2630" t="s">
        <v>3927</v>
      </c>
      <c r="AD233" s="2631" t="s">
        <v>3925</v>
      </c>
      <c r="AE233" s="2630" t="s">
        <v>3916</v>
      </c>
      <c r="AF233" s="2632" t="s">
        <v>6743</v>
      </c>
      <c r="AG233" s="2632"/>
    </row>
    <row r="234" spans="1:33" ht="13.8">
      <c r="A234" s="1819"/>
      <c r="B234" s="2536" t="s">
        <v>269</v>
      </c>
      <c r="C234" s="1819"/>
      <c r="D234" s="1819"/>
      <c r="E234" s="2576" t="s">
        <v>3926</v>
      </c>
      <c r="F234" s="2541" t="str">
        <f>'Part III-A-Uses of Funds'!F121</f>
        <v>4%</v>
      </c>
      <c r="G234" s="1819"/>
      <c r="H234" s="1819"/>
      <c r="I234" s="1819"/>
      <c r="J234" s="2467"/>
      <c r="K234" s="2469"/>
      <c r="L234" s="1819"/>
      <c r="M234" s="2467"/>
      <c r="N234" s="2469"/>
      <c r="O234" s="2476" t="str">
        <f>B234</f>
        <v>DEVELOPER'S FEE</v>
      </c>
      <c r="P234" s="2467"/>
      <c r="Q234" s="2469"/>
      <c r="R234" s="1819"/>
      <c r="S234" s="2467"/>
      <c r="T234" s="2469"/>
      <c r="U234" s="1819"/>
      <c r="V234" s="2587"/>
      <c r="W234" s="403" t="s">
        <v>3914</v>
      </c>
      <c r="X234" s="403"/>
      <c r="Y234" s="1320" t="s">
        <v>3920</v>
      </c>
      <c r="Z234" s="1320" t="s">
        <v>3921</v>
      </c>
      <c r="AA234" s="2630"/>
      <c r="AB234" s="2630"/>
      <c r="AC234" s="2630"/>
      <c r="AD234" s="2631"/>
      <c r="AE234" s="2630"/>
      <c r="AF234" s="2632"/>
      <c r="AG234" s="2632"/>
    </row>
    <row r="235" spans="1:33" ht="13.8">
      <c r="A235" s="1819"/>
      <c r="B235" s="1819" t="s">
        <v>1724</v>
      </c>
      <c r="C235" s="1819"/>
      <c r="D235" s="1819"/>
      <c r="E235" s="1819"/>
      <c r="F235" s="2571">
        <f>'Part III-A-Uses of Funds'!F122</f>
        <v>0.5</v>
      </c>
      <c r="G235" s="2469">
        <f>'Part III-A-Uses of Funds'!G122</f>
        <v>237288</v>
      </c>
      <c r="H235" s="2469"/>
      <c r="I235" s="1819"/>
      <c r="J235" s="2469">
        <f>'Part III-A-Uses of Funds'!J122</f>
        <v>0</v>
      </c>
      <c r="K235" s="2469"/>
      <c r="L235" s="2467"/>
      <c r="M235" s="2469">
        <f>'Part III-A-Uses of Funds'!M122</f>
        <v>156769</v>
      </c>
      <c r="N235" s="2469"/>
      <c r="O235" s="1819"/>
      <c r="P235" s="2469">
        <f>'Part III-A-Uses of Funds'!P122</f>
        <v>80519</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0</v>
      </c>
      <c r="AD235" s="2635">
        <f>SUM(AC235:AC237)</f>
        <v>0</v>
      </c>
      <c r="AE235" s="2635">
        <f>'DCA Underwriting Assumptions'!$Q$74</f>
        <v>2000000</v>
      </c>
      <c r="AF235" s="2569">
        <f>MIN(AD235,AE235)</f>
        <v>0</v>
      </c>
      <c r="AG235" s="2569"/>
    </row>
    <row r="236" spans="1:33" ht="13.8">
      <c r="A236" s="1819"/>
      <c r="B236" s="1819" t="s">
        <v>3412</v>
      </c>
      <c r="C236" s="1819"/>
      <c r="D236" s="1819"/>
      <c r="E236" s="1819"/>
      <c r="F236" s="2486">
        <f>'Part III-A-Uses of Funds'!F123</f>
        <v>237288</v>
      </c>
      <c r="G236" s="2629" t="s">
        <v>6723</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3.8">
      <c r="A237" s="1819"/>
      <c r="B237" s="1819" t="s">
        <v>1725</v>
      </c>
      <c r="C237" s="1819"/>
      <c r="D237" s="1819"/>
      <c r="E237" s="1819"/>
      <c r="F237" s="2571">
        <f>'Part III-A-Uses of Funds'!F124</f>
        <v>0</v>
      </c>
      <c r="G237" s="2469">
        <f>'Part III-A-Uses of Funds'!G124</f>
        <v>0</v>
      </c>
      <c r="H237" s="2469"/>
      <c r="I237" s="1819"/>
      <c r="J237" s="2469">
        <f>'Part III-A-Uses of Funds'!J124</f>
        <v>0</v>
      </c>
      <c r="K237" s="2469"/>
      <c r="L237" s="2467"/>
      <c r="M237" s="2469">
        <f>'Part III-A-Uses of Funds'!M124</f>
        <v>0</v>
      </c>
      <c r="N237" s="2469"/>
      <c r="O237" s="1819"/>
      <c r="P237" s="2469">
        <f>'Part III-A-Uses of Funds'!P124</f>
        <v>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0</v>
      </c>
      <c r="AD237" s="2635"/>
      <c r="AE237" s="2635"/>
      <c r="AF237" s="2569"/>
      <c r="AG237" s="2569"/>
    </row>
    <row r="238" spans="1:33" ht="13.8">
      <c r="A238" s="1819"/>
      <c r="B238" s="1819" t="s">
        <v>3163</v>
      </c>
      <c r="C238" s="1819"/>
      <c r="D238" s="1819"/>
      <c r="E238" s="1819"/>
      <c r="F238" s="2571">
        <f>'Part III-A-Uses of Funds'!F125</f>
        <v>0</v>
      </c>
      <c r="G238" s="2469">
        <f>'Part III-A-Uses of Funds'!G125</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0</v>
      </c>
      <c r="AD238" s="2635">
        <f>SUM(AC238:AC240)</f>
        <v>0</v>
      </c>
      <c r="AE238" s="2635">
        <f>'DCA Underwriting Assumptions'!$Q$75</f>
        <v>3500000</v>
      </c>
      <c r="AF238" s="2569">
        <f>MIN(AD238,AE238)</f>
        <v>0</v>
      </c>
      <c r="AG238" s="2569"/>
    </row>
    <row r="239" spans="1:33" ht="13.8">
      <c r="A239" s="1819"/>
      <c r="B239" s="1819" t="s">
        <v>1717</v>
      </c>
      <c r="C239" s="1819"/>
      <c r="D239" s="1819"/>
      <c r="E239" s="1819"/>
      <c r="F239" s="2571">
        <f>'Part III-A-Uses of Funds'!F126</f>
        <v>0.5</v>
      </c>
      <c r="G239" s="2469">
        <f>'Part III-A-Uses of Funds'!G126</f>
        <v>237288</v>
      </c>
      <c r="H239" s="2469"/>
      <c r="I239" s="1819"/>
      <c r="J239" s="2469">
        <f>'Part III-A-Uses of Funds'!J126</f>
        <v>0</v>
      </c>
      <c r="K239" s="2469"/>
      <c r="L239" s="2467"/>
      <c r="M239" s="2469">
        <f>'Part III-A-Uses of Funds'!M126</f>
        <v>0</v>
      </c>
      <c r="N239" s="2469"/>
      <c r="O239" s="1819"/>
      <c r="P239" s="2469">
        <f>'Part III-A-Uses of Funds'!P126</f>
        <v>237288</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3.8">
      <c r="A240" s="2636" t="str">
        <f>IF(G240&gt;E240,"DF over limit!  Round down/Enter nbr.","")</f>
        <v/>
      </c>
      <c r="B240" s="2637"/>
      <c r="C240" s="1819"/>
      <c r="D240" s="2576" t="s">
        <v>3922</v>
      </c>
      <c r="E240" s="2638">
        <f>'Part III-A-Uses of Funds'!E127</f>
        <v>1100000</v>
      </c>
      <c r="F240" s="2591" t="s">
        <v>184</v>
      </c>
      <c r="G240" s="2469">
        <f>SUM(G235:G239)</f>
        <v>474576</v>
      </c>
      <c r="H240" s="2469"/>
      <c r="I240" s="1819"/>
      <c r="J240" s="2469">
        <f>SUM(J235:J239)</f>
        <v>0</v>
      </c>
      <c r="K240" s="2469"/>
      <c r="L240" s="2467"/>
      <c r="M240" s="2469">
        <f>SUM(M235:M239)</f>
        <v>156769</v>
      </c>
      <c r="N240" s="2469"/>
      <c r="O240" s="1819"/>
      <c r="P240" s="2469">
        <f>SUM(P235:P239)</f>
        <v>317807</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0</v>
      </c>
      <c r="AD240" s="2635"/>
      <c r="AE240" s="2635"/>
      <c r="AF240" s="2569"/>
      <c r="AG240" s="2569"/>
    </row>
    <row r="241" spans="1:22" ht="13.8">
      <c r="A241" s="1819"/>
      <c r="B241" s="2536" t="s">
        <v>1231</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ht="13.8">
      <c r="A242" s="1819"/>
      <c r="B242" s="1819" t="s">
        <v>241</v>
      </c>
      <c r="C242" s="1819"/>
      <c r="D242" s="1819"/>
      <c r="E242" s="1819"/>
      <c r="F242" s="1819"/>
      <c r="G242" s="2469">
        <f>'Part III-A-Uses of Funds'!G129</f>
        <v>0</v>
      </c>
      <c r="H242" s="2469"/>
      <c r="I242" s="1819"/>
      <c r="J242" s="2482"/>
      <c r="K242" s="2482"/>
      <c r="L242" s="2482"/>
      <c r="M242" s="2482"/>
      <c r="N242" s="2482"/>
      <c r="O242" s="1819"/>
      <c r="P242" s="2482"/>
      <c r="Q242" s="2482"/>
      <c r="R242" s="1819"/>
      <c r="S242" s="2469">
        <f>'Part III-A-Uses of Funds'!S129</f>
        <v>0</v>
      </c>
      <c r="T242" s="2469"/>
      <c r="U242" s="1819"/>
      <c r="V242" s="2587"/>
    </row>
    <row r="243" spans="1:22" ht="13.8">
      <c r="A243" s="1819"/>
      <c r="B243" s="1819" t="s">
        <v>1436</v>
      </c>
      <c r="C243" s="1819"/>
      <c r="D243" s="1819"/>
      <c r="E243" s="1819"/>
      <c r="F243" s="2639">
        <f>'Part III-A-Uses of Funds'!F130</f>
        <v>41916.75</v>
      </c>
      <c r="G243" s="2469">
        <f>'Part III-A-Uses of Funds'!G130</f>
        <v>0</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0</v>
      </c>
      <c r="T243" s="2469"/>
      <c r="U243" s="1819"/>
      <c r="V243" s="2587"/>
    </row>
    <row r="244" spans="1:22" ht="13.8">
      <c r="A244" s="1819"/>
      <c r="B244" s="1819" t="s">
        <v>632</v>
      </c>
      <c r="C244" s="1819"/>
      <c r="D244" s="1819"/>
      <c r="E244" s="1819"/>
      <c r="F244" s="2639">
        <f>'Part III-A-Uses of Funds'!F131</f>
        <v>111672.38447636539</v>
      </c>
      <c r="G244" s="2469">
        <f>'Part III-A-Uses of Funds'!G131</f>
        <v>123808</v>
      </c>
      <c r="H244" s="2469"/>
      <c r="I244" s="1819"/>
      <c r="J244" s="2487" t="str">
        <f>IF(E244&gt;G244,"WARNING! ODR proposed is below minimum - add comment.","")</f>
        <v/>
      </c>
      <c r="K244" s="2482"/>
      <c r="L244" s="2482"/>
      <c r="M244" s="2482"/>
      <c r="N244" s="2482"/>
      <c r="O244" s="1819"/>
      <c r="P244" s="2482"/>
      <c r="Q244" s="2482"/>
      <c r="R244" s="1819"/>
      <c r="S244" s="2469">
        <f>'Part III-A-Uses of Funds'!S131</f>
        <v>123808</v>
      </c>
      <c r="T244" s="2469"/>
      <c r="U244" s="1819"/>
      <c r="V244" s="2587"/>
    </row>
    <row r="245" spans="1:22" ht="13.8">
      <c r="A245" s="1819"/>
      <c r="B245" s="1819" t="s">
        <v>1170</v>
      </c>
      <c r="C245" s="1819"/>
      <c r="D245" s="1819"/>
      <c r="E245" s="1819"/>
      <c r="F245" s="1819"/>
      <c r="G245" s="2469">
        <f>'Part III-A-Uses of Funds'!G132</f>
        <v>0</v>
      </c>
      <c r="H245" s="2469"/>
      <c r="I245" s="1819"/>
      <c r="J245" s="2482"/>
      <c r="K245" s="2482"/>
      <c r="L245" s="2482"/>
      <c r="M245" s="2482"/>
      <c r="N245" s="2482"/>
      <c r="O245" s="1819"/>
      <c r="P245" s="2482"/>
      <c r="Q245" s="2482"/>
      <c r="R245" s="1819"/>
      <c r="S245" s="2469">
        <f>'Part III-A-Uses of Funds'!S132</f>
        <v>0</v>
      </c>
      <c r="T245" s="2469"/>
      <c r="U245" s="1819"/>
      <c r="V245" s="2587"/>
    </row>
    <row r="246" spans="1:22" ht="13.8">
      <c r="A246" s="1819"/>
      <c r="B246" s="1819" t="s">
        <v>1171</v>
      </c>
      <c r="C246" s="1819"/>
      <c r="D246" s="1819"/>
      <c r="E246" s="2592" t="s">
        <v>3137</v>
      </c>
      <c r="F246" s="2639">
        <f>'Part III-A-Uses of Funds'!F133</f>
        <v>187.5</v>
      </c>
      <c r="G246" s="2469">
        <f>'Part III-A-Uses of Funds'!G133</f>
        <v>7500</v>
      </c>
      <c r="H246" s="2469"/>
      <c r="I246" s="1819"/>
      <c r="J246" s="2469">
        <f>'Part III-A-Uses of Funds'!J133</f>
        <v>0</v>
      </c>
      <c r="K246" s="2469"/>
      <c r="L246" s="2467"/>
      <c r="M246" s="2469">
        <f>'Part III-A-Uses of Funds'!M133</f>
        <v>0</v>
      </c>
      <c r="N246" s="2469"/>
      <c r="O246" s="1819"/>
      <c r="P246" s="2469">
        <f>'Part III-A-Uses of Funds'!P133</f>
        <v>7500</v>
      </c>
      <c r="Q246" s="2469"/>
      <c r="R246" s="1819"/>
      <c r="S246" s="2469">
        <f>'Part III-A-Uses of Funds'!S133</f>
        <v>0</v>
      </c>
      <c r="T246" s="2469"/>
      <c r="U246" s="1819"/>
      <c r="V246" s="2587"/>
    </row>
    <row r="247" spans="1:22" ht="16.5" customHeight="1">
      <c r="A247" s="2588" t="str">
        <f>IF(AND(G247&gt;0,OR(C247="",C247="&lt;Enter detailed description here; use Comments section if needed&gt;")),"X","")</f>
        <v/>
      </c>
      <c r="B247" s="2544" t="s">
        <v>6276</v>
      </c>
      <c r="C247" s="2589" t="str">
        <f>'Part III-A-Uses of Funds'!C134</f>
        <v>Private Based Rental Assistance</v>
      </c>
      <c r="D247" s="2589"/>
      <c r="E247" s="2589"/>
      <c r="F247" s="2589"/>
      <c r="G247" s="2469">
        <f>'Part III-A-Uses of Funds'!G134</f>
        <v>8640</v>
      </c>
      <c r="H247" s="2469"/>
      <c r="I247" s="1819"/>
      <c r="J247" s="2469">
        <f>'Part III-A-Uses of Funds'!J134</f>
        <v>0</v>
      </c>
      <c r="K247" s="2469"/>
      <c r="L247" s="2467"/>
      <c r="M247" s="2469">
        <f>'Part III-A-Uses of Funds'!M134</f>
        <v>0</v>
      </c>
      <c r="N247" s="2469"/>
      <c r="O247" s="1819"/>
      <c r="P247" s="2469">
        <f>'Part III-A-Uses of Funds'!P134</f>
        <v>0</v>
      </c>
      <c r="Q247" s="2469"/>
      <c r="R247" s="1819"/>
      <c r="S247" s="2469">
        <f>'Part III-A-Uses of Funds'!S134</f>
        <v>8640</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ht="13.8">
      <c r="A248" s="1819"/>
      <c r="B248" s="2640"/>
      <c r="C248" s="1819"/>
      <c r="D248" s="1819"/>
      <c r="E248" s="1819"/>
      <c r="F248" s="2591" t="s">
        <v>184</v>
      </c>
      <c r="G248" s="2469">
        <f>SUM(G242:G247)</f>
        <v>139948</v>
      </c>
      <c r="H248" s="2469"/>
      <c r="I248" s="1819"/>
      <c r="J248" s="2469">
        <f>SUM(J246:J247)</f>
        <v>0</v>
      </c>
      <c r="K248" s="2469"/>
      <c r="L248" s="2467"/>
      <c r="M248" s="2469">
        <f>SUM(M246:M247)</f>
        <v>0</v>
      </c>
      <c r="N248" s="2469"/>
      <c r="O248" s="1819"/>
      <c r="P248" s="2469">
        <f>SUM(P246:P247)</f>
        <v>7500</v>
      </c>
      <c r="Q248" s="2469"/>
      <c r="R248" s="1819"/>
      <c r="S248" s="2469">
        <f>SUM(S242:S247)</f>
        <v>132448</v>
      </c>
      <c r="T248" s="2469"/>
      <c r="U248" s="1819"/>
      <c r="V248" s="2587">
        <f>SUM(V242:V247)</f>
        <v>0</v>
      </c>
    </row>
    <row r="249" spans="1:22" ht="13.8">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ht="13.8">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ht="13.8">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c r="A252" s="2584" t="s">
        <v>573</v>
      </c>
      <c r="B252" s="2584" t="s">
        <v>6959</v>
      </c>
      <c r="C252" s="1819"/>
      <c r="D252" s="1819"/>
      <c r="E252" s="1819"/>
      <c r="F252" s="1819"/>
      <c r="G252" s="1819"/>
      <c r="H252" s="1819"/>
      <c r="I252" s="1819"/>
      <c r="J252" s="2538" t="s">
        <v>259</v>
      </c>
      <c r="K252" s="2538"/>
      <c r="L252" s="2469"/>
      <c r="M252" s="2475" t="s">
        <v>460</v>
      </c>
      <c r="N252" s="2475"/>
      <c r="O252" s="1819"/>
      <c r="P252" s="2538" t="s">
        <v>260</v>
      </c>
      <c r="Q252" s="2538"/>
      <c r="R252" s="1819"/>
      <c r="S252" s="2538" t="s">
        <v>261</v>
      </c>
      <c r="T252" s="2538"/>
      <c r="U252" s="1819"/>
      <c r="V252" s="2586" t="str">
        <f>B252</f>
        <v>DEVELOPMENT BUDGET  (cont'd)</v>
      </c>
    </row>
    <row r="253" spans="1:22" ht="13.8">
      <c r="A253" s="1819"/>
      <c r="B253" s="1819"/>
      <c r="C253" s="1819"/>
      <c r="D253" s="1819"/>
      <c r="E253" s="1819"/>
      <c r="F253" s="1819"/>
      <c r="G253" s="2536" t="s">
        <v>95</v>
      </c>
      <c r="H253" s="2536"/>
      <c r="I253" s="1819"/>
      <c r="J253" s="2538"/>
      <c r="K253" s="2538"/>
      <c r="L253" s="2469"/>
      <c r="M253" s="2475"/>
      <c r="N253" s="2475"/>
      <c r="O253" s="1819"/>
      <c r="P253" s="2538"/>
      <c r="Q253" s="2538"/>
      <c r="R253" s="1819"/>
      <c r="S253" s="2538"/>
      <c r="T253" s="2538"/>
      <c r="U253" s="1819"/>
      <c r="V253" s="377" t="s">
        <v>2448</v>
      </c>
    </row>
    <row r="254" spans="1:22" ht="13.8">
      <c r="A254" s="1819"/>
      <c r="B254" s="2536" t="s">
        <v>568</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ht="13.8">
      <c r="A255" s="1819"/>
      <c r="B255" s="1819" t="s">
        <v>569</v>
      </c>
      <c r="C255" s="2545"/>
      <c r="D255" s="1819"/>
      <c r="E255" s="1819"/>
      <c r="F255" s="1819"/>
      <c r="G255" s="2469">
        <f>'Part III-A-Uses of Funds'!G142</f>
        <v>48500</v>
      </c>
      <c r="H255" s="2469"/>
      <c r="I255" s="1819"/>
      <c r="J255" s="2469">
        <f>'Part III-A-Uses of Funds'!J142</f>
        <v>0</v>
      </c>
      <c r="K255" s="2469"/>
      <c r="L255" s="2467"/>
      <c r="M255" s="2469">
        <f>'Part III-A-Uses of Funds'!M142</f>
        <v>0</v>
      </c>
      <c r="N255" s="2469"/>
      <c r="O255" s="1819"/>
      <c r="P255" s="2469">
        <f>'Part III-A-Uses of Funds'!P142</f>
        <v>48500</v>
      </c>
      <c r="Q255" s="2469"/>
      <c r="R255" s="1819"/>
      <c r="S255" s="2469">
        <f>'Part III-A-Uses of Funds'!S142</f>
        <v>0</v>
      </c>
      <c r="T255" s="2469"/>
      <c r="U255" s="1819"/>
      <c r="V255" s="2587"/>
    </row>
    <row r="256" spans="1:22" ht="16.5" customHeight="1">
      <c r="A256" s="2588" t="str">
        <f>IF(AND(G256&gt;0,OR(C256="",C256="&lt;Enter detailed description here; use Comments section if needed&gt;")),"X","")</f>
        <v/>
      </c>
      <c r="B256" s="2544" t="s">
        <v>6276</v>
      </c>
      <c r="C256" s="2589" t="str">
        <f>'Part III-A-Uses of Funds'!C143</f>
        <v>&lt;&lt; Enter description here; provide detail &amp; justification in tab Part III-b &gt;&gt;</v>
      </c>
      <c r="D256" s="2589"/>
      <c r="E256" s="2589"/>
      <c r="F256" s="2589"/>
      <c r="G256" s="2469">
        <f>'Part III-A-Uses of Funds'!G143</f>
        <v>0</v>
      </c>
      <c r="H256" s="2469"/>
      <c r="I256" s="1819"/>
      <c r="J256" s="2469">
        <f>'Part III-A-Uses of Funds'!J143</f>
        <v>0</v>
      </c>
      <c r="K256" s="2469"/>
      <c r="L256" s="2467"/>
      <c r="M256" s="2469">
        <f>'Part III-A-Uses of Funds'!M143</f>
        <v>0</v>
      </c>
      <c r="N256" s="2469"/>
      <c r="O256" s="1819"/>
      <c r="P256" s="2469">
        <f>'Part III-A-Uses of Funds'!P143</f>
        <v>0</v>
      </c>
      <c r="Q256" s="2469"/>
      <c r="R256" s="1819"/>
      <c r="S256" s="2469">
        <f>'Part III-A-Uses of Funds'!S143</f>
        <v>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ht="13.8">
      <c r="A257" s="1819"/>
      <c r="B257" s="1819"/>
      <c r="C257" s="2545"/>
      <c r="D257" s="1819"/>
      <c r="E257" s="1819"/>
      <c r="F257" s="2591" t="s">
        <v>184</v>
      </c>
      <c r="G257" s="2469">
        <f>SUM(G255:G256)</f>
        <v>48500</v>
      </c>
      <c r="H257" s="2469"/>
      <c r="I257" s="1819"/>
      <c r="J257" s="2469">
        <f>SUM(J255:J256)</f>
        <v>0</v>
      </c>
      <c r="K257" s="2469"/>
      <c r="L257" s="2467"/>
      <c r="M257" s="2469">
        <f>SUM(M255:M256)</f>
        <v>0</v>
      </c>
      <c r="N257" s="2469"/>
      <c r="O257" s="1819"/>
      <c r="P257" s="2469">
        <f>SUM(P255:P256)</f>
        <v>48500</v>
      </c>
      <c r="Q257" s="2469"/>
      <c r="R257" s="1819"/>
      <c r="S257" s="2469">
        <f>SUM(S255:S256)</f>
        <v>0</v>
      </c>
      <c r="T257" s="2469"/>
      <c r="U257" s="1819"/>
      <c r="V257" s="2587">
        <f>SUM(V255:V256)</f>
        <v>0</v>
      </c>
    </row>
    <row r="258" spans="1:22" ht="13.8">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3.8">
      <c r="A259" s="1819"/>
      <c r="B259" s="2643" t="s">
        <v>6960</v>
      </c>
      <c r="C259" s="1819"/>
      <c r="D259" s="1819"/>
      <c r="E259" s="2592"/>
      <c r="F259" s="2644"/>
      <c r="G259" s="2489">
        <f>G131+G137+G141+G149+G154+G159+G168+G186+G199+G205+G216+G227+G233+G240+G248+G257</f>
        <v>4829637</v>
      </c>
      <c r="H259" s="2489"/>
      <c r="I259" s="1819"/>
      <c r="J259" s="2489">
        <f>J131+J137+J141+J149+J154+J159+J168+J186+J199+J205+J216+J227+J233+J240+J248+J257</f>
        <v>0</v>
      </c>
      <c r="K259" s="2489"/>
      <c r="L259" s="1819"/>
      <c r="M259" s="2489">
        <f>M131+M137+M141+M149+M154+M159+M168+M186+M199+M205+M216+M227+M233+M240+M248+M257</f>
        <v>1422170</v>
      </c>
      <c r="N259" s="2489"/>
      <c r="O259" s="1819"/>
      <c r="P259" s="2489">
        <f>P131+P137+P141+P149+P154+P159+P168+P186+P199+P205+P216+P227+P233+P240+P248+P257</f>
        <v>2883051</v>
      </c>
      <c r="Q259" s="2489"/>
      <c r="R259" s="1819"/>
      <c r="S259" s="2489">
        <f>S131+S137+S141+S149+S154+S159+S168+S186+S199+S205+S216+S227+S233+S240+S248+S257</f>
        <v>523956</v>
      </c>
      <c r="T259" s="2489"/>
      <c r="U259" s="1819"/>
      <c r="V259" s="2587">
        <f>V131+V137+V141+V149+V154+V159+V168+V186+V199+V205+V216+V227+V233+V240+V248+V257</f>
        <v>0</v>
      </c>
    </row>
    <row r="260" spans="1:22" ht="13.8">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ht="13.8">
      <c r="A261" s="1819"/>
      <c r="B261" s="2645" t="s">
        <v>6961</v>
      </c>
      <c r="C261" s="2603"/>
      <c r="D261" s="2490">
        <f>IF('Part V-Revenues &amp; Expenses'!$P$67=0,0,G259/'Part V-Revenues &amp; Expenses'!$P$67)</f>
        <v>120740.925</v>
      </c>
      <c r="E261" s="2490"/>
      <c r="F261" s="2617" t="s">
        <v>2487</v>
      </c>
      <c r="G261" s="2490">
        <f>IF('Part V-Revenues &amp; Expenses'!$K$175=0,0,G259/'Part V-Revenues &amp; Expenses'!$K$175)</f>
        <v>161.8023049348387</v>
      </c>
      <c r="H261" s="2490"/>
      <c r="I261" s="2641"/>
      <c r="J261" s="1819"/>
      <c r="K261" s="1819"/>
      <c r="L261" s="1819"/>
      <c r="M261" s="1819"/>
      <c r="N261" s="1819"/>
      <c r="O261" s="1819"/>
      <c r="P261" s="1819"/>
      <c r="Q261" s="1819"/>
      <c r="R261" s="1819"/>
      <c r="S261" s="1819"/>
      <c r="T261" s="1819"/>
      <c r="U261" s="1819"/>
      <c r="V261" s="2587"/>
    </row>
    <row r="262" spans="1:22" ht="13.8">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c r="A263" s="2584" t="s">
        <v>689</v>
      </c>
      <c r="B263" s="2646" t="s">
        <v>1341</v>
      </c>
      <c r="C263" s="2537"/>
      <c r="D263" s="2467"/>
      <c r="E263" s="2467"/>
      <c r="F263" s="2467"/>
      <c r="G263" s="1819"/>
      <c r="H263" s="1819"/>
      <c r="I263" s="2647"/>
      <c r="J263" s="2538" t="s">
        <v>259</v>
      </c>
      <c r="K263" s="2538"/>
      <c r="L263" s="1819"/>
      <c r="M263" s="2538" t="s">
        <v>94</v>
      </c>
      <c r="N263" s="2538"/>
      <c r="O263" s="1819"/>
      <c r="P263" s="2538" t="s">
        <v>260</v>
      </c>
      <c r="Q263" s="2538"/>
      <c r="R263" s="1819"/>
      <c r="S263" s="1819"/>
      <c r="T263" s="1819"/>
      <c r="U263" s="1819"/>
      <c r="V263" s="2587"/>
    </row>
    <row r="264" spans="1:22" ht="13.8">
      <c r="A264" s="1819"/>
      <c r="B264" s="2546" t="s">
        <v>1894</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ht="13.8">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ht="13.8">
      <c r="A266" s="1819"/>
      <c r="B266" s="2545" t="s">
        <v>138</v>
      </c>
      <c r="C266" s="1819"/>
      <c r="D266" s="1819"/>
      <c r="E266" s="1819"/>
      <c r="F266" s="1819"/>
      <c r="G266" s="1819"/>
      <c r="H266" s="1819"/>
      <c r="I266" s="2647"/>
      <c r="J266" s="2569">
        <f>'Part III-A-Uses of Funds'!J153</f>
        <v>0</v>
      </c>
      <c r="K266" s="2569"/>
      <c r="L266" s="1819"/>
      <c r="M266" s="1819"/>
      <c r="N266" s="1819"/>
      <c r="O266" s="1819"/>
      <c r="P266" s="2569">
        <f>'Part III-A-Uses of Funds'!P153</f>
        <v>0</v>
      </c>
      <c r="Q266" s="2569"/>
      <c r="R266" s="1819"/>
      <c r="S266" s="1819"/>
      <c r="T266" s="1819"/>
      <c r="U266" s="1819"/>
      <c r="V266" s="2587"/>
    </row>
    <row r="267" spans="1:22" ht="13.8">
      <c r="A267" s="1819"/>
      <c r="B267" s="1819" t="s">
        <v>1998</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ht="13.8">
      <c r="A268" s="1819"/>
      <c r="B268" s="1819" t="s">
        <v>1727</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ht="13.8">
      <c r="A269" s="1819"/>
      <c r="B269" s="1819" t="s">
        <v>1728</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ht="13.8">
      <c r="A270" s="1819"/>
      <c r="B270" s="1819" t="s">
        <v>243</v>
      </c>
      <c r="C270" s="1819"/>
      <c r="D270" s="1819"/>
      <c r="E270" s="1819"/>
      <c r="F270" s="1819"/>
      <c r="G270" s="1819"/>
      <c r="H270" s="1819"/>
      <c r="I270" s="2647"/>
      <c r="J270" s="2569">
        <f>'Part III-A-Uses of Funds'!J157</f>
        <v>0</v>
      </c>
      <c r="K270" s="2569"/>
      <c r="L270" s="1819"/>
      <c r="M270" s="1819"/>
      <c r="N270" s="1819"/>
      <c r="O270" s="1819"/>
      <c r="P270" s="2569">
        <f>'Part III-A-Uses of Funds'!P157</f>
        <v>0</v>
      </c>
      <c r="Q270" s="2569"/>
      <c r="R270" s="1819"/>
      <c r="S270" s="1819"/>
      <c r="T270" s="1819"/>
      <c r="U270" s="1819"/>
      <c r="V270" s="2587"/>
    </row>
    <row r="271" spans="1:22" ht="13.5" customHeight="1">
      <c r="A271" s="1819"/>
      <c r="B271" s="1819" t="s">
        <v>1496</v>
      </c>
      <c r="C271" s="2567" t="str">
        <f>'Part III-A-Uses of Funds'!C158</f>
        <v>&lt;Enter detailed description here; use Comments section if needed&gt;</v>
      </c>
      <c r="D271" s="2567"/>
      <c r="E271" s="2567"/>
      <c r="F271" s="2567"/>
      <c r="G271" s="2567"/>
      <c r="H271" s="2567"/>
      <c r="I271" s="2567"/>
      <c r="J271" s="2569">
        <f>'Part III-A-Uses of Funds'!J158</f>
        <v>0</v>
      </c>
      <c r="K271" s="2569"/>
      <c r="L271" s="1819"/>
      <c r="M271" s="1819"/>
      <c r="N271" s="1819"/>
      <c r="O271" s="1819"/>
      <c r="P271" s="2569">
        <f>'Part III-A-Uses of Funds'!P158</f>
        <v>0</v>
      </c>
      <c r="Q271" s="2569"/>
      <c r="R271" s="1819"/>
      <c r="S271" s="1819"/>
      <c r="T271" s="1819"/>
      <c r="U271" s="1819"/>
      <c r="V271" s="2587"/>
    </row>
    <row r="272" spans="1:22" ht="13.8">
      <c r="A272" s="1819"/>
      <c r="B272" s="2536" t="s">
        <v>1729</v>
      </c>
      <c r="C272" s="2648"/>
      <c r="D272" s="1819"/>
      <c r="E272" s="1819"/>
      <c r="F272" s="1819"/>
      <c r="G272" s="1819"/>
      <c r="H272" s="1819"/>
      <c r="I272" s="1819"/>
      <c r="J272" s="2569">
        <f>SUM(J266:K271)</f>
        <v>0</v>
      </c>
      <c r="K272" s="2569"/>
      <c r="L272" s="1819"/>
      <c r="M272" s="1819"/>
      <c r="N272" s="1819"/>
      <c r="O272" s="1819"/>
      <c r="P272" s="2569">
        <f>SUM(P266:Q271)</f>
        <v>0</v>
      </c>
      <c r="Q272" s="2569"/>
      <c r="R272" s="1819"/>
      <c r="S272" s="1819"/>
      <c r="T272" s="1819"/>
      <c r="U272" s="1819"/>
      <c r="V272" s="2587">
        <f>SUM(V266:V271)</f>
        <v>0</v>
      </c>
    </row>
    <row r="273" spans="1:22" ht="13.8">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ht="13.8">
      <c r="A274" s="1819"/>
      <c r="B274" s="2536"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c r="A275" s="1819"/>
      <c r="B275" s="1819" t="s">
        <v>1665</v>
      </c>
      <c r="C275" s="1819"/>
      <c r="D275" s="1819"/>
      <c r="E275" s="1819"/>
      <c r="F275" s="1819"/>
      <c r="G275" s="1819"/>
      <c r="H275" s="1819"/>
      <c r="I275" s="1819"/>
      <c r="J275" s="2570">
        <f>J259</f>
        <v>0</v>
      </c>
      <c r="K275" s="2570"/>
      <c r="L275" s="1819"/>
      <c r="M275" s="2570">
        <f>M259</f>
        <v>1422170</v>
      </c>
      <c r="N275" s="2570"/>
      <c r="O275" s="1819"/>
      <c r="P275" s="2570">
        <f>P259</f>
        <v>2883051</v>
      </c>
      <c r="Q275" s="2570"/>
      <c r="R275" s="2649" t="s">
        <v>3774</v>
      </c>
      <c r="S275" s="2649"/>
      <c r="T275" s="2649"/>
      <c r="U275" s="1819"/>
      <c r="V275" s="2587"/>
    </row>
    <row r="276" spans="1:22" ht="13.8">
      <c r="A276" s="1819"/>
      <c r="B276" s="1819" t="s">
        <v>2052</v>
      </c>
      <c r="C276" s="1819"/>
      <c r="D276" s="1819"/>
      <c r="E276" s="1819"/>
      <c r="F276" s="1819"/>
      <c r="G276" s="1819"/>
      <c r="H276" s="1819"/>
      <c r="I276" s="1819"/>
      <c r="J276" s="2570">
        <f>J272</f>
        <v>0</v>
      </c>
      <c r="K276" s="2570"/>
      <c r="L276" s="1819"/>
      <c r="M276" s="2570"/>
      <c r="N276" s="2570"/>
      <c r="O276" s="1819"/>
      <c r="P276" s="2570">
        <f>P272</f>
        <v>0</v>
      </c>
      <c r="Q276" s="2570"/>
      <c r="R276" s="2649"/>
      <c r="S276" s="2649"/>
      <c r="T276" s="2649"/>
      <c r="U276" s="2631"/>
      <c r="V276" s="2587"/>
    </row>
    <row r="277" spans="1:22" ht="13.8">
      <c r="A277" s="1819"/>
      <c r="B277" s="1819" t="s">
        <v>2053</v>
      </c>
      <c r="C277" s="1819"/>
      <c r="D277" s="1819"/>
      <c r="E277" s="1819"/>
      <c r="F277" s="1819"/>
      <c r="G277" s="1819"/>
      <c r="H277" s="1819"/>
      <c r="I277" s="1819"/>
      <c r="J277" s="2570">
        <f>J275-J276</f>
        <v>0</v>
      </c>
      <c r="K277" s="2570"/>
      <c r="L277" s="1819"/>
      <c r="M277" s="2570">
        <f>M275</f>
        <v>1422170</v>
      </c>
      <c r="N277" s="2570"/>
      <c r="O277" s="1819"/>
      <c r="P277" s="2570">
        <f>P275-P276</f>
        <v>2883051</v>
      </c>
      <c r="Q277" s="2570"/>
      <c r="R277" s="2649"/>
      <c r="S277" s="2649"/>
      <c r="T277" s="2649"/>
      <c r="U277" s="2631"/>
      <c r="V277" s="2587"/>
    </row>
    <row r="278" spans="1:22" ht="13.8">
      <c r="A278" s="1819"/>
      <c r="B278" s="1819" t="s">
        <v>1390</v>
      </c>
      <c r="C278" s="1819"/>
      <c r="D278" s="1819"/>
      <c r="E278" s="1819"/>
      <c r="F278" s="1819"/>
      <c r="G278" s="1622" t="s">
        <v>1593</v>
      </c>
      <c r="H278" s="1819" t="str">
        <f>'Part III-A-Uses of Funds'!H165</f>
        <v>DDA/QCT</v>
      </c>
      <c r="I278" s="1819"/>
      <c r="J278" s="2650">
        <f>'Part III-A-Uses of Funds'!J165</f>
        <v>0</v>
      </c>
      <c r="K278" s="2650"/>
      <c r="L278" s="1819"/>
      <c r="M278" s="2650"/>
      <c r="N278" s="2650"/>
      <c r="O278" s="1819"/>
      <c r="P278" s="2650">
        <f>'Part III-A-Uses of Funds'!P165</f>
        <v>1.3</v>
      </c>
      <c r="Q278" s="2650"/>
      <c r="R278" s="2631" t="str">
        <f>'Part III-A-Uses of Funds'!R165</f>
        <v>&lt;&lt; Select &gt;&gt;</v>
      </c>
      <c r="S278" s="2631"/>
      <c r="T278" s="2631"/>
      <c r="U278" s="2567"/>
      <c r="V278" s="2587"/>
    </row>
    <row r="279" spans="1:22" ht="13.8">
      <c r="A279" s="1819"/>
      <c r="B279" s="1819" t="s">
        <v>1903</v>
      </c>
      <c r="C279" s="1819"/>
      <c r="D279" s="1819"/>
      <c r="E279" s="1819"/>
      <c r="F279" s="1819"/>
      <c r="G279" s="1819"/>
      <c r="H279" s="1819"/>
      <c r="I279" s="1819"/>
      <c r="J279" s="2570">
        <f>J277*J278</f>
        <v>0</v>
      </c>
      <c r="K279" s="2570"/>
      <c r="L279" s="1819"/>
      <c r="M279" s="2570">
        <f>+M277</f>
        <v>1422170</v>
      </c>
      <c r="N279" s="2570"/>
      <c r="O279" s="1819"/>
      <c r="P279" s="2570">
        <f>P277*P278</f>
        <v>3747966.3000000003</v>
      </c>
      <c r="Q279" s="2570"/>
      <c r="R279" s="2631"/>
      <c r="S279" s="2631"/>
      <c r="T279" s="2631"/>
      <c r="U279" s="2567"/>
      <c r="V279" s="2587"/>
    </row>
    <row r="280" spans="1:22" ht="13.8">
      <c r="A280" s="1819"/>
      <c r="B280" s="1819" t="s">
        <v>2339</v>
      </c>
      <c r="C280" s="1819"/>
      <c r="D280" s="1819"/>
      <c r="E280" s="1819"/>
      <c r="F280" s="1819"/>
      <c r="G280" s="1819"/>
      <c r="H280" s="1819"/>
      <c r="I280" s="1819"/>
      <c r="J280" s="2651">
        <f>MIN('Part V-Revenues &amp; Expenses'!$P$63/'Part V-Revenues &amp; Expenses'!$P$65,'Part V-Revenues &amp; Expenses'!$P$164/'Part V-Revenues &amp; Expenses'!$P$166)</f>
        <v>1</v>
      </c>
      <c r="K280" s="2651"/>
      <c r="L280" s="1819"/>
      <c r="M280" s="2651">
        <f>MIN('Part V-Revenues &amp; Expenses'!$P$63/'Part V-Revenues &amp; Expenses'!$P$65,'Part V-Revenues &amp; Expenses'!$P$164/'Part V-Revenues &amp; Expenses'!$P$166)</f>
        <v>1</v>
      </c>
      <c r="N280" s="2651"/>
      <c r="O280" s="1819"/>
      <c r="P280" s="2651">
        <f>MIN('Part V-Revenues &amp; Expenses'!$P$63/'Part V-Revenues &amp; Expenses'!$P$65,'Part V-Revenues &amp; Expenses'!$P$164/'Part V-Revenues &amp; Expenses'!$P$166)</f>
        <v>1</v>
      </c>
      <c r="Q280" s="2651"/>
      <c r="R280" s="2631"/>
      <c r="S280" s="2631"/>
      <c r="T280" s="2631"/>
      <c r="U280" s="1819"/>
      <c r="V280" s="2587"/>
    </row>
    <row r="281" spans="1:22" ht="13.8">
      <c r="A281" s="1819"/>
      <c r="B281" s="1819" t="s">
        <v>1895</v>
      </c>
      <c r="C281" s="1819"/>
      <c r="D281" s="1819"/>
      <c r="E281" s="1819"/>
      <c r="F281" s="1819"/>
      <c r="G281" s="1819"/>
      <c r="H281" s="1819"/>
      <c r="I281" s="1819"/>
      <c r="J281" s="2570">
        <f>J279*J280</f>
        <v>0</v>
      </c>
      <c r="K281" s="2570"/>
      <c r="L281" s="1819"/>
      <c r="M281" s="2570">
        <f>M279*M280</f>
        <v>1422170</v>
      </c>
      <c r="N281" s="2570"/>
      <c r="O281" s="1819"/>
      <c r="P281" s="2570">
        <f>P279*P280</f>
        <v>3747966.3000000003</v>
      </c>
      <c r="Q281" s="2570"/>
      <c r="R281" s="1819"/>
      <c r="S281" s="1819"/>
      <c r="T281" s="1819"/>
      <c r="U281" s="1819"/>
      <c r="V281" s="2587"/>
    </row>
    <row r="282" spans="1:22" ht="13.8">
      <c r="A282" s="1819"/>
      <c r="B282" s="1819" t="s">
        <v>1896</v>
      </c>
      <c r="C282" s="1819"/>
      <c r="D282" s="1819"/>
      <c r="E282" s="1819"/>
      <c r="F282" s="1819"/>
      <c r="G282" s="1819"/>
      <c r="H282" s="1819"/>
      <c r="I282" s="1819"/>
      <c r="J282" s="2650">
        <f>'Part III-A-Uses of Funds'!J169</f>
        <v>0</v>
      </c>
      <c r="K282" s="2650"/>
      <c r="L282" s="1819"/>
      <c r="M282" s="2650">
        <f>'Part III-A-Uses of Funds'!M169</f>
        <v>0.04</v>
      </c>
      <c r="N282" s="2650"/>
      <c r="O282" s="1819"/>
      <c r="P282" s="2650">
        <f>'Part III-A-Uses of Funds'!P169</f>
        <v>0.04</v>
      </c>
      <c r="Q282" s="2650"/>
      <c r="R282" s="1819"/>
      <c r="S282" s="1819"/>
      <c r="T282" s="1819"/>
      <c r="U282" s="1819"/>
      <c r="V282" s="2587"/>
    </row>
    <row r="283" spans="1:22" ht="13.8">
      <c r="A283" s="1819"/>
      <c r="B283" s="1819" t="s">
        <v>2340</v>
      </c>
      <c r="C283" s="1819"/>
      <c r="D283" s="1819"/>
      <c r="E283" s="1819"/>
      <c r="F283" s="1819"/>
      <c r="G283" s="1819"/>
      <c r="H283" s="1819"/>
      <c r="I283" s="1819"/>
      <c r="J283" s="2570">
        <f>J281*J282</f>
        <v>0</v>
      </c>
      <c r="K283" s="2570"/>
      <c r="L283" s="1819"/>
      <c r="M283" s="2570">
        <f>M281*M282</f>
        <v>56886.8</v>
      </c>
      <c r="N283" s="2570"/>
      <c r="O283" s="1819"/>
      <c r="P283" s="2570">
        <f>P281*P282</f>
        <v>149918.652</v>
      </c>
      <c r="Q283" s="2570"/>
      <c r="R283" s="1819"/>
      <c r="S283" s="1819"/>
      <c r="T283" s="1819"/>
      <c r="U283" s="1819"/>
      <c r="V283" s="2587"/>
    </row>
    <row r="284" spans="1:22" ht="13.8">
      <c r="A284" s="1819"/>
      <c r="B284" s="2536" t="s">
        <v>1339</v>
      </c>
      <c r="C284" s="1819"/>
      <c r="D284" s="1819"/>
      <c r="E284" s="1819"/>
      <c r="F284" s="1819"/>
      <c r="G284" s="1819"/>
      <c r="H284" s="1819"/>
      <c r="I284" s="1819"/>
      <c r="J284" s="2569">
        <f>ROUNDDOWN(J283+M283+P283,0)</f>
        <v>206805</v>
      </c>
      <c r="K284" s="2569"/>
      <c r="L284" s="2569"/>
      <c r="M284" s="2569"/>
      <c r="N284" s="2569"/>
      <c r="O284" s="2569"/>
      <c r="P284" s="2569"/>
      <c r="Q284" s="2569"/>
      <c r="R284" s="1819"/>
      <c r="S284" s="1819"/>
      <c r="T284" s="1819"/>
      <c r="U284" s="1819"/>
      <c r="V284" s="2587"/>
    </row>
    <row r="285" spans="1:22" ht="13.8">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3.8">
      <c r="A286" s="2586" t="s">
        <v>691</v>
      </c>
      <c r="B286" s="2586" t="s">
        <v>1342</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ht="13.8">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ht="13.8">
      <c r="A288" s="1819"/>
      <c r="B288" s="2536"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c r="A289" s="1819"/>
      <c r="B289" s="1819" t="s">
        <v>6962</v>
      </c>
      <c r="C289" s="1819"/>
      <c r="D289" s="1819"/>
      <c r="E289" s="1819"/>
      <c r="F289" s="1819"/>
      <c r="G289" s="1819"/>
      <c r="H289" s="1819"/>
      <c r="I289" s="1819"/>
      <c r="J289" s="2570">
        <f>G259</f>
        <v>4829637</v>
      </c>
      <c r="K289" s="2570"/>
      <c r="L289" s="2570"/>
      <c r="M289" s="1819"/>
      <c r="N289" s="2649" t="s">
        <v>6717</v>
      </c>
      <c r="O289" s="2649"/>
      <c r="P289" s="2649"/>
      <c r="Q289" s="2649"/>
      <c r="R289" s="1819"/>
      <c r="S289" s="2631" t="s">
        <v>3187</v>
      </c>
      <c r="T289" s="2631"/>
      <c r="U289" s="1819"/>
      <c r="V289" s="2587"/>
    </row>
    <row r="290" spans="1:22" ht="13.8">
      <c r="A290" s="1819"/>
      <c r="B290" s="1819" t="s">
        <v>252</v>
      </c>
      <c r="C290" s="1819"/>
      <c r="D290" s="1819"/>
      <c r="E290" s="1819"/>
      <c r="F290" s="1819"/>
      <c r="G290" s="1819"/>
      <c r="H290" s="1819"/>
      <c r="I290" s="1819"/>
      <c r="J290" s="2570">
        <f>'Part II-Sources of Funds'!$I$60-'Part II-Sources of Funds'!$I$44-'Part II-Sources of Funds'!$I$45-'Part II-Sources of Funds'!$I$51-'Part II-Sources of Funds'!$I$52</f>
        <v>1942326</v>
      </c>
      <c r="K290" s="2570"/>
      <c r="L290" s="2570"/>
      <c r="M290" s="2649"/>
      <c r="N290" s="2649"/>
      <c r="O290" s="2649"/>
      <c r="P290" s="2649"/>
      <c r="Q290" s="2649"/>
      <c r="R290" s="1819"/>
      <c r="S290" s="2631"/>
      <c r="T290" s="2631"/>
      <c r="U290" s="1819"/>
      <c r="V290" s="2587"/>
    </row>
    <row r="291" spans="1:22" ht="13.8">
      <c r="A291" s="1819"/>
      <c r="B291" s="1819" t="s">
        <v>2064</v>
      </c>
      <c r="C291" s="1819"/>
      <c r="D291" s="1819"/>
      <c r="E291" s="1819"/>
      <c r="F291" s="1819"/>
      <c r="G291" s="1819"/>
      <c r="H291" s="1819"/>
      <c r="I291" s="1819"/>
      <c r="J291" s="2570">
        <f>+J289-J290</f>
        <v>2887311</v>
      </c>
      <c r="K291" s="2570"/>
      <c r="L291" s="2570"/>
      <c r="M291" s="2649"/>
      <c r="N291" s="2649"/>
      <c r="O291" s="2649"/>
      <c r="P291" s="2649"/>
      <c r="Q291" s="2649"/>
      <c r="R291" s="1819"/>
      <c r="S291" s="2631"/>
      <c r="T291" s="2631"/>
      <c r="U291" s="1819"/>
      <c r="V291" s="2587"/>
    </row>
    <row r="292" spans="1:22" ht="13.8">
      <c r="A292" s="1819"/>
      <c r="B292" s="1819" t="s">
        <v>1209</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1548</v>
      </c>
      <c r="T292" s="2492">
        <f>'Part III-A-Uses of Funds'!T179</f>
        <v>0</v>
      </c>
      <c r="U292" s="1819"/>
      <c r="V292" s="2587"/>
    </row>
    <row r="293" spans="1:22" ht="13.8">
      <c r="A293" s="1819"/>
      <c r="B293" s="1819" t="s">
        <v>1210</v>
      </c>
      <c r="C293" s="1819"/>
      <c r="D293" s="1819"/>
      <c r="E293" s="1819"/>
      <c r="F293" s="1819"/>
      <c r="G293" s="1819"/>
      <c r="H293" s="1819"/>
      <c r="I293" s="1819"/>
      <c r="J293" s="2570">
        <f>J291/10</f>
        <v>288731.09999999998</v>
      </c>
      <c r="K293" s="2570"/>
      <c r="L293" s="2570"/>
      <c r="M293" s="1819"/>
      <c r="N293" s="2654"/>
      <c r="O293" s="2654"/>
      <c r="P293" s="2654"/>
      <c r="Q293" s="2654"/>
      <c r="R293" s="2654"/>
      <c r="S293" s="1819"/>
      <c r="T293" s="1819"/>
      <c r="U293" s="1819"/>
      <c r="V293" s="2587"/>
    </row>
    <row r="294" spans="1:22" ht="13.8">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587"/>
    </row>
    <row r="295" spans="1:22" ht="13.8">
      <c r="A295" s="1819"/>
      <c r="B295" s="1819" t="s">
        <v>6963</v>
      </c>
      <c r="C295" s="1819"/>
      <c r="D295" s="1819"/>
      <c r="E295" s="1819"/>
      <c r="F295" s="1819"/>
      <c r="G295" s="1819"/>
      <c r="H295" s="1819"/>
      <c r="I295" s="1819"/>
      <c r="J295" s="2655">
        <f>N295+Q295</f>
        <v>1.3790232900000001</v>
      </c>
      <c r="K295" s="2655"/>
      <c r="L295" s="2655"/>
      <c r="M295" s="1622" t="s">
        <v>1212</v>
      </c>
      <c r="N295" s="2656">
        <f>'Part III-A-Uses of Funds'!N182</f>
        <v>0.76702329000000002</v>
      </c>
      <c r="O295" s="2656"/>
      <c r="P295" s="1622" t="s">
        <v>570</v>
      </c>
      <c r="Q295" s="2656">
        <f>'Part III-A-Uses of Funds'!Q182</f>
        <v>0.61199999999999999</v>
      </c>
      <c r="R295" s="2656"/>
      <c r="S295" s="1819"/>
      <c r="T295" s="1819"/>
      <c r="U295" s="1819"/>
      <c r="V295" s="2587"/>
    </row>
    <row r="296" spans="1:22" ht="13.8">
      <c r="A296" s="1819"/>
      <c r="B296" s="2536" t="s">
        <v>1340</v>
      </c>
      <c r="C296" s="1819"/>
      <c r="D296" s="1819"/>
      <c r="E296" s="1819"/>
      <c r="F296" s="1819"/>
      <c r="G296" s="1819"/>
      <c r="H296" s="1819"/>
      <c r="I296" s="1819"/>
      <c r="J296" s="2569">
        <f>ROUNDDOWN(IF(J295=0,"",J293/J295),0)</f>
        <v>209373</v>
      </c>
      <c r="K296" s="2569"/>
      <c r="L296" s="2569"/>
      <c r="M296" s="378"/>
      <c r="N296" s="1819"/>
      <c r="O296" s="1819"/>
      <c r="P296" s="1819"/>
      <c r="Q296" s="1819"/>
      <c r="R296" s="1819"/>
      <c r="S296" s="1819"/>
      <c r="T296" s="1819"/>
      <c r="U296" s="1819"/>
      <c r="V296" s="2587"/>
    </row>
    <row r="297" spans="1:22" ht="13.8">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3.8">
      <c r="A298" s="2586" t="s">
        <v>1666</v>
      </c>
      <c r="B298" s="2586" t="s">
        <v>3934</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ht="13.8">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ht="13.8">
      <c r="A300" s="1819"/>
      <c r="B300" s="2536" t="s">
        <v>6964</v>
      </c>
      <c r="C300" s="1819"/>
      <c r="D300" s="1819"/>
      <c r="E300" s="1819"/>
      <c r="F300" s="1819"/>
      <c r="G300" s="1819"/>
      <c r="H300" s="1819"/>
      <c r="I300" s="1819"/>
      <c r="J300" s="2569">
        <f>'Part III-A-Uses of Funds'!J187</f>
        <v>206805</v>
      </c>
      <c r="K300" s="2569"/>
      <c r="L300" s="2569"/>
      <c r="M300" s="1819"/>
      <c r="N300" s="1819"/>
      <c r="O300" s="1819"/>
      <c r="P300" s="1819"/>
      <c r="Q300" s="2544" t="s">
        <v>6248</v>
      </c>
      <c r="R300" s="2544"/>
      <c r="S300" s="2544" t="str">
        <f>'Part VIII Scoring Criteria'!$J$36</f>
        <v>Rural</v>
      </c>
      <c r="T300" s="2544"/>
      <c r="U300" s="1622" t="str">
        <f>IF(OR(S300="Atlanta Metro", "Other Metro"), "Metro", IF(S300="Rural","Rural",""))</f>
        <v>Rural</v>
      </c>
      <c r="V300" s="2587"/>
    </row>
    <row r="301" spans="1:22" ht="13.8">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ht="13.8">
      <c r="A302" s="1819"/>
      <c r="B302" s="2536" t="s">
        <v>6965</v>
      </c>
      <c r="C302" s="1819"/>
      <c r="D302" s="1819"/>
      <c r="E302" s="1819"/>
      <c r="F302" s="1819"/>
      <c r="G302" s="1819"/>
      <c r="H302" s="1819"/>
      <c r="I302" s="1819"/>
      <c r="J302" s="2569">
        <f>'Part III-A-Uses of Funds'!J189</f>
        <v>206805</v>
      </c>
      <c r="K302" s="2569"/>
      <c r="L302" s="2569"/>
      <c r="M302" s="2659" t="str">
        <f>IF(J300=0,"",IF(J302&gt;J300,"Request can't exceed Maximum - REVISE (Try Round Down)!",""))</f>
        <v/>
      </c>
      <c r="N302" s="2659"/>
      <c r="O302" s="2659"/>
      <c r="P302" s="2659"/>
      <c r="Q302" s="2629" t="s">
        <v>6544</v>
      </c>
      <c r="R302" s="2544"/>
      <c r="S302" s="2544" t="str">
        <f>'Part VIII Scoring Criteria'!$F$36</f>
        <v>Preservation</v>
      </c>
      <c r="T302" s="2544"/>
      <c r="U302" s="1819"/>
      <c r="V302" s="2587"/>
    </row>
    <row r="303" spans="1:22" ht="13.8">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3.8">
      <c r="A304" s="2586"/>
      <c r="B304" s="2586" t="s">
        <v>6966</v>
      </c>
      <c r="C304" s="1819"/>
      <c r="D304" s="378"/>
      <c r="E304" s="378"/>
      <c r="F304" s="2545"/>
      <c r="G304" s="1819"/>
      <c r="H304" s="1819"/>
      <c r="I304" s="1819"/>
      <c r="J304" s="2569">
        <f>IF(J302="",0,+MIN(J300,J302))</f>
        <v>206805</v>
      </c>
      <c r="K304" s="2569"/>
      <c r="L304" s="2569"/>
      <c r="M304" s="2659"/>
      <c r="N304" s="2659"/>
      <c r="O304" s="2659"/>
      <c r="P304" s="2659"/>
      <c r="Q304" s="403" t="s">
        <v>3926</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4"/>
      <c r="U304" s="1819"/>
      <c r="V304" s="2587"/>
    </row>
    <row r="305" spans="1:22" ht="13.8">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8">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8">
      <c r="A307" s="2536" t="s">
        <v>1668</v>
      </c>
      <c r="B307" s="377" t="s">
        <v>530</v>
      </c>
      <c r="C307" s="378"/>
      <c r="D307" s="378"/>
      <c r="E307" s="378"/>
      <c r="F307" s="378"/>
      <c r="G307" s="378"/>
      <c r="H307" s="378"/>
      <c r="I307" s="378"/>
      <c r="J307" s="378"/>
      <c r="K307" s="378"/>
      <c r="L307" s="378"/>
      <c r="M307" s="378"/>
      <c r="N307" s="2536" t="s">
        <v>496</v>
      </c>
      <c r="O307" s="2536" t="s">
        <v>74</v>
      </c>
      <c r="P307" s="378"/>
      <c r="Q307" s="378"/>
      <c r="R307" s="378"/>
      <c r="S307" s="378"/>
      <c r="T307" s="378"/>
      <c r="U307" s="378"/>
      <c r="V307" s="378"/>
    </row>
    <row r="308" spans="1:22" ht="13.5" customHeight="1">
      <c r="A308" s="2561" t="str">
        <f>'Part III-A-Uses of Funds'!A195</f>
        <v>* To all applicants: in addition to your other comments, please provide methodology for determining applicable construction hard costs.</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6">
      <c r="A314" s="2661" t="str">
        <f>CONCATENATE("PART THREE (B) -  OTHER COSTS","  -  ",'Part I-Project Identification'!$O$7," - ",'Part I-Project Identification'!$F$25,"  -  ",'Part I-Project Identification'!$F$26,"  -  ",'Part I-Project Identification'!$J$26,",  ","County")</f>
        <v>PART THREE (B) -  OTHER COSTS  -  2023-5 - Brightwood Lane Apartments  -  Washington  -  Wilkes,  County</v>
      </c>
      <c r="B314" s="2661"/>
      <c r="C314" s="2661"/>
      <c r="D314" s="2661"/>
      <c r="E314" s="2661"/>
      <c r="F314" s="2661"/>
      <c r="G314" s="2661"/>
      <c r="H314" s="2661"/>
    </row>
    <row r="315" spans="1:22">
      <c r="A315" s="1077"/>
      <c r="B315" s="1077"/>
      <c r="C315" s="1077"/>
      <c r="D315" s="1077"/>
      <c r="E315" s="1077"/>
      <c r="F315" s="1077"/>
      <c r="G315" s="1077"/>
      <c r="H315" s="1077"/>
    </row>
    <row r="316" spans="1:22" ht="14.25" customHeight="1">
      <c r="A316" s="2662" t="s">
        <v>3214</v>
      </c>
      <c r="B316" s="2662"/>
      <c r="C316" s="2662"/>
      <c r="D316" s="2662"/>
      <c r="E316" s="2662"/>
      <c r="F316" s="2662"/>
      <c r="G316" s="2662"/>
      <c r="H316" s="2662"/>
    </row>
    <row r="317" spans="1:22">
      <c r="A317" s="1077"/>
      <c r="B317" s="1077"/>
      <c r="C317" s="1077"/>
      <c r="D317" s="1077"/>
      <c r="E317" s="1077"/>
      <c r="F317" s="1077"/>
      <c r="G317" s="1077"/>
      <c r="H317" s="1077"/>
    </row>
    <row r="318" spans="1:22" ht="90" customHeight="1">
      <c r="A318" s="2663" t="s">
        <v>6967</v>
      </c>
      <c r="B318" s="2663"/>
      <c r="C318" s="2663"/>
      <c r="D318" s="2663"/>
      <c r="E318" s="1077"/>
      <c r="F318" s="2664" t="s">
        <v>3206</v>
      </c>
      <c r="G318" s="2665"/>
      <c r="H318" s="2664" t="s">
        <v>3207</v>
      </c>
    </row>
    <row r="319" spans="1:22">
      <c r="A319" s="2665"/>
      <c r="B319" s="2665"/>
      <c r="C319" s="2665"/>
      <c r="D319" s="2665"/>
      <c r="E319" s="1077"/>
      <c r="F319" s="1077"/>
      <c r="G319" s="1077"/>
      <c r="H319" s="1077"/>
    </row>
    <row r="320" spans="1:22">
      <c r="A320" s="2666"/>
      <c r="B320" s="2666"/>
      <c r="C320" s="2666"/>
      <c r="D320" s="2666"/>
      <c r="E320" s="2666"/>
      <c r="F320" s="2666"/>
      <c r="G320" s="2666"/>
      <c r="H320" s="2667"/>
    </row>
    <row r="321" spans="1:8">
      <c r="A321" s="2668" t="s">
        <v>96</v>
      </c>
      <c r="B321" s="2669"/>
      <c r="C321" s="2669"/>
      <c r="D321" s="2669"/>
      <c r="E321" s="2669"/>
      <c r="F321" s="2669"/>
      <c r="G321" s="2669"/>
      <c r="H321" s="2669"/>
    </row>
    <row r="322" spans="1:8" ht="13.5" customHeight="1">
      <c r="A322" s="2493" t="str">
        <f>'Part III-A-Uses of Funds'!$C$15</f>
        <v>Physical Needs Assessment</v>
      </c>
      <c r="B322" s="2493"/>
      <c r="C322" s="2493"/>
      <c r="D322" s="2493"/>
      <c r="E322" s="2667"/>
      <c r="F322" s="2494" t="str">
        <f>'Part III-B-Other Items'!F9</f>
        <v>Physical Needs Assessment (DCA Requirement), Capital Needs Asserssment (RD Requirement)</v>
      </c>
      <c r="G322" s="2669"/>
      <c r="H322" s="2494" t="str">
        <f>'Part III-B-Other Items'!H9</f>
        <v>Indirect costs that are depreciable and required for the acquisition and rehabilitation of the Project</v>
      </c>
    </row>
    <row r="323" spans="1:8">
      <c r="A323" s="2493"/>
      <c r="B323" s="2493"/>
      <c r="C323" s="2493"/>
      <c r="D323" s="2493"/>
      <c r="E323" s="2667"/>
      <c r="F323" s="2494"/>
      <c r="G323" s="2669"/>
      <c r="H323" s="2494"/>
    </row>
    <row r="324" spans="1:8">
      <c r="A324" s="2667"/>
      <c r="B324" s="2667"/>
      <c r="C324" s="2667"/>
      <c r="D324" s="2667"/>
      <c r="E324" s="2667"/>
      <c r="F324" s="2494"/>
      <c r="G324" s="2669"/>
      <c r="H324" s="2494"/>
    </row>
    <row r="325" spans="1:8">
      <c r="A325" s="2670" t="s">
        <v>3209</v>
      </c>
      <c r="B325" s="2495">
        <f>'Part III-A-Uses of Funds'!$G$15</f>
        <v>5400</v>
      </c>
      <c r="C325" s="2670" t="s">
        <v>1665</v>
      </c>
      <c r="D325" s="2495">
        <f>'Part III-A-Uses of Funds'!$J$15+'Part III-A-Uses of Funds'!$M$15+'Part III-A-Uses of Funds'!$P$15</f>
        <v>5400</v>
      </c>
      <c r="E325" s="2667"/>
      <c r="F325" s="2494"/>
      <c r="G325" s="2669"/>
      <c r="H325" s="2494"/>
    </row>
    <row r="326" spans="1:8">
      <c r="A326" s="2669"/>
      <c r="B326" s="2671"/>
      <c r="C326" s="2669"/>
      <c r="D326" s="2669"/>
      <c r="E326" s="2667"/>
      <c r="F326" s="2494"/>
      <c r="G326" s="2672"/>
      <c r="H326" s="2494"/>
    </row>
    <row r="327" spans="1:8" ht="13.5" customHeight="1">
      <c r="A327" s="2493" t="str">
        <f>'Part III-A-Uses of Funds'!$C$16</f>
        <v>&lt;&lt; Enter description here; provide detail &amp; justification in tab Part III-b &gt;&gt;</v>
      </c>
      <c r="B327" s="2493"/>
      <c r="C327" s="2493"/>
      <c r="D327" s="2493"/>
      <c r="E327" s="2667"/>
      <c r="F327" s="2494">
        <f>'Part III-B-Other Items'!F14</f>
        <v>0</v>
      </c>
      <c r="G327" s="2669"/>
      <c r="H327" s="2494">
        <f>'Part III-B-Other Items'!H14</f>
        <v>0</v>
      </c>
    </row>
    <row r="328" spans="1:8">
      <c r="A328" s="2493"/>
      <c r="B328" s="2493"/>
      <c r="C328" s="2493"/>
      <c r="D328" s="2493"/>
      <c r="E328" s="2667"/>
      <c r="F328" s="2494"/>
      <c r="G328" s="2669"/>
      <c r="H328" s="2494"/>
    </row>
    <row r="329" spans="1:8">
      <c r="A329" s="2667"/>
      <c r="B329" s="2667"/>
      <c r="C329" s="2667"/>
      <c r="D329" s="2667"/>
      <c r="E329" s="2667"/>
      <c r="F329" s="2494"/>
      <c r="G329" s="2669"/>
      <c r="H329" s="2494"/>
    </row>
    <row r="330" spans="1:8">
      <c r="A330" s="2670" t="s">
        <v>3209</v>
      </c>
      <c r="B330" s="2495">
        <f>'Part III-A-Uses of Funds'!$G$16</f>
        <v>0</v>
      </c>
      <c r="C330" s="2670" t="s">
        <v>1665</v>
      </c>
      <c r="D330" s="2495">
        <f>'Part III-A-Uses of Funds'!$J$16+'Part III-A-Uses of Funds'!$M$16+'Part III-A-Uses of Funds'!$P$16</f>
        <v>0</v>
      </c>
      <c r="E330" s="2667"/>
      <c r="F330" s="2494"/>
      <c r="G330" s="2669"/>
      <c r="H330" s="2494"/>
    </row>
    <row r="331" spans="1:8">
      <c r="A331" s="2669"/>
      <c r="B331" s="2671"/>
      <c r="C331" s="2669"/>
      <c r="D331" s="2669"/>
      <c r="E331" s="2667"/>
      <c r="F331" s="2494"/>
      <c r="G331" s="2672"/>
      <c r="H331" s="2494"/>
    </row>
    <row r="332" spans="1:8" ht="13.5" customHeight="1">
      <c r="A332" s="2493" t="str">
        <f>'Part III-A-Uses of Funds'!$C$17</f>
        <v>&lt;&lt; Enter description here; provide detail &amp; justification in tab Part III-b &gt;&gt;</v>
      </c>
      <c r="B332" s="2493"/>
      <c r="C332" s="2493"/>
      <c r="D332" s="2493"/>
      <c r="E332" s="2667"/>
      <c r="F332" s="2494">
        <f>'Part III-B-Other Items'!F19</f>
        <v>0</v>
      </c>
      <c r="G332" s="2669"/>
      <c r="H332" s="2494">
        <f>'Part III-B-Other Items'!H19</f>
        <v>0</v>
      </c>
    </row>
    <row r="333" spans="1:8">
      <c r="A333" s="2493"/>
      <c r="B333" s="2493"/>
      <c r="C333" s="2493"/>
      <c r="D333" s="2493"/>
      <c r="E333" s="2667"/>
      <c r="F333" s="2494"/>
      <c r="G333" s="2669"/>
      <c r="H333" s="2494"/>
    </row>
    <row r="334" spans="1:8">
      <c r="A334" s="2667"/>
      <c r="B334" s="2667"/>
      <c r="C334" s="2667"/>
      <c r="D334" s="2667"/>
      <c r="E334" s="2667"/>
      <c r="F334" s="2494"/>
      <c r="G334" s="2669"/>
      <c r="H334" s="2494"/>
    </row>
    <row r="335" spans="1:8">
      <c r="A335" s="2670" t="s">
        <v>3209</v>
      </c>
      <c r="B335" s="2495">
        <f>'Part III-A-Uses of Funds'!$G$17</f>
        <v>0</v>
      </c>
      <c r="C335" s="2670" t="s">
        <v>1665</v>
      </c>
      <c r="D335" s="2495">
        <f>'Part III-A-Uses of Funds'!$J$17+'Part III-A-Uses of Funds'!$M$17+'Part III-A-Uses of Funds'!$P$17</f>
        <v>0</v>
      </c>
      <c r="E335" s="2667"/>
      <c r="F335" s="2494"/>
      <c r="G335" s="2669"/>
      <c r="H335" s="2494"/>
    </row>
    <row r="336" spans="1:8">
      <c r="A336" s="2669"/>
      <c r="B336" s="2671"/>
      <c r="C336" s="2669"/>
      <c r="D336" s="2669"/>
      <c r="E336" s="2667"/>
      <c r="F336" s="2494"/>
      <c r="G336" s="2672"/>
      <c r="H336" s="2494"/>
    </row>
    <row r="337" spans="1:8">
      <c r="A337" s="2668" t="s">
        <v>3208</v>
      </c>
      <c r="B337" s="2669"/>
      <c r="C337" s="2669"/>
      <c r="D337" s="2669"/>
      <c r="E337" s="2669"/>
      <c r="F337" s="2669"/>
      <c r="G337" s="2669"/>
      <c r="H337" s="2667"/>
    </row>
    <row r="338" spans="1:8" ht="12.75" customHeight="1">
      <c r="A338" s="2493" t="str">
        <f>'Part III-A-Uses of Funds'!$C$46</f>
        <v>&lt;&lt; Enter description here; provide detail &amp; justification in tab Part III-b &gt;&gt;</v>
      </c>
      <c r="B338" s="2493"/>
      <c r="C338" s="2493"/>
      <c r="D338" s="2493"/>
      <c r="E338" s="2669"/>
      <c r="F338" s="2494">
        <f>'Part III-B-Other Items'!F25</f>
        <v>0</v>
      </c>
      <c r="G338" s="2669"/>
      <c r="H338" s="2494">
        <f>'Part III-B-Other Items'!H25</f>
        <v>0</v>
      </c>
    </row>
    <row r="339" spans="1:8" ht="12.75" customHeight="1">
      <c r="A339" s="2493"/>
      <c r="B339" s="2493"/>
      <c r="C339" s="2493"/>
      <c r="D339" s="2493"/>
      <c r="E339" s="2669"/>
      <c r="F339" s="2494"/>
      <c r="G339" s="2669"/>
      <c r="H339" s="2494"/>
    </row>
    <row r="340" spans="1:8">
      <c r="A340" s="2669"/>
      <c r="B340" s="2669"/>
      <c r="C340" s="2669"/>
      <c r="D340" s="2669"/>
      <c r="E340" s="2669"/>
      <c r="F340" s="2494"/>
      <c r="G340" s="2669"/>
      <c r="H340" s="2494"/>
    </row>
    <row r="341" spans="1:8">
      <c r="A341" s="2670" t="s">
        <v>3209</v>
      </c>
      <c r="B341" s="2495">
        <f>'Part III-A-Uses of Funds'!$G$46</f>
        <v>0</v>
      </c>
      <c r="C341" s="2670" t="s">
        <v>1665</v>
      </c>
      <c r="D341" s="2495">
        <f>'Part III-A-Uses of Funds'!$J$46+'Part III-A-Uses of Funds'!$M$46+'Part III-A-Uses of Funds'!$P$46</f>
        <v>0</v>
      </c>
      <c r="E341" s="2669"/>
      <c r="F341" s="2494"/>
      <c r="G341" s="2669"/>
      <c r="H341" s="2494"/>
    </row>
    <row r="342" spans="1:8">
      <c r="A342" s="2669"/>
      <c r="B342" s="2671"/>
      <c r="C342" s="2669"/>
      <c r="D342" s="2669"/>
      <c r="E342" s="2669"/>
      <c r="F342" s="2494"/>
      <c r="G342" s="2672"/>
      <c r="H342" s="2494"/>
    </row>
    <row r="343" spans="1:8">
      <c r="A343" s="2668" t="s">
        <v>675</v>
      </c>
      <c r="B343" s="2669"/>
      <c r="C343" s="2669"/>
      <c r="D343" s="2669"/>
      <c r="E343" s="2669"/>
      <c r="F343" s="2669"/>
      <c r="G343" s="2669"/>
      <c r="H343" s="2667"/>
    </row>
    <row r="344" spans="1:8" ht="12.75" customHeight="1">
      <c r="A344" s="2493" t="str">
        <f>'Part III-A-Uses of Funds'!$C$71</f>
        <v>Tax-Exempt Bond Interest</v>
      </c>
      <c r="B344" s="2493"/>
      <c r="C344" s="2493"/>
      <c r="D344" s="2493"/>
      <c r="E344" s="2669"/>
      <c r="F344" s="2494" t="str">
        <f>'Part III-B-Other Items'!F31</f>
        <v>Interest accrued on the tax-exempt bonds for the entire period the bonds are outstanding.</v>
      </c>
      <c r="G344" s="2669"/>
      <c r="H344" s="2494" t="str">
        <f>'Part III-B-Other Items'!H31</f>
        <v>Interest accrued during construction period is a depreciable cost. Interest accrued outside of the construction period is not included in basis</v>
      </c>
    </row>
    <row r="345" spans="1:8" ht="12.75" customHeight="1">
      <c r="A345" s="2493"/>
      <c r="B345" s="2493"/>
      <c r="C345" s="2493"/>
      <c r="D345" s="2493"/>
      <c r="E345" s="2669"/>
      <c r="F345" s="2494"/>
      <c r="G345" s="2669"/>
      <c r="H345" s="2494"/>
    </row>
    <row r="346" spans="1:8">
      <c r="A346" s="2669"/>
      <c r="B346" s="2669"/>
      <c r="C346" s="2669"/>
      <c r="D346" s="2669"/>
      <c r="E346" s="2669"/>
      <c r="F346" s="2494"/>
      <c r="G346" s="2669"/>
      <c r="H346" s="2494"/>
    </row>
    <row r="347" spans="1:8">
      <c r="A347" s="2670" t="s">
        <v>3209</v>
      </c>
      <c r="B347" s="2495">
        <f>'Part III-A-Uses of Funds'!$G$71</f>
        <v>150428</v>
      </c>
      <c r="C347" s="2670" t="s">
        <v>1665</v>
      </c>
      <c r="D347" s="2495">
        <f>'Part III-A-Uses of Funds'!$J$71+'Part III-A-Uses of Funds'!$M$71+'Part III-A-Uses of Funds'!$P$71</f>
        <v>66188</v>
      </c>
      <c r="E347" s="2669"/>
      <c r="F347" s="2494"/>
      <c r="G347" s="2669"/>
      <c r="H347" s="2494"/>
    </row>
    <row r="348" spans="1:8">
      <c r="A348" s="2667"/>
      <c r="B348" s="2667"/>
      <c r="C348" s="2667"/>
      <c r="D348" s="2669"/>
      <c r="E348" s="2669"/>
      <c r="F348" s="2494"/>
      <c r="G348" s="2672"/>
      <c r="H348" s="2494"/>
    </row>
    <row r="349" spans="1:8" ht="12.75" customHeight="1">
      <c r="A349" s="2493" t="str">
        <f>'Part III-A-Uses of Funds'!$C$72</f>
        <v>RD 538 Loan Interest</v>
      </c>
      <c r="B349" s="2493"/>
      <c r="C349" s="2493"/>
      <c r="D349" s="2493"/>
      <c r="E349" s="2669"/>
      <c r="F349" s="2494" t="str">
        <f>'Part III-B-Other Items'!F36</f>
        <v>Construction to Permanent 538 Loan provided by Churchill Stateside Group is a draw-down loan and will be used to finance construction. Interest will be accrued on the amount drawn down until the loan is fully drawn and down, converts and the property takes over P&amp;I payments.</v>
      </c>
      <c r="G349" s="2669"/>
      <c r="H349" s="2494" t="str">
        <f>'Part III-B-Other Items'!H36</f>
        <v>Interest accrued during construction period is a depreciable cost. Interest accrued outside of the construction period before the property takes over interest payments is not included in basis.</v>
      </c>
    </row>
    <row r="350" spans="1:8" ht="12.75" customHeight="1">
      <c r="A350" s="2493"/>
      <c r="B350" s="2493"/>
      <c r="C350" s="2493"/>
      <c r="D350" s="2493"/>
      <c r="E350" s="2669"/>
      <c r="F350" s="2494"/>
      <c r="G350" s="2669"/>
      <c r="H350" s="2494"/>
    </row>
    <row r="351" spans="1:8">
      <c r="A351" s="2669"/>
      <c r="B351" s="2669"/>
      <c r="C351" s="2669"/>
      <c r="D351" s="2669"/>
      <c r="E351" s="2669"/>
      <c r="F351" s="2494"/>
      <c r="G351" s="2669"/>
      <c r="H351" s="2494"/>
    </row>
    <row r="352" spans="1:8">
      <c r="A352" s="2670" t="s">
        <v>3209</v>
      </c>
      <c r="B352" s="2495">
        <f>'Part III-A-Uses of Funds'!$G$72</f>
        <v>38793</v>
      </c>
      <c r="C352" s="2670" t="s">
        <v>1665</v>
      </c>
      <c r="D352" s="2495">
        <f>'Part III-A-Uses of Funds'!$J$72+'Part III-A-Uses of Funds'!$M$72+'Part III-A-Uses of Funds'!$P$72</f>
        <v>22131</v>
      </c>
      <c r="E352" s="2669"/>
      <c r="F352" s="2494"/>
      <c r="G352" s="2669"/>
      <c r="H352" s="2494"/>
    </row>
    <row r="353" spans="1:8">
      <c r="A353" s="2667"/>
      <c r="B353" s="2667"/>
      <c r="C353" s="2667"/>
      <c r="D353" s="2669"/>
      <c r="E353" s="2669"/>
      <c r="F353" s="2494"/>
      <c r="G353" s="2672"/>
      <c r="H353" s="2494"/>
    </row>
    <row r="354" spans="1:8">
      <c r="A354" s="2668" t="s">
        <v>449</v>
      </c>
      <c r="B354" s="2669"/>
      <c r="C354" s="2669"/>
      <c r="D354" s="2669"/>
      <c r="E354" s="2496"/>
      <c r="F354" s="2496"/>
      <c r="G354" s="2669"/>
      <c r="H354" s="2667"/>
    </row>
    <row r="355" spans="1:8" ht="13.5" customHeight="1">
      <c r="A355" s="2493" t="str">
        <f>'Part III-A-Uses of Funds'!$C$85</f>
        <v>&lt;&lt; Enter description here; provide detail &amp; justification in tab Part III-b &gt;&gt;</v>
      </c>
      <c r="B355" s="2493"/>
      <c r="C355" s="2493"/>
      <c r="D355" s="2493"/>
      <c r="E355" s="2667"/>
      <c r="F355" s="2494" t="str">
        <f>'Part III-B-Other Items'!F42</f>
        <v>$1,500 per property has been budgeted for project administration. This includes administrative expenses mainly supplies and shipping costs assocaited with applications and documentation prior to and after closing.</v>
      </c>
      <c r="G355" s="2669"/>
      <c r="H355" s="2494" t="str">
        <f>'Part III-B-Other Items'!H42</f>
        <v xml:space="preserve">Project Administration costs are non-depreciable costs excluded from the calculation of eligible </v>
      </c>
    </row>
    <row r="356" spans="1:8" ht="12.75" customHeight="1">
      <c r="A356" s="2493"/>
      <c r="B356" s="2493"/>
      <c r="C356" s="2493"/>
      <c r="D356" s="2493"/>
      <c r="E356" s="2669"/>
      <c r="F356" s="2494"/>
      <c r="G356" s="2669"/>
      <c r="H356" s="2494"/>
    </row>
    <row r="357" spans="1:8">
      <c r="A357" s="2669"/>
      <c r="B357" s="2669"/>
      <c r="C357" s="2669"/>
      <c r="D357" s="2669"/>
      <c r="E357" s="2669"/>
      <c r="F357" s="2494"/>
      <c r="G357" s="2669"/>
      <c r="H357" s="2494"/>
    </row>
    <row r="358" spans="1:8">
      <c r="A358" s="2670" t="s">
        <v>3209</v>
      </c>
      <c r="B358" s="2495">
        <f>'Part III-A-Uses of Funds'!$G$85</f>
        <v>1500</v>
      </c>
      <c r="C358" s="2670" t="s">
        <v>1665</v>
      </c>
      <c r="D358" s="2495">
        <f>'Part III-A-Uses of Funds'!$J$85+'Part III-A-Uses of Funds'!$M$85+'Part III-A-Uses of Funds'!$P$85</f>
        <v>0</v>
      </c>
      <c r="E358" s="2669"/>
      <c r="F358" s="2494"/>
      <c r="G358" s="2669"/>
      <c r="H358" s="2494"/>
    </row>
    <row r="359" spans="1:8">
      <c r="A359" s="2669"/>
      <c r="B359" s="2671"/>
      <c r="C359" s="2669"/>
      <c r="D359" s="2669"/>
      <c r="E359" s="2669"/>
      <c r="F359" s="2494"/>
      <c r="G359" s="2672"/>
      <c r="H359" s="2494"/>
    </row>
    <row r="360" spans="1:8">
      <c r="A360" s="2668" t="s">
        <v>677</v>
      </c>
      <c r="B360" s="2669"/>
      <c r="C360" s="2669"/>
      <c r="D360" s="2669"/>
      <c r="E360" s="2669"/>
      <c r="F360" s="2669"/>
      <c r="G360" s="2669"/>
      <c r="H360" s="2667"/>
    </row>
    <row r="361" spans="1:8" ht="13.5" customHeight="1">
      <c r="A361" s="2493" t="str">
        <f>'Part III-A-Uses of Funds'!$C$102</f>
        <v>&lt;&lt; Enter description here; provide detail &amp; justification in tab Part III-b &gt;&gt;</v>
      </c>
      <c r="B361" s="2493"/>
      <c r="C361" s="2493"/>
      <c r="D361" s="2493"/>
      <c r="E361" s="2667"/>
      <c r="F361" s="2494">
        <f>'Part III-B-Other Items'!F48</f>
        <v>0</v>
      </c>
      <c r="G361" s="2669"/>
      <c r="H361" s="2667"/>
    </row>
    <row r="362" spans="1:8">
      <c r="A362" s="2493"/>
      <c r="B362" s="2493"/>
      <c r="C362" s="2493"/>
      <c r="D362" s="2493"/>
      <c r="E362" s="2669"/>
      <c r="F362" s="2494"/>
      <c r="G362" s="2669"/>
      <c r="H362" s="2667"/>
    </row>
    <row r="363" spans="1:8">
      <c r="A363" s="2669"/>
      <c r="B363" s="2669"/>
      <c r="C363" s="2669"/>
      <c r="D363" s="2669"/>
      <c r="E363" s="2669"/>
      <c r="F363" s="2494"/>
      <c r="G363" s="2669"/>
      <c r="H363" s="2667"/>
    </row>
    <row r="364" spans="1:8">
      <c r="A364" s="2670" t="s">
        <v>3209</v>
      </c>
      <c r="B364" s="2495">
        <f>'Part III-A-Uses of Funds'!$G$102</f>
        <v>0</v>
      </c>
      <c r="C364" s="2673"/>
      <c r="D364" s="2673"/>
      <c r="E364" s="2669"/>
      <c r="F364" s="2494"/>
      <c r="G364" s="2669"/>
      <c r="H364" s="2667"/>
    </row>
    <row r="365" spans="1:8">
      <c r="A365" s="2669"/>
      <c r="B365" s="2669"/>
      <c r="C365" s="2669"/>
      <c r="D365" s="2669"/>
      <c r="E365" s="2669"/>
      <c r="F365" s="2494"/>
      <c r="G365" s="2672"/>
      <c r="H365" s="2667"/>
    </row>
    <row r="366" spans="1:8">
      <c r="A366" s="2668" t="s">
        <v>6968</v>
      </c>
      <c r="B366" s="2669"/>
      <c r="C366" s="2669"/>
      <c r="D366" s="2669"/>
      <c r="E366" s="2669"/>
      <c r="F366" s="2669"/>
      <c r="G366" s="2669"/>
      <c r="H366" s="2667"/>
    </row>
    <row r="367" spans="1:8" ht="13.5" customHeight="1">
      <c r="A367" s="2493" t="str">
        <f>'Part III-A-Uses of Funds'!$C$112</f>
        <v>&lt;&lt; Enter description here; provide detail &amp; justification in tab Part III-b &gt;&gt;</v>
      </c>
      <c r="B367" s="2493"/>
      <c r="C367" s="2493"/>
      <c r="D367" s="2493"/>
      <c r="E367" s="2667"/>
      <c r="F367" s="2494">
        <f>'Part III-B-Other Items'!F54</f>
        <v>0</v>
      </c>
      <c r="G367" s="2669"/>
      <c r="H367" s="2667"/>
    </row>
    <row r="368" spans="1:8">
      <c r="A368" s="2493"/>
      <c r="B368" s="2493"/>
      <c r="C368" s="2493"/>
      <c r="D368" s="2493"/>
      <c r="E368" s="2669"/>
      <c r="F368" s="2494"/>
      <c r="G368" s="2669"/>
      <c r="H368" s="2667"/>
    </row>
    <row r="369" spans="1:8">
      <c r="A369" s="2669"/>
      <c r="B369" s="2669"/>
      <c r="C369" s="2669"/>
      <c r="D369" s="2669"/>
      <c r="E369" s="2669"/>
      <c r="F369" s="2494"/>
      <c r="G369" s="2669"/>
      <c r="H369" s="2667"/>
    </row>
    <row r="370" spans="1:8">
      <c r="A370" s="2670" t="s">
        <v>3209</v>
      </c>
      <c r="B370" s="2495">
        <f>'Part III-A-Uses of Funds'!$G$112</f>
        <v>0</v>
      </c>
      <c r="C370" s="2673"/>
      <c r="D370" s="2673"/>
      <c r="E370" s="2669"/>
      <c r="F370" s="2494"/>
      <c r="G370" s="2669"/>
      <c r="H370" s="2667"/>
    </row>
    <row r="371" spans="1:8">
      <c r="A371" s="2666"/>
      <c r="B371" s="2666"/>
      <c r="C371" s="2666"/>
      <c r="D371" s="2666"/>
      <c r="E371" s="2666"/>
      <c r="F371" s="2494"/>
      <c r="G371" s="2672"/>
      <c r="H371" s="2667"/>
    </row>
    <row r="372" spans="1:8" ht="13.5" customHeight="1">
      <c r="A372" s="2493" t="str">
        <f>'Part III-A-Uses of Funds'!$C$113</f>
        <v>&lt;&lt; Enter description here; provide detail &amp; justification in tab Part III-b &gt;&gt;</v>
      </c>
      <c r="B372" s="2493"/>
      <c r="C372" s="2493"/>
      <c r="D372" s="2493"/>
      <c r="E372" s="2667"/>
      <c r="F372" s="2494">
        <f>'Part III-B-Other Items'!F59</f>
        <v>0</v>
      </c>
      <c r="G372" s="2669"/>
      <c r="H372" s="2667"/>
    </row>
    <row r="373" spans="1:8">
      <c r="A373" s="2493"/>
      <c r="B373" s="2493"/>
      <c r="C373" s="2493"/>
      <c r="D373" s="2493"/>
      <c r="E373" s="2669"/>
      <c r="F373" s="2494"/>
      <c r="G373" s="2669"/>
      <c r="H373" s="2667"/>
    </row>
    <row r="374" spans="1:8">
      <c r="A374" s="2669"/>
      <c r="B374" s="2669"/>
      <c r="C374" s="2669"/>
      <c r="D374" s="2669"/>
      <c r="E374" s="2669"/>
      <c r="F374" s="2494"/>
      <c r="G374" s="2669"/>
      <c r="H374" s="2667"/>
    </row>
    <row r="375" spans="1:8">
      <c r="A375" s="2670" t="s">
        <v>3209</v>
      </c>
      <c r="B375" s="2495">
        <f>'Part III-A-Uses of Funds'!$G$113</f>
        <v>0</v>
      </c>
      <c r="C375" s="2673"/>
      <c r="D375" s="2673"/>
      <c r="E375" s="2669"/>
      <c r="F375" s="2494"/>
      <c r="G375" s="2669"/>
      <c r="H375" s="2667"/>
    </row>
    <row r="376" spans="1:8">
      <c r="A376" s="2666"/>
      <c r="B376" s="2666"/>
      <c r="C376" s="2666"/>
      <c r="D376" s="2666"/>
      <c r="E376" s="2666"/>
      <c r="F376" s="2494"/>
      <c r="G376" s="2672"/>
      <c r="H376" s="2667"/>
    </row>
    <row r="377" spans="1:8">
      <c r="A377" s="2668" t="s">
        <v>6969</v>
      </c>
      <c r="B377" s="2669"/>
      <c r="C377" s="2669"/>
      <c r="D377" s="2669"/>
      <c r="E377" s="2669"/>
      <c r="F377" s="2669"/>
      <c r="G377" s="2669"/>
      <c r="H377" s="2667"/>
    </row>
    <row r="378" spans="1:8" ht="13.5" customHeight="1">
      <c r="A378" s="2493" t="str">
        <f>'Part III-A-Uses of Funds'!$C$119</f>
        <v>&lt;&lt; Enter description here; provide detail &amp; justification in tab Part III-b &gt;&gt;</v>
      </c>
      <c r="B378" s="2493"/>
      <c r="C378" s="2493"/>
      <c r="D378" s="2493"/>
      <c r="E378" s="2667"/>
      <c r="F378" s="2494">
        <f>'Part III-B-Other Items'!F65</f>
        <v>0</v>
      </c>
      <c r="G378" s="2669"/>
      <c r="H378" s="2667"/>
    </row>
    <row r="379" spans="1:8">
      <c r="A379" s="2493"/>
      <c r="B379" s="2493"/>
      <c r="C379" s="2493"/>
      <c r="D379" s="2493"/>
      <c r="E379" s="2669"/>
      <c r="F379" s="2494"/>
      <c r="G379" s="2669"/>
      <c r="H379" s="2667"/>
    </row>
    <row r="380" spans="1:8">
      <c r="A380" s="2669"/>
      <c r="B380" s="2669"/>
      <c r="C380" s="2669"/>
      <c r="D380" s="2669"/>
      <c r="E380" s="2669"/>
      <c r="F380" s="2494"/>
      <c r="G380" s="2669"/>
      <c r="H380" s="2667"/>
    </row>
    <row r="381" spans="1:8">
      <c r="A381" s="2670" t="s">
        <v>3209</v>
      </c>
      <c r="B381" s="2495">
        <f>'Part III-A-Uses of Funds'!$G$119</f>
        <v>0</v>
      </c>
      <c r="C381" s="2673"/>
      <c r="D381" s="2673"/>
      <c r="E381" s="2669"/>
      <c r="F381" s="2494"/>
      <c r="G381" s="2669"/>
      <c r="H381" s="2667"/>
    </row>
    <row r="382" spans="1:8">
      <c r="A382" s="2669"/>
      <c r="B382" s="2671"/>
      <c r="C382" s="2669"/>
      <c r="D382" s="2669"/>
      <c r="E382" s="2669"/>
      <c r="F382" s="2494"/>
      <c r="G382" s="2672"/>
      <c r="H382" s="2667"/>
    </row>
    <row r="383" spans="1:8">
      <c r="A383" s="2668" t="s">
        <v>1231</v>
      </c>
      <c r="B383" s="2669"/>
      <c r="C383" s="2669"/>
      <c r="D383" s="2669"/>
      <c r="E383" s="2669"/>
      <c r="F383" s="2669"/>
      <c r="G383" s="2669"/>
      <c r="H383" s="2667"/>
    </row>
    <row r="384" spans="1:8" ht="13.5" customHeight="1">
      <c r="A384" s="2493" t="str">
        <f>'Part III-A-Uses of Funds'!$C$134</f>
        <v>Private Based Rental Assistance</v>
      </c>
      <c r="B384" s="2493"/>
      <c r="C384" s="2493"/>
      <c r="D384" s="2493"/>
      <c r="E384" s="2667"/>
      <c r="F384" s="2494" t="str">
        <f>'Part III-B-Other Items'!F71</f>
        <v>$8,640 for Tenant Protection Escrow (RD requirement) to protect any existing tenants from potential rent increase needed to complete the acquisition/rehabilitation).</v>
      </c>
      <c r="G384" s="2669"/>
      <c r="H384" s="2494" t="str">
        <f>'Part III-B-Other Items'!H71</f>
        <v>N/A</v>
      </c>
    </row>
    <row r="385" spans="1:13" ht="12.75" customHeight="1">
      <c r="A385" s="2493"/>
      <c r="B385" s="2493"/>
      <c r="C385" s="2493"/>
      <c r="D385" s="2493"/>
      <c r="E385" s="2669"/>
      <c r="F385" s="2494"/>
      <c r="G385" s="2669"/>
      <c r="H385" s="2494"/>
    </row>
    <row r="386" spans="1:13">
      <c r="A386" s="2669"/>
      <c r="B386" s="2669"/>
      <c r="C386" s="2669"/>
      <c r="D386" s="2669"/>
      <c r="E386" s="2669"/>
      <c r="F386" s="2494"/>
      <c r="G386" s="2669"/>
      <c r="H386" s="2494"/>
    </row>
    <row r="387" spans="1:13">
      <c r="A387" s="2670" t="s">
        <v>3209</v>
      </c>
      <c r="B387" s="2495">
        <f>'Part III-A-Uses of Funds'!$G$134</f>
        <v>8640</v>
      </c>
      <c r="C387" s="2670" t="s">
        <v>1665</v>
      </c>
      <c r="D387" s="2495">
        <f>'Part III-A-Uses of Funds'!$J$134+'Part III-A-Uses of Funds'!$M$134+'Part III-A-Uses of Funds'!$P$134</f>
        <v>0</v>
      </c>
      <c r="E387" s="2669"/>
      <c r="F387" s="2494"/>
      <c r="G387" s="2669"/>
      <c r="H387" s="2494"/>
    </row>
    <row r="388" spans="1:13">
      <c r="A388" s="2669"/>
      <c r="B388" s="2671"/>
      <c r="C388" s="2669"/>
      <c r="D388" s="2669"/>
      <c r="E388" s="2669"/>
      <c r="F388" s="2494"/>
      <c r="G388" s="2672"/>
      <c r="H388" s="2494"/>
    </row>
    <row r="389" spans="1:13">
      <c r="A389" s="2668" t="s">
        <v>6970</v>
      </c>
      <c r="B389" s="2671"/>
      <c r="C389" s="2669"/>
      <c r="D389" s="2669"/>
      <c r="E389" s="2669"/>
      <c r="F389" s="2669"/>
      <c r="G389" s="2672"/>
      <c r="H389" s="2667"/>
    </row>
    <row r="390" spans="1:13" ht="13.5" customHeight="1">
      <c r="A390" s="2493" t="str">
        <f>'Part III-A-Uses of Funds'!$C$143</f>
        <v>&lt;&lt; Enter description here; provide detail &amp; justification in tab Part III-b &gt;&gt;</v>
      </c>
      <c r="B390" s="2493"/>
      <c r="C390" s="2493"/>
      <c r="D390" s="2493"/>
      <c r="E390" s="2667"/>
      <c r="F390" s="2494">
        <f>'Part III-B-Other Items'!F77</f>
        <v>0</v>
      </c>
      <c r="G390" s="2669"/>
      <c r="H390" s="2494">
        <f>'Part III-B-Other Items'!H77</f>
        <v>0</v>
      </c>
    </row>
    <row r="391" spans="1:13" ht="12.75" customHeight="1">
      <c r="A391" s="2493"/>
      <c r="B391" s="2493"/>
      <c r="C391" s="2493"/>
      <c r="D391" s="2493"/>
      <c r="E391" s="2669"/>
      <c r="F391" s="2494"/>
      <c r="G391" s="2669"/>
      <c r="H391" s="2494"/>
    </row>
    <row r="392" spans="1:13">
      <c r="A392" s="2669"/>
      <c r="B392" s="2669"/>
      <c r="C392" s="2669"/>
      <c r="D392" s="2669"/>
      <c r="E392" s="2669"/>
      <c r="F392" s="2494"/>
      <c r="G392" s="2669"/>
      <c r="H392" s="2494"/>
    </row>
    <row r="393" spans="1:13">
      <c r="A393" s="2670" t="s">
        <v>3209</v>
      </c>
      <c r="B393" s="2495">
        <f>'Part III-A-Uses of Funds'!$G$143</f>
        <v>0</v>
      </c>
      <c r="C393" s="2670" t="s">
        <v>1665</v>
      </c>
      <c r="D393" s="2495">
        <f>'Part III-A-Uses of Funds'!$J$143+'Part III-A-Uses of Funds'!$M$143+'Part III-A-Uses of Funds'!$P$143</f>
        <v>0</v>
      </c>
      <c r="E393" s="2669"/>
      <c r="F393" s="2494"/>
      <c r="G393" s="2669"/>
      <c r="H393" s="2494"/>
    </row>
    <row r="394" spans="1:13">
      <c r="A394" s="2667"/>
      <c r="B394" s="2667"/>
      <c r="C394" s="2667"/>
      <c r="D394" s="2669"/>
      <c r="E394" s="2495"/>
      <c r="F394" s="2494"/>
      <c r="G394" s="2672"/>
      <c r="H394" s="2494"/>
    </row>
    <row r="399" spans="1:13">
      <c r="A399" s="1747" t="str">
        <f>CONCATENATE("PART FOUR - UTILITY ALLOWANCES","  -  ",'Part I-Project Identification'!$O$7," ",'Part I-Project Identification'!$F$25,", ",'Part I-Project Identification'!F428,", ",'Part I-Project Identification'!J428," County")</f>
        <v>PART FOUR - UTILITY ALLOWANCES  -  2023-5 Brightwood Lane Apartments, ,  County</v>
      </c>
      <c r="B399" s="1747"/>
      <c r="C399" s="1747"/>
      <c r="D399" s="1747"/>
      <c r="E399" s="1747"/>
      <c r="F399" s="1747"/>
      <c r="G399" s="1747"/>
      <c r="H399" s="1747"/>
      <c r="I399" s="1747"/>
      <c r="J399" s="1747"/>
      <c r="K399" s="1747"/>
      <c r="L399" s="1747"/>
      <c r="M399" s="1747"/>
    </row>
    <row r="401" spans="1:13">
      <c r="B401" s="2674" t="str">
        <f>'Part I-Project Identification'!$A$6</f>
        <v>Sept 2023</v>
      </c>
      <c r="C401" s="2674"/>
      <c r="D401" s="2674"/>
      <c r="E401" s="2674"/>
      <c r="F401" s="1747" t="s">
        <v>6738</v>
      </c>
      <c r="I401" s="2675" t="str">
        <f>'Part IV-Utility Allowances'!I3</f>
        <v>North</v>
      </c>
    </row>
    <row r="403" spans="1:13">
      <c r="A403" s="2676" t="s">
        <v>6971</v>
      </c>
    </row>
    <row r="405" spans="1:13">
      <c r="A405" s="361" t="s">
        <v>573</v>
      </c>
      <c r="B405" s="361" t="s">
        <v>2059</v>
      </c>
      <c r="F405" s="359" t="s">
        <v>2317</v>
      </c>
      <c r="G405" s="359"/>
      <c r="H405" s="359"/>
      <c r="I405" s="2543" t="str">
        <f>'Part IV-Utility Allowances'!I7</f>
        <v>2023 RD Budget / 2022 Utility Study</v>
      </c>
      <c r="J405" s="2543"/>
      <c r="K405" s="2543"/>
      <c r="L405" s="2543"/>
      <c r="M405" s="2543"/>
    </row>
    <row r="406" spans="1:13">
      <c r="A406" s="361"/>
      <c r="F406" s="359" t="s">
        <v>593</v>
      </c>
      <c r="G406" s="359"/>
      <c r="H406" s="359"/>
      <c r="I406" s="2677">
        <f>'Part IV-Utility Allowances'!I8</f>
        <v>44764</v>
      </c>
      <c r="J406" s="2677"/>
      <c r="K406" s="1894"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v>
      </c>
      <c r="E410" s="359"/>
      <c r="F410" s="2678" t="str">
        <f>'Part IV-Utility Allowances'!F12</f>
        <v>X</v>
      </c>
      <c r="G410" s="2678">
        <f>'Part IV-Utility Allowances'!G12</f>
        <v>0</v>
      </c>
      <c r="I410" s="1894">
        <f>'Part IV-Utility Allowances'!I12</f>
        <v>0</v>
      </c>
      <c r="J410" s="1894">
        <f>'Part IV-Utility Allowances'!J12</f>
        <v>96</v>
      </c>
      <c r="K410" s="1894">
        <f>'Part IV-Utility Allowances'!K12</f>
        <v>130</v>
      </c>
      <c r="L410" s="1894">
        <f>'Part IV-Utility Allowances'!L12</f>
        <v>163</v>
      </c>
      <c r="M410" s="1894">
        <f>'Part IV-Utility Allowances'!M12</f>
        <v>0</v>
      </c>
    </row>
    <row r="411" spans="1:13">
      <c r="B411" s="359" t="s">
        <v>1492</v>
      </c>
      <c r="C411" s="359"/>
      <c r="D411" s="359" t="str">
        <f>'Part IV-Utility Allowances'!D13</f>
        <v>Electric</v>
      </c>
      <c r="E411" s="359"/>
      <c r="F411" s="2678" t="str">
        <f>'Part IV-Utility Allowances'!F13</f>
        <v>X</v>
      </c>
      <c r="G411" s="2678">
        <f>'Part IV-Utility Allowances'!G13</f>
        <v>0</v>
      </c>
      <c r="I411" s="1894">
        <f>'Part IV-Utility Allowances'!I13</f>
        <v>0</v>
      </c>
      <c r="J411" s="1894">
        <f>'Part IV-Utility Allowances'!J13</f>
        <v>0</v>
      </c>
      <c r="K411" s="1894">
        <f>'Part IV-Utility Allowances'!K13</f>
        <v>0</v>
      </c>
      <c r="L411" s="1894">
        <f>'Part IV-Utility Allowances'!L13</f>
        <v>0</v>
      </c>
      <c r="M411" s="1894">
        <f>'Part IV-Utility Allowances'!M13</f>
        <v>0</v>
      </c>
    </row>
    <row r="412" spans="1:13">
      <c r="B412" s="359" t="s">
        <v>1493</v>
      </c>
      <c r="C412" s="359"/>
      <c r="D412" s="359" t="str">
        <f>'Part IV-Utility Allowances'!D14</f>
        <v>Electric</v>
      </c>
      <c r="E412" s="359"/>
      <c r="F412" s="2678" t="str">
        <f>'Part IV-Utility Allowances'!F14</f>
        <v>X</v>
      </c>
      <c r="G412" s="2678">
        <f>'Part IV-Utility Allowances'!G14</f>
        <v>0</v>
      </c>
      <c r="I412" s="1894">
        <f>'Part IV-Utility Allowances'!I14</f>
        <v>0</v>
      </c>
      <c r="J412" s="1894">
        <f>'Part IV-Utility Allowances'!J14</f>
        <v>0</v>
      </c>
      <c r="K412" s="1894">
        <f>'Part IV-Utility Allowances'!K14</f>
        <v>0</v>
      </c>
      <c r="L412" s="1894">
        <f>'Part IV-Utility Allowances'!L14</f>
        <v>0</v>
      </c>
      <c r="M412" s="1894">
        <f>'Part IV-Utility Allowances'!M14</f>
        <v>0</v>
      </c>
    </row>
    <row r="413" spans="1:13">
      <c r="B413" s="359" t="s">
        <v>440</v>
      </c>
      <c r="C413" s="359"/>
      <c r="D413" s="359" t="s">
        <v>1491</v>
      </c>
      <c r="F413" s="2678" t="str">
        <f>'Part IV-Utility Allowances'!F15</f>
        <v>X</v>
      </c>
      <c r="G413" s="2678">
        <f>'Part IV-Utility Allowances'!G15</f>
        <v>0</v>
      </c>
      <c r="I413" s="1894">
        <f>'Part IV-Utility Allowances'!I15</f>
        <v>0</v>
      </c>
      <c r="J413" s="1894">
        <f>'Part IV-Utility Allowances'!J15</f>
        <v>0</v>
      </c>
      <c r="K413" s="1894">
        <f>'Part IV-Utility Allowances'!K15</f>
        <v>0</v>
      </c>
      <c r="L413" s="1894">
        <f>'Part IV-Utility Allowances'!L15</f>
        <v>0</v>
      </c>
      <c r="M413" s="1894">
        <f>'Part IV-Utility Allowances'!M15</f>
        <v>0</v>
      </c>
    </row>
    <row r="414" spans="1:13">
      <c r="B414" s="359" t="s">
        <v>3270</v>
      </c>
      <c r="C414" s="359"/>
      <c r="D414" s="359" t="s">
        <v>1491</v>
      </c>
      <c r="F414" s="2678" t="str">
        <f>'Part IV-Utility Allowances'!F16</f>
        <v>X</v>
      </c>
      <c r="G414" s="2678">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3271</v>
      </c>
      <c r="C415" s="359"/>
      <c r="D415" s="359" t="s">
        <v>1491</v>
      </c>
      <c r="F415" s="2678" t="str">
        <f>'Part IV-Utility Allowances'!F17</f>
        <v>X</v>
      </c>
      <c r="G415" s="2678">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3272</v>
      </c>
      <c r="C416" s="359"/>
      <c r="D416" s="359" t="s">
        <v>1491</v>
      </c>
      <c r="F416" s="2678" t="str">
        <f>'Part IV-Utility Allowances'!F18</f>
        <v>X</v>
      </c>
      <c r="G416" s="2678">
        <f>'Part IV-Utility Allowances'!G18</f>
        <v>0</v>
      </c>
      <c r="I416" s="1894">
        <f>'Part IV-Utility Allowances'!I18</f>
        <v>0</v>
      </c>
      <c r="J416" s="1894">
        <f>'Part IV-Utility Allowances'!J18</f>
        <v>0</v>
      </c>
      <c r="K416" s="1894">
        <f>'Part IV-Utility Allowances'!K18</f>
        <v>0</v>
      </c>
      <c r="L416" s="1894">
        <f>'Part IV-Utility Allowances'!L18</f>
        <v>0</v>
      </c>
      <c r="M416" s="1894">
        <f>'Part IV-Utility Allowances'!M18</f>
        <v>0</v>
      </c>
    </row>
    <row r="417" spans="1:13">
      <c r="B417" s="359" t="s">
        <v>1292</v>
      </c>
      <c r="C417" s="359"/>
      <c r="D417" s="359" t="s">
        <v>6747</v>
      </c>
      <c r="E417" s="1894" t="str">
        <f>'Part IV-Utility Allowances'!E19</f>
        <v>Yes</v>
      </c>
      <c r="F417" s="2678" t="str">
        <f>'Part IV-Utility Allowances'!F19</f>
        <v>X</v>
      </c>
      <c r="G417" s="2678">
        <f>'Part IV-Utility Allowances'!G19</f>
        <v>0</v>
      </c>
      <c r="I417" s="1894">
        <f>'Part IV-Utility Allowances'!I19</f>
        <v>0</v>
      </c>
      <c r="J417" s="1894">
        <f>'Part IV-Utility Allowances'!J19</f>
        <v>29</v>
      </c>
      <c r="K417" s="1894">
        <f>'Part IV-Utility Allowances'!K19</f>
        <v>38</v>
      </c>
      <c r="L417" s="1894">
        <f>'Part IV-Utility Allowances'!L19</f>
        <v>36</v>
      </c>
      <c r="M417" s="1894">
        <f>'Part IV-Utility Allowances'!M19</f>
        <v>0</v>
      </c>
    </row>
    <row r="418" spans="1:13">
      <c r="B418" s="359" t="s">
        <v>1715</v>
      </c>
      <c r="C418" s="359"/>
      <c r="F418" s="2678" t="str">
        <f>'Part IV-Utility Allowances'!F20</f>
        <v>X</v>
      </c>
      <c r="G418" s="2678">
        <f>'Part IV-Utility Allowances'!G20</f>
        <v>0</v>
      </c>
      <c r="I418" s="1894">
        <f>'Part IV-Utility Allowances'!I20</f>
        <v>0</v>
      </c>
      <c r="J418" s="1894">
        <f>'Part IV-Utility Allowances'!J20</f>
        <v>25</v>
      </c>
      <c r="K418" s="1894">
        <f>'Part IV-Utility Allowances'!K20</f>
        <v>25</v>
      </c>
      <c r="L418" s="1894">
        <f>'Part IV-Utility Allowances'!L20</f>
        <v>25</v>
      </c>
      <c r="M418" s="1894">
        <f>'Part IV-Utility Allowances'!M20</f>
        <v>0</v>
      </c>
    </row>
    <row r="419" spans="1:13">
      <c r="B419" s="359" t="s">
        <v>690</v>
      </c>
      <c r="C419" s="362" t="str">
        <f>'Part IV-Utility Allowances'!C21</f>
        <v>Yard Waste &amp; Large Item Pickup</v>
      </c>
      <c r="D419" s="362"/>
      <c r="E419" s="362"/>
      <c r="F419" s="2678" t="str">
        <f>'Part IV-Utility Allowances'!F21</f>
        <v>X</v>
      </c>
      <c r="G419" s="2678">
        <f>'Part IV-Utility Allowances'!G21</f>
        <v>0</v>
      </c>
      <c r="I419" s="1894">
        <f>'Part IV-Utility Allowances'!I21</f>
        <v>0</v>
      </c>
      <c r="J419" s="1894">
        <f>'Part IV-Utility Allowances'!J21</f>
        <v>1</v>
      </c>
      <c r="K419" s="1894">
        <f>'Part IV-Utility Allowances'!K21</f>
        <v>1</v>
      </c>
      <c r="L419" s="1894">
        <f>'Part IV-Utility Allowances'!L21</f>
        <v>1</v>
      </c>
      <c r="M419" s="1894">
        <f>'Part IV-Utility Allowances'!M21</f>
        <v>0</v>
      </c>
    </row>
    <row r="420" spans="1:13">
      <c r="B420" s="361" t="s">
        <v>956</v>
      </c>
      <c r="F420" s="1748"/>
      <c r="G420" s="1748"/>
      <c r="I420" s="2678">
        <f>IF(SUM(I410:I419)=0,0,IF(OR($D410="&lt;&lt;Select Fuel &gt;&gt;",$D411="&lt;&lt;Select Fuel &gt;&gt;",$D412="&lt;&lt;Select Fuel &gt;&gt;"),"Select Fuel",IF($E417="&lt;Select&gt;","Submeter?",SUM(I410:I419))))</f>
        <v>0</v>
      </c>
      <c r="J420" s="2678">
        <f>IF(SUM(J410:J419)=0,0,IF(OR($D410="&lt;&lt;Select Fuel &gt;&gt;",$D411="&lt;&lt;Select Fuel &gt;&gt;",$D412="&lt;&lt;Select Fuel &gt;&gt;"),"Select Fuel",IF($E417="&lt;Select&gt;","Submeter?",SUM(J410:J419))))</f>
        <v>151</v>
      </c>
      <c r="K420" s="2678">
        <f>IF(SUM(K410:K419)=0,0,IF(OR($D410="&lt;&lt;Select Fuel &gt;&gt;",$D411="&lt;&lt;Select Fuel &gt;&gt;",$D412="&lt;&lt;Select Fuel &gt;&gt;"),"Select Fuel",IF($E417="&lt;Select&gt;","Submeter?",SUM(K410:K419))))</f>
        <v>194</v>
      </c>
      <c r="L420" s="2678">
        <f>IF(SUM(L410:L419)=0,0,IF(OR($D410="&lt;&lt;Select Fuel &gt;&gt;",$D411="&lt;&lt;Select Fuel &gt;&gt;",$D412="&lt;&lt;Select Fuel &gt;&gt;"),"Select Fuel",IF($E417="&lt;Select&gt;","Submeter?",SUM(L410:L419))))</f>
        <v>225</v>
      </c>
      <c r="M420" s="2678">
        <f>IF(SUM(M410:M419)=0,0,IF(OR($D410="&lt;&lt;Select Fuel &gt;&gt;",$D411="&lt;&lt;Select Fuel &gt;&gt;",$D412="&lt;&lt;Select Fuel &gt;&gt;"),"Select Fuel",IF($E417="&lt;Select&gt;","Submeter?",SUM(M410:M419))))</f>
        <v>0</v>
      </c>
    </row>
    <row r="422" spans="1:13">
      <c r="A422" s="361" t="s">
        <v>689</v>
      </c>
      <c r="B422" s="361" t="s">
        <v>2060</v>
      </c>
      <c r="F422" s="359" t="s">
        <v>2317</v>
      </c>
      <c r="G422" s="359"/>
      <c r="H422" s="359"/>
      <c r="I422" s="2543">
        <f>'Part IV-Utility Allowances'!I24</f>
        <v>0</v>
      </c>
      <c r="J422" s="2543"/>
      <c r="K422" s="2543"/>
      <c r="L422" s="2543"/>
      <c r="M422" s="2543"/>
    </row>
    <row r="423" spans="1:13">
      <c r="A423" s="361"/>
      <c r="B423" s="361"/>
      <c r="F423" s="359" t="s">
        <v>593</v>
      </c>
      <c r="G423" s="359"/>
      <c r="H423" s="359"/>
      <c r="I423" s="2677">
        <f>'Part IV-Utility Allowances'!I25</f>
        <v>0</v>
      </c>
      <c r="J423" s="2677"/>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678">
        <f>'Part IV-Utility Allowances'!F29</f>
        <v>0</v>
      </c>
      <c r="G427" s="2678">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678">
        <f>'Part IV-Utility Allowances'!F30</f>
        <v>0</v>
      </c>
      <c r="G428" s="2678">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678">
        <f>'Part IV-Utility Allowances'!F31</f>
        <v>0</v>
      </c>
      <c r="G429" s="2678">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678">
        <f>'Part IV-Utility Allowances'!F32</f>
        <v>0</v>
      </c>
      <c r="G430" s="2678">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3270</v>
      </c>
      <c r="C431" s="359"/>
      <c r="D431" s="359" t="s">
        <v>1491</v>
      </c>
      <c r="F431" s="2678">
        <f>'Part IV-Utility Allowances'!F33</f>
        <v>0</v>
      </c>
      <c r="G431" s="2678">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3271</v>
      </c>
      <c r="C432" s="359"/>
      <c r="D432" s="359" t="s">
        <v>1491</v>
      </c>
      <c r="F432" s="2678">
        <f>'Part IV-Utility Allowances'!F34</f>
        <v>0</v>
      </c>
      <c r="G432" s="2678">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3272</v>
      </c>
      <c r="C433" s="359"/>
      <c r="D433" s="359" t="s">
        <v>1491</v>
      </c>
      <c r="F433" s="2678">
        <f>'Part IV-Utility Allowances'!F35</f>
        <v>0</v>
      </c>
      <c r="G433" s="2678">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6747</v>
      </c>
      <c r="E434" s="1894" t="str">
        <f>'Part IV-Utility Allowances'!E36</f>
        <v>&lt;Select&gt;</v>
      </c>
      <c r="F434" s="2678">
        <f>'Part IV-Utility Allowances'!F36</f>
        <v>0</v>
      </c>
      <c r="G434" s="2678">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678">
        <f>'Part IV-Utility Allowances'!F37</f>
        <v>0</v>
      </c>
      <c r="G435" s="2678">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c r="B439" s="807" t="s">
        <v>6748</v>
      </c>
      <c r="F439" s="1748"/>
      <c r="G439" s="1748"/>
      <c r="I439" s="1885"/>
      <c r="J439" s="1885"/>
      <c r="K439" s="1885"/>
      <c r="L439" s="1885"/>
      <c r="M439" s="1885"/>
    </row>
    <row r="440" spans="1:13">
      <c r="A440" s="361"/>
      <c r="B440" s="361" t="s">
        <v>530</v>
      </c>
    </row>
    <row r="441" spans="1:13" ht="296.39999999999998">
      <c r="B441" s="2679" t="str">
        <f>'Part IV-Utility Allowances'!B43</f>
        <v>The utility study did not breakdown the electrical costs by activity (heat, cooking, hot water, air conditioning, range/microwave, refrigerator, other). All electrical utility allowances are combined in the Heat line item (row 12).</v>
      </c>
      <c r="C441" s="2679"/>
      <c r="D441" s="2679"/>
      <c r="E441" s="2679"/>
      <c r="F441" s="2679"/>
      <c r="G441" s="2679"/>
      <c r="H441" s="2679"/>
      <c r="I441" s="2679"/>
      <c r="J441" s="2679"/>
      <c r="K441" s="2679"/>
      <c r="L441" s="2679"/>
      <c r="M441" s="2679"/>
    </row>
    <row r="443" spans="1:13">
      <c r="A443" s="361"/>
      <c r="B443" s="361" t="s">
        <v>1711</v>
      </c>
    </row>
    <row r="444" spans="1:13">
      <c r="B444" s="2679"/>
      <c r="C444" s="2679"/>
      <c r="D444" s="2679"/>
      <c r="E444" s="2679"/>
      <c r="F444" s="2679"/>
      <c r="G444" s="2679"/>
      <c r="H444" s="2679"/>
      <c r="I444" s="2679"/>
      <c r="J444" s="2679"/>
      <c r="K444" s="2679"/>
      <c r="L444" s="2679"/>
      <c r="M444" s="2679"/>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2023-5 Brightwood Lane Apartments,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2023-5 Brightwood Lane Apartments,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552" t="s">
        <v>6094</v>
      </c>
      <c r="E451" s="2552"/>
      <c r="F451" s="2552"/>
      <c r="G451" s="2552"/>
      <c r="H451" s="2552"/>
      <c r="I451" s="2552"/>
      <c r="J451" s="2552"/>
      <c r="K451" s="1747"/>
      <c r="L451" s="1747"/>
      <c r="M451" s="1747"/>
      <c r="O451" s="2680" t="s">
        <v>534</v>
      </c>
      <c r="P451" s="2681" t="str">
        <f>'Part I-Project Identification'!$O$28</f>
        <v>Wilkes Co.</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3045</v>
      </c>
      <c r="MG451" s="2682" t="s">
        <v>3046</v>
      </c>
      <c r="MH451" s="2682" t="s">
        <v>3047</v>
      </c>
      <c r="MI451" s="2682" t="s">
        <v>3048</v>
      </c>
      <c r="MJ451" s="2682" t="s">
        <v>3049</v>
      </c>
      <c r="MK451" s="1503"/>
      <c r="ML451" s="1503"/>
      <c r="MM451" s="1503"/>
      <c r="MN451" s="1503"/>
      <c r="MO451" s="1503"/>
      <c r="MP451" s="1503"/>
      <c r="MQ451" s="1503"/>
      <c r="MR451" s="1503"/>
      <c r="MS451" s="1503"/>
      <c r="MT451" s="1503"/>
    </row>
    <row r="452" spans="1:380" s="359" customFormat="1" ht="3" customHeight="1">
      <c r="B452" s="1747"/>
      <c r="D452" s="2552"/>
      <c r="E452" s="2552"/>
      <c r="F452" s="2552"/>
      <c r="G452" s="2552"/>
      <c r="H452" s="2552"/>
      <c r="I452" s="2552"/>
      <c r="J452" s="2552"/>
      <c r="P452" s="2681"/>
      <c r="Q452" s="2683" t="s">
        <v>6972</v>
      </c>
      <c r="R452" s="2684"/>
      <c r="S452" s="2543"/>
      <c r="T452" s="2543"/>
      <c r="U452" s="2543"/>
      <c r="X452" s="2682" t="s">
        <v>3682</v>
      </c>
      <c r="Y452" s="2682" t="s">
        <v>3683</v>
      </c>
      <c r="Z452" s="2682" t="s">
        <v>3684</v>
      </c>
      <c r="AA452" s="2682" t="s">
        <v>3685</v>
      </c>
      <c r="AB452" s="2682" t="s">
        <v>3686</v>
      </c>
      <c r="AC452" s="2682" t="s">
        <v>3687</v>
      </c>
      <c r="AD452" s="2682" t="s">
        <v>3688</v>
      </c>
      <c r="AE452" s="2682" t="s">
        <v>3689</v>
      </c>
      <c r="AF452" s="2682" t="s">
        <v>3690</v>
      </c>
      <c r="AG452" s="2682" t="s">
        <v>3691</v>
      </c>
      <c r="AH452" s="2682" t="s">
        <v>861</v>
      </c>
      <c r="AI452" s="2682" t="s">
        <v>705</v>
      </c>
      <c r="AJ452" s="2682" t="s">
        <v>706</v>
      </c>
      <c r="AK452" s="2682" t="s">
        <v>707</v>
      </c>
      <c r="AL452" s="2682" t="s">
        <v>708</v>
      </c>
      <c r="AM452" s="2682" t="s">
        <v>862</v>
      </c>
      <c r="AN452" s="2682" t="s">
        <v>2131</v>
      </c>
      <c r="AO452" s="2682" t="s">
        <v>2132</v>
      </c>
      <c r="AP452" s="2682" t="s">
        <v>2133</v>
      </c>
      <c r="AQ452" s="2682" t="s">
        <v>2134</v>
      </c>
      <c r="AR452" s="2682" t="s">
        <v>3693</v>
      </c>
      <c r="AS452" s="2682" t="s">
        <v>3694</v>
      </c>
      <c r="AT452" s="2682" t="s">
        <v>3695</v>
      </c>
      <c r="AU452" s="2682" t="s">
        <v>3696</v>
      </c>
      <c r="AV452" s="2682" t="s">
        <v>3692</v>
      </c>
      <c r="AW452" s="2682" t="s">
        <v>863</v>
      </c>
      <c r="AX452" s="2682" t="s">
        <v>2135</v>
      </c>
      <c r="AY452" s="2682" t="s">
        <v>2136</v>
      </c>
      <c r="AZ452" s="2682" t="s">
        <v>2137</v>
      </c>
      <c r="BA452" s="2682" t="s">
        <v>2138</v>
      </c>
      <c r="BB452" s="2682" t="s">
        <v>3697</v>
      </c>
      <c r="BC452" s="2682" t="s">
        <v>3698</v>
      </c>
      <c r="BD452" s="2682" t="s">
        <v>3699</v>
      </c>
      <c r="BE452" s="2682" t="s">
        <v>3700</v>
      </c>
      <c r="BF452" s="2682" t="s">
        <v>3701</v>
      </c>
      <c r="BG452" s="2682" t="s">
        <v>123</v>
      </c>
      <c r="BH452" s="2682" t="s">
        <v>2139</v>
      </c>
      <c r="BI452" s="2682" t="s">
        <v>2140</v>
      </c>
      <c r="BJ452" s="2682" t="s">
        <v>2141</v>
      </c>
      <c r="BK452" s="2682" t="s">
        <v>1080</v>
      </c>
      <c r="BL452" s="2682" t="s">
        <v>3702</v>
      </c>
      <c r="BM452" s="2682" t="s">
        <v>3703</v>
      </c>
      <c r="BN452" s="2682" t="s">
        <v>3704</v>
      </c>
      <c r="BO452" s="2682" t="s">
        <v>3705</v>
      </c>
      <c r="BP452" s="2682" t="s">
        <v>3706</v>
      </c>
      <c r="BQ452" s="2682" t="s">
        <v>517</v>
      </c>
      <c r="BR452" s="2682" t="s">
        <v>518</v>
      </c>
      <c r="BS452" s="2682" t="s">
        <v>535</v>
      </c>
      <c r="BT452" s="2682" t="s">
        <v>536</v>
      </c>
      <c r="BU452" s="2682" t="s">
        <v>537</v>
      </c>
      <c r="BV452" s="2682" t="s">
        <v>3707</v>
      </c>
      <c r="BW452" s="2682" t="s">
        <v>3708</v>
      </c>
      <c r="BX452" s="2682" t="s">
        <v>3709</v>
      </c>
      <c r="BY452" s="2682" t="s">
        <v>3710</v>
      </c>
      <c r="BZ452" s="2682" t="s">
        <v>3711</v>
      </c>
      <c r="CA452" s="2682" t="s">
        <v>538</v>
      </c>
      <c r="CB452" s="2682" t="s">
        <v>539</v>
      </c>
      <c r="CC452" s="2682" t="s">
        <v>540</v>
      </c>
      <c r="CD452" s="2682" t="s">
        <v>541</v>
      </c>
      <c r="CE452" s="2682" t="s">
        <v>542</v>
      </c>
      <c r="CF452" s="2682" t="s">
        <v>543</v>
      </c>
      <c r="CG452" s="2682" t="s">
        <v>544</v>
      </c>
      <c r="CH452" s="2682" t="s">
        <v>872</v>
      </c>
      <c r="CI452" s="2682" t="s">
        <v>873</v>
      </c>
      <c r="CJ452" s="2682" t="s">
        <v>874</v>
      </c>
      <c r="CK452" s="2682" t="s">
        <v>3717</v>
      </c>
      <c r="CL452" s="2682" t="s">
        <v>3718</v>
      </c>
      <c r="CM452" s="2682" t="s">
        <v>3719</v>
      </c>
      <c r="CN452" s="2682" t="s">
        <v>3720</v>
      </c>
      <c r="CO452" s="2682" t="s">
        <v>3721</v>
      </c>
      <c r="CP452" s="2682" t="s">
        <v>3712</v>
      </c>
      <c r="CQ452" s="2682" t="s">
        <v>3713</v>
      </c>
      <c r="CR452" s="2682" t="s">
        <v>3714</v>
      </c>
      <c r="CS452" s="2682" t="s">
        <v>3715</v>
      </c>
      <c r="CT452" s="2682" t="s">
        <v>3716</v>
      </c>
      <c r="CU452" s="2682" t="s">
        <v>3722</v>
      </c>
      <c r="CV452" s="2682" t="s">
        <v>3723</v>
      </c>
      <c r="CW452" s="2682" t="s">
        <v>3724</v>
      </c>
      <c r="CX452" s="2682" t="s">
        <v>3725</v>
      </c>
      <c r="CY452" s="2682" t="s">
        <v>3726</v>
      </c>
      <c r="CZ452" s="2682" t="s">
        <v>466</v>
      </c>
      <c r="DA452" s="2682" t="s">
        <v>467</v>
      </c>
      <c r="DB452" s="2682" t="s">
        <v>468</v>
      </c>
      <c r="DC452" s="2682" t="s">
        <v>469</v>
      </c>
      <c r="DD452" s="2682" t="s">
        <v>470</v>
      </c>
      <c r="DE452" s="2682" t="s">
        <v>3727</v>
      </c>
      <c r="DF452" s="2682" t="s">
        <v>3728</v>
      </c>
      <c r="DG452" s="2682" t="s">
        <v>3729</v>
      </c>
      <c r="DH452" s="2682" t="s">
        <v>3730</v>
      </c>
      <c r="DI452" s="2682" t="s">
        <v>3731</v>
      </c>
      <c r="DJ452" s="2682" t="s">
        <v>822</v>
      </c>
      <c r="DK452" s="2682" t="s">
        <v>823</v>
      </c>
      <c r="DL452" s="2682" t="s">
        <v>824</v>
      </c>
      <c r="DM452" s="2682" t="s">
        <v>825</v>
      </c>
      <c r="DN452" s="2682" t="s">
        <v>826</v>
      </c>
      <c r="DO452" s="2682" t="s">
        <v>827</v>
      </c>
      <c r="DP452" s="2682" t="s">
        <v>828</v>
      </c>
      <c r="DQ452" s="2682" t="s">
        <v>829</v>
      </c>
      <c r="DR452" s="2682" t="s">
        <v>830</v>
      </c>
      <c r="DS452" s="2682" t="s">
        <v>831</v>
      </c>
      <c r="DT452" s="2682" t="s">
        <v>3732</v>
      </c>
      <c r="DU452" s="2682" t="s">
        <v>3733</v>
      </c>
      <c r="DV452" s="2682" t="s">
        <v>3734</v>
      </c>
      <c r="DW452" s="2682" t="s">
        <v>3735</v>
      </c>
      <c r="DX452" s="2682" t="s">
        <v>3736</v>
      </c>
      <c r="DY452" s="2682" t="s">
        <v>3737</v>
      </c>
      <c r="DZ452" s="2682" t="s">
        <v>3738</v>
      </c>
      <c r="EA452" s="2682" t="s">
        <v>3739</v>
      </c>
      <c r="EB452" s="2682" t="s">
        <v>3740</v>
      </c>
      <c r="EC452" s="2682" t="s">
        <v>3741</v>
      </c>
      <c r="ED452" s="2682" t="s">
        <v>2235</v>
      </c>
      <c r="EE452" s="2682" t="s">
        <v>2236</v>
      </c>
      <c r="EF452" s="2682" t="s">
        <v>2237</v>
      </c>
      <c r="EG452" s="2682" t="s">
        <v>2238</v>
      </c>
      <c r="EH452" s="2682" t="s">
        <v>2239</v>
      </c>
      <c r="EI452" s="2682" t="s">
        <v>3742</v>
      </c>
      <c r="EJ452" s="2682" t="s">
        <v>3743</v>
      </c>
      <c r="EK452" s="2682" t="s">
        <v>3744</v>
      </c>
      <c r="EL452" s="2682" t="s">
        <v>3745</v>
      </c>
      <c r="EM452" s="2682" t="s">
        <v>3746</v>
      </c>
      <c r="EN452" s="2682" t="s">
        <v>3747</v>
      </c>
      <c r="EO452" s="2682" t="s">
        <v>3748</v>
      </c>
      <c r="EP452" s="2682" t="s">
        <v>3749</v>
      </c>
      <c r="EQ452" s="2682" t="s">
        <v>3750</v>
      </c>
      <c r="ER452" s="2682" t="s">
        <v>3751</v>
      </c>
      <c r="ES452" s="2682" t="s">
        <v>111</v>
      </c>
      <c r="ET452" s="2682" t="s">
        <v>1083</v>
      </c>
      <c r="EU452" s="2682" t="s">
        <v>1084</v>
      </c>
      <c r="EV452" s="2682" t="s">
        <v>1139</v>
      </c>
      <c r="EW452" s="2682" t="s">
        <v>1140</v>
      </c>
      <c r="EX452" s="2682" t="s">
        <v>126</v>
      </c>
      <c r="EY452" s="2682" t="s">
        <v>1141</v>
      </c>
      <c r="EZ452" s="2682" t="s">
        <v>1142</v>
      </c>
      <c r="FA452" s="2682" t="s">
        <v>1143</v>
      </c>
      <c r="FB452" s="2682" t="s">
        <v>1144</v>
      </c>
      <c r="FC452" s="2682" t="s">
        <v>3752</v>
      </c>
      <c r="FD452" s="2682" t="s">
        <v>3753</v>
      </c>
      <c r="FE452" s="2682" t="s">
        <v>3754</v>
      </c>
      <c r="FF452" s="2682" t="s">
        <v>3755</v>
      </c>
      <c r="FG452" s="2682" t="s">
        <v>3756</v>
      </c>
      <c r="FH452" s="2682" t="s">
        <v>125</v>
      </c>
      <c r="FI452" s="2682" t="s">
        <v>853</v>
      </c>
      <c r="FJ452" s="2682" t="s">
        <v>854</v>
      </c>
      <c r="FK452" s="2682" t="s">
        <v>855</v>
      </c>
      <c r="FL452" s="2682" t="s">
        <v>856</v>
      </c>
      <c r="FM452" s="2682" t="s">
        <v>3757</v>
      </c>
      <c r="FN452" s="2682" t="s">
        <v>3758</v>
      </c>
      <c r="FO452" s="2682" t="s">
        <v>3759</v>
      </c>
      <c r="FP452" s="2682" t="s">
        <v>3760</v>
      </c>
      <c r="FQ452" s="2682" t="s">
        <v>3761</v>
      </c>
      <c r="FR452" s="2682" t="s">
        <v>124</v>
      </c>
      <c r="FS452" s="2682" t="s">
        <v>857</v>
      </c>
      <c r="FT452" s="2682" t="s">
        <v>858</v>
      </c>
      <c r="FU452" s="2682" t="s">
        <v>859</v>
      </c>
      <c r="FV452" s="2682" t="s">
        <v>860</v>
      </c>
      <c r="FW452" s="2682" t="s">
        <v>752</v>
      </c>
      <c r="FX452" s="2682" t="s">
        <v>753</v>
      </c>
      <c r="FY452" s="2682" t="s">
        <v>754</v>
      </c>
      <c r="FZ452" s="2682" t="s">
        <v>755</v>
      </c>
      <c r="GA452" s="2682" t="s">
        <v>756</v>
      </c>
      <c r="GB452" s="2682" t="s">
        <v>896</v>
      </c>
      <c r="GC452" s="2682" t="s">
        <v>897</v>
      </c>
      <c r="GD452" s="2682" t="s">
        <v>898</v>
      </c>
      <c r="GE452" s="2682" t="s">
        <v>899</v>
      </c>
      <c r="GF452" s="2682" t="s">
        <v>2234</v>
      </c>
      <c r="GG452" s="2682" t="s">
        <v>1344</v>
      </c>
      <c r="GH452" s="2682" t="s">
        <v>1345</v>
      </c>
      <c r="GI452" s="2682" t="s">
        <v>1346</v>
      </c>
      <c r="GJ452" s="2682" t="s">
        <v>1347</v>
      </c>
      <c r="GK452" s="2682" t="s">
        <v>1348</v>
      </c>
      <c r="GL452" s="2682" t="s">
        <v>411</v>
      </c>
      <c r="GM452" s="2682" t="s">
        <v>412</v>
      </c>
      <c r="GN452" s="2682" t="s">
        <v>413</v>
      </c>
      <c r="GO452" s="2682" t="s">
        <v>414</v>
      </c>
      <c r="GP452" s="2682" t="s">
        <v>415</v>
      </c>
      <c r="GQ452" s="2682" t="s">
        <v>14</v>
      </c>
      <c r="GR452" s="2682" t="s">
        <v>15</v>
      </c>
      <c r="GS452" s="2682" t="s">
        <v>16</v>
      </c>
      <c r="GT452" s="2682" t="s">
        <v>17</v>
      </c>
      <c r="GU452" s="2682" t="s">
        <v>18</v>
      </c>
      <c r="GV452" s="2682" t="s">
        <v>214</v>
      </c>
      <c r="GW452" s="2682" t="s">
        <v>215</v>
      </c>
      <c r="GX452" s="2682" t="s">
        <v>216</v>
      </c>
      <c r="GY452" s="2682" t="s">
        <v>1680</v>
      </c>
      <c r="GZ452" s="2682" t="s">
        <v>1681</v>
      </c>
      <c r="HA452" s="2682" t="s">
        <v>1682</v>
      </c>
      <c r="HB452" s="2682" t="s">
        <v>550</v>
      </c>
      <c r="HC452" s="2682" t="s">
        <v>551</v>
      </c>
      <c r="HD452" s="2682" t="s">
        <v>552</v>
      </c>
      <c r="HE452" s="2682" t="s">
        <v>553</v>
      </c>
      <c r="HF452" s="2682" t="s">
        <v>19</v>
      </c>
      <c r="HG452" s="2682" t="s">
        <v>20</v>
      </c>
      <c r="HH452" s="2682" t="s">
        <v>21</v>
      </c>
      <c r="HI452" s="2682" t="s">
        <v>22</v>
      </c>
      <c r="HJ452" s="2682" t="s">
        <v>23</v>
      </c>
      <c r="HK452" s="2682" t="s">
        <v>465</v>
      </c>
      <c r="HL452" s="2682" t="s">
        <v>407</v>
      </c>
      <c r="HM452" s="2682" t="s">
        <v>408</v>
      </c>
      <c r="HN452" s="2682" t="s">
        <v>409</v>
      </c>
      <c r="HO452" s="2682" t="s">
        <v>410</v>
      </c>
      <c r="HP452" s="2682" t="s">
        <v>2042</v>
      </c>
      <c r="HQ452" s="2682" t="s">
        <v>2043</v>
      </c>
      <c r="HR452" s="2682" t="s">
        <v>2044</v>
      </c>
      <c r="HS452" s="2682" t="s">
        <v>1385</v>
      </c>
      <c r="HT452" s="2682" t="s">
        <v>1386</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1518</v>
      </c>
      <c r="LH452" s="2682" t="s">
        <v>2321</v>
      </c>
      <c r="LI452" s="2682" t="s">
        <v>2322</v>
      </c>
      <c r="LJ452" s="2682" t="s">
        <v>364</v>
      </c>
      <c r="LK452" s="2682" t="s">
        <v>365</v>
      </c>
      <c r="LL452" s="2682" t="s">
        <v>366</v>
      </c>
      <c r="LM452" s="2682" t="s">
        <v>367</v>
      </c>
      <c r="LN452" s="2682" t="s">
        <v>368</v>
      </c>
      <c r="LO452" s="2682" t="s">
        <v>369</v>
      </c>
      <c r="LP452" s="2682" t="s">
        <v>370</v>
      </c>
      <c r="LQ452" s="2682" t="s">
        <v>195</v>
      </c>
      <c r="LR452" s="2682" t="s">
        <v>196</v>
      </c>
      <c r="LS452" s="2682" t="s">
        <v>197</v>
      </c>
      <c r="LT452" s="2682" t="s">
        <v>198</v>
      </c>
      <c r="LU452" s="2682" t="s">
        <v>199</v>
      </c>
      <c r="LV452" s="2682" t="s">
        <v>200</v>
      </c>
      <c r="LW452" s="2682" t="s">
        <v>201</v>
      </c>
      <c r="LX452" s="2682" t="s">
        <v>202</v>
      </c>
      <c r="LY452" s="2682" t="s">
        <v>203</v>
      </c>
      <c r="LZ452" s="2682" t="s">
        <v>204</v>
      </c>
      <c r="MA452" s="2682" t="s">
        <v>205</v>
      </c>
      <c r="MB452" s="2682" t="s">
        <v>206</v>
      </c>
      <c r="MC452" s="2682" t="s">
        <v>207</v>
      </c>
      <c r="MD452" s="2682" t="s">
        <v>208</v>
      </c>
      <c r="ME452" s="2682" t="s">
        <v>209</v>
      </c>
      <c r="MF452" s="2682"/>
      <c r="MG452" s="2682"/>
      <c r="MH452" s="2682"/>
      <c r="MI452" s="2682"/>
      <c r="MJ452" s="2682"/>
      <c r="MK452" s="1503"/>
      <c r="ML452" s="1503"/>
      <c r="MM452" s="1503"/>
      <c r="MN452" s="1503"/>
      <c r="MO452" s="1503"/>
      <c r="MP452" s="1503"/>
      <c r="MQ452" s="1503"/>
      <c r="MR452" s="1503"/>
      <c r="MS452" s="1503"/>
      <c r="MT452" s="1503"/>
    </row>
    <row r="453" spans="1:380" s="359" customFormat="1" ht="12.6" customHeight="1">
      <c r="A453" s="2685" t="str">
        <f>IF(A496&gt;0,"Finish Row!","")</f>
        <v/>
      </c>
      <c r="B453" s="1634" t="s">
        <v>6973</v>
      </c>
      <c r="D453" s="2552"/>
      <c r="E453" s="2552"/>
      <c r="F453" s="2552"/>
      <c r="G453" s="1894" t="str">
        <f>'Part V-Revenues &amp; Expenses'!G6</f>
        <v>&lt;Select&gt;</v>
      </c>
      <c r="H453" s="2686" t="s">
        <v>6097</v>
      </c>
      <c r="I453" s="2686"/>
      <c r="J453" s="2686"/>
      <c r="K453" s="2687" t="s">
        <v>3135</v>
      </c>
      <c r="L453" s="2688" t="str">
        <f>'Part I-Project Identification'!$A$6</f>
        <v>Sept 2023</v>
      </c>
      <c r="M453" s="2688"/>
      <c r="N453" s="2688"/>
      <c r="O453" s="2689" t="s">
        <v>6974</v>
      </c>
      <c r="P453" s="2690">
        <f>'Part V-Revenues &amp; Expenses'!P6</f>
        <v>63700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3040</v>
      </c>
      <c r="ML453" s="2691" t="s">
        <v>3041</v>
      </c>
      <c r="MM453" s="2691" t="s">
        <v>3042</v>
      </c>
      <c r="MN453" s="2691" t="s">
        <v>3043</v>
      </c>
      <c r="MO453" s="2691" t="s">
        <v>3044</v>
      </c>
      <c r="MP453" s="2682" t="s">
        <v>6281</v>
      </c>
      <c r="MQ453" s="2682" t="s">
        <v>6282</v>
      </c>
      <c r="MR453" s="2682" t="s">
        <v>6283</v>
      </c>
      <c r="MS453" s="2682" t="s">
        <v>6284</v>
      </c>
      <c r="MT453" s="2682" t="s">
        <v>6285</v>
      </c>
    </row>
    <row r="454" spans="1:380" s="359" customFormat="1" ht="12.6" customHeight="1">
      <c r="A454" s="2685"/>
      <c r="B454" s="2692" t="s">
        <v>6096</v>
      </c>
      <c r="E454" s="1747"/>
      <c r="G454" s="1894" t="str">
        <f>'Part V-Revenues &amp; Expenses'!G7</f>
        <v>&lt;Select&gt;</v>
      </c>
      <c r="I454" s="2693" t="s">
        <v>4071</v>
      </c>
      <c r="J454" s="2687" t="s">
        <v>742</v>
      </c>
      <c r="K454" s="2687" t="s">
        <v>3182</v>
      </c>
      <c r="L454" s="2688"/>
      <c r="M454" s="2688"/>
      <c r="N454" s="2688"/>
      <c r="O454" s="2694" t="s">
        <v>6076</v>
      </c>
      <c r="P454" s="2695">
        <f>'Part V-Revenues &amp; Expenses'!P7</f>
        <v>45061</v>
      </c>
      <c r="Q454" s="2683"/>
      <c r="R454" s="1747" t="s">
        <v>2457</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 customHeight="1">
      <c r="A455" s="2685"/>
      <c r="B455" s="2696" t="s">
        <v>3764</v>
      </c>
      <c r="I455" s="2693"/>
      <c r="J455" s="2687" t="s">
        <v>743</v>
      </c>
      <c r="K455" s="2687" t="s">
        <v>3183</v>
      </c>
      <c r="L455" s="2543"/>
      <c r="M455" s="2543"/>
      <c r="N455" s="2697" t="s">
        <v>6480</v>
      </c>
      <c r="O455" s="2544" t="str">
        <f>'Part V-Revenues &amp; Expenses'!O8</f>
        <v>Novogradac</v>
      </c>
      <c r="P455" s="2544"/>
      <c r="Q455" s="2683"/>
      <c r="R455" s="2698"/>
      <c r="S455" s="2699" t="s">
        <v>2454</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c r="A456" s="2685"/>
      <c r="B456" s="2687" t="s">
        <v>3765</v>
      </c>
      <c r="C456" s="2687" t="s">
        <v>165</v>
      </c>
      <c r="D456" s="2687" t="s">
        <v>510</v>
      </c>
      <c r="E456" s="2687" t="s">
        <v>1382</v>
      </c>
      <c r="F456" s="2687" t="s">
        <v>1382</v>
      </c>
      <c r="G456" s="2693" t="s">
        <v>6092</v>
      </c>
      <c r="H456" s="2684" t="s">
        <v>3302</v>
      </c>
      <c r="I456" s="2693"/>
      <c r="J456" s="2700" t="s">
        <v>6086</v>
      </c>
      <c r="K456" s="2687" t="s">
        <v>6975</v>
      </c>
      <c r="L456" s="1634" t="s">
        <v>139</v>
      </c>
      <c r="M456" s="1634"/>
      <c r="N456" s="2687" t="s">
        <v>2184</v>
      </c>
      <c r="O456" s="2687" t="s">
        <v>6483</v>
      </c>
      <c r="P456" s="2683" t="s">
        <v>6976</v>
      </c>
      <c r="Q456" s="2683"/>
      <c r="R456" s="2687" t="s">
        <v>2453</v>
      </c>
      <c r="S456" s="2687" t="s">
        <v>2455</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1371</v>
      </c>
      <c r="IA456" s="1884" t="s">
        <v>2245</v>
      </c>
      <c r="IB456" s="1884" t="s">
        <v>2246</v>
      </c>
      <c r="IC456" s="1884" t="s">
        <v>2247</v>
      </c>
      <c r="ID456" s="1884" t="s">
        <v>2248</v>
      </c>
      <c r="IE456" s="2682" t="s">
        <v>2299</v>
      </c>
      <c r="IF456" s="2682" t="s">
        <v>2299</v>
      </c>
      <c r="IG456" s="2682" t="s">
        <v>2299</v>
      </c>
      <c r="IH456" s="2682" t="s">
        <v>2299</v>
      </c>
      <c r="II456" s="2682" t="s">
        <v>2299</v>
      </c>
      <c r="IJ456" s="2682" t="s">
        <v>3000</v>
      </c>
      <c r="IK456" s="2682" t="s">
        <v>3000</v>
      </c>
      <c r="IL456" s="2682" t="s">
        <v>3000</v>
      </c>
      <c r="IM456" s="2682" t="s">
        <v>3000</v>
      </c>
      <c r="IN456" s="2682"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682" t="s">
        <v>6286</v>
      </c>
      <c r="IZ456" s="2682" t="s">
        <v>6286</v>
      </c>
      <c r="JA456" s="2682" t="s">
        <v>6286</v>
      </c>
      <c r="JB456" s="2682" t="s">
        <v>6286</v>
      </c>
      <c r="JC456" s="2682" t="s">
        <v>6286</v>
      </c>
      <c r="JD456" s="2682" t="s">
        <v>6287</v>
      </c>
      <c r="JE456" s="2682" t="s">
        <v>6287</v>
      </c>
      <c r="JF456" s="2682" t="s">
        <v>6287</v>
      </c>
      <c r="JG456" s="2682" t="s">
        <v>6287</v>
      </c>
      <c r="JH456" s="2682" t="s">
        <v>6287</v>
      </c>
      <c r="JI456" s="2682" t="s">
        <v>6289</v>
      </c>
      <c r="JJ456" s="2682" t="s">
        <v>6289</v>
      </c>
      <c r="JK456" s="2682" t="s">
        <v>6289</v>
      </c>
      <c r="JL456" s="2682" t="s">
        <v>6289</v>
      </c>
      <c r="JM456" s="2682" t="s">
        <v>6289</v>
      </c>
      <c r="JN456" s="2682" t="s">
        <v>6290</v>
      </c>
      <c r="JO456" s="2682" t="s">
        <v>6290</v>
      </c>
      <c r="JP456" s="2682" t="s">
        <v>6290</v>
      </c>
      <c r="JQ456" s="2682" t="s">
        <v>6290</v>
      </c>
      <c r="JR456" s="2682" t="s">
        <v>6290</v>
      </c>
      <c r="JS456" s="2682" t="s">
        <v>6291</v>
      </c>
      <c r="JT456" s="2682" t="s">
        <v>6291</v>
      </c>
      <c r="JU456" s="2682" t="s">
        <v>6291</v>
      </c>
      <c r="JV456" s="2682" t="s">
        <v>6291</v>
      </c>
      <c r="JW456" s="2682" t="s">
        <v>6291</v>
      </c>
      <c r="JX456" s="2682" t="s">
        <v>6484</v>
      </c>
      <c r="JY456" s="2682" t="s">
        <v>6484</v>
      </c>
      <c r="JZ456" s="2682" t="s">
        <v>6484</v>
      </c>
      <c r="KA456" s="2682" t="s">
        <v>6484</v>
      </c>
      <c r="KB456" s="2682" t="s">
        <v>6484</v>
      </c>
      <c r="KC456" s="2682" t="s">
        <v>6649</v>
      </c>
      <c r="KD456" s="2682" t="s">
        <v>6649</v>
      </c>
      <c r="KE456" s="2682" t="s">
        <v>6649</v>
      </c>
      <c r="KF456" s="2682" t="s">
        <v>6649</v>
      </c>
      <c r="KG456" s="2682" t="s">
        <v>6649</v>
      </c>
      <c r="KH456" s="2682" t="s">
        <v>6650</v>
      </c>
      <c r="KI456" s="2682" t="s">
        <v>6650</v>
      </c>
      <c r="KJ456" s="2682" t="s">
        <v>6650</v>
      </c>
      <c r="KK456" s="2682" t="s">
        <v>6650</v>
      </c>
      <c r="KL456" s="2682" t="s">
        <v>6650</v>
      </c>
      <c r="KM456" s="2682" t="s">
        <v>6293</v>
      </c>
      <c r="KN456" s="2682" t="s">
        <v>6293</v>
      </c>
      <c r="KO456" s="2682" t="s">
        <v>6293</v>
      </c>
      <c r="KP456" s="2682" t="s">
        <v>6293</v>
      </c>
      <c r="KQ456" s="2682" t="s">
        <v>6293</v>
      </c>
      <c r="KR456" s="2682" t="s">
        <v>6485</v>
      </c>
      <c r="KS456" s="2682" t="s">
        <v>6485</v>
      </c>
      <c r="KT456" s="2682" t="s">
        <v>6485</v>
      </c>
      <c r="KU456" s="2682" t="s">
        <v>6485</v>
      </c>
      <c r="KV456" s="2682" t="s">
        <v>6485</v>
      </c>
      <c r="KW456" s="2682" t="s">
        <v>6651</v>
      </c>
      <c r="KX456" s="2682" t="s">
        <v>6651</v>
      </c>
      <c r="KY456" s="2682" t="s">
        <v>6651</v>
      </c>
      <c r="KZ456" s="2682" t="s">
        <v>6651</v>
      </c>
      <c r="LA456" s="2682" t="s">
        <v>6651</v>
      </c>
      <c r="LB456" s="2682" t="s">
        <v>6652</v>
      </c>
      <c r="LC456" s="2682" t="s">
        <v>6652</v>
      </c>
      <c r="LD456" s="2682" t="s">
        <v>6652</v>
      </c>
      <c r="LE456" s="2682" t="s">
        <v>6652</v>
      </c>
      <c r="LF456" s="2682" t="s">
        <v>6652</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c r="A457" s="2685"/>
      <c r="B457" s="2701" t="s">
        <v>3932</v>
      </c>
      <c r="C457" s="2687" t="s">
        <v>164</v>
      </c>
      <c r="D457" s="2687" t="s">
        <v>166</v>
      </c>
      <c r="E457" s="2687" t="s">
        <v>1383</v>
      </c>
      <c r="F457" s="2687" t="s">
        <v>1203</v>
      </c>
      <c r="G457" s="2693"/>
      <c r="H457" s="2687" t="s">
        <v>6093</v>
      </c>
      <c r="I457" s="2693"/>
      <c r="J457" s="2700"/>
      <c r="K457" s="2702" t="s">
        <v>334</v>
      </c>
      <c r="L457" s="2687" t="s">
        <v>1432</v>
      </c>
      <c r="M457" s="2687" t="s">
        <v>504</v>
      </c>
      <c r="N457" s="2687" t="s">
        <v>1382</v>
      </c>
      <c r="O457" s="2687" t="s">
        <v>6497</v>
      </c>
      <c r="P457" s="2703"/>
      <c r="Q457" s="2683"/>
      <c r="R457" s="2687" t="s">
        <v>1384</v>
      </c>
      <c r="S457" s="2687" t="s">
        <v>2456</v>
      </c>
      <c r="T457" s="361" t="s">
        <v>1711</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2298</v>
      </c>
      <c r="IB457" s="1884" t="s">
        <v>2298</v>
      </c>
      <c r="IC457" s="1884" t="s">
        <v>2298</v>
      </c>
      <c r="ID457" s="1884" t="s">
        <v>2298</v>
      </c>
      <c r="IE457" s="2682"/>
      <c r="IF457" s="2682"/>
      <c r="IG457" s="2682"/>
      <c r="IH457" s="2682"/>
      <c r="II457" s="2682"/>
      <c r="IJ457" s="2682"/>
      <c r="IK457" s="2682"/>
      <c r="IL457" s="2682"/>
      <c r="IM457" s="2682"/>
      <c r="IN457" s="2682"/>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5" customHeight="1">
      <c r="A458" s="2678" t="str">
        <f t="shared" ref="A458:A495" si="0">IF(AND(E458&gt;0,OR(B458="",C458="",D458="",F458="",G458="", H458="",I458="",N458="",O458="",P458="",Q458="")),1,"")</f>
        <v/>
      </c>
      <c r="B458" s="2497" t="str">
        <f>'Part V-Revenues &amp; Expenses'!B11</f>
        <v>N/A-CS</v>
      </c>
      <c r="C458" s="2498">
        <f>'Part V-Revenues &amp; Expenses'!C11</f>
        <v>0</v>
      </c>
      <c r="D458" s="2499">
        <f>'Part V-Revenues &amp; Expenses'!D11</f>
        <v>0</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f>'Part V-Revenues &amp; Expenses'!O11</f>
        <v>0</v>
      </c>
      <c r="P458" s="2573">
        <f>'Part V-Revenues &amp; Expenses'!P11</f>
        <v>0</v>
      </c>
      <c r="Q458" s="1895">
        <f>'Part V-Revenues &amp; Expenses'!Q11</f>
        <v>0</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6406</v>
      </c>
    </row>
    <row r="459" spans="1:380" ht="13.95" customHeight="1">
      <c r="A459" s="2678" t="str">
        <f t="shared" si="0"/>
        <v/>
      </c>
      <c r="B459" s="2497" t="str">
        <f>'Part V-Revenues &amp; Expenses'!B12</f>
        <v>N/A-CS</v>
      </c>
      <c r="C459" s="2498">
        <f>'Part V-Revenues &amp; Expenses'!C12</f>
        <v>0</v>
      </c>
      <c r="D459" s="2499">
        <f>'Part V-Revenues &amp; Expenses'!D12</f>
        <v>0</v>
      </c>
      <c r="E459" s="2500">
        <f>'Part V-Revenues &amp; Expenses'!E12</f>
        <v>0</v>
      </c>
      <c r="F459" s="2500">
        <f>'Part V-Revenues &amp; Expenses'!F12</f>
        <v>0</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f>'Part V-Revenues &amp; Expenses'!N12</f>
        <v>0</v>
      </c>
      <c r="O459" s="1320">
        <f>'Part V-Revenues &amp; Expenses'!O12</f>
        <v>0</v>
      </c>
      <c r="P459" s="2573">
        <f>'Part V-Revenues &amp; Expenses'!P12</f>
        <v>0</v>
      </c>
      <c r="Q459" s="1895">
        <f>'Part V-Revenues &amp; Expenses'!Q12</f>
        <v>0</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6407</v>
      </c>
    </row>
    <row r="460" spans="1:380" ht="13.95" customHeight="1">
      <c r="A460" s="2678" t="str">
        <f t="shared" si="0"/>
        <v/>
      </c>
      <c r="B460" s="2497" t="str">
        <f>'Part V-Revenues &amp; Expenses'!B13</f>
        <v>Unrestricted</v>
      </c>
      <c r="C460" s="2498">
        <f>'Part V-Revenues &amp; Expenses'!C13</f>
        <v>0</v>
      </c>
      <c r="D460" s="2499">
        <f>'Part V-Revenues &amp; Expenses'!D13</f>
        <v>0</v>
      </c>
      <c r="E460" s="2500">
        <f>'Part V-Revenues &amp; Expenses'!E13</f>
        <v>0</v>
      </c>
      <c r="F460" s="2500">
        <f>'Part V-Revenues &amp; Expenses'!F13</f>
        <v>0</v>
      </c>
      <c r="G460" s="2500">
        <f>'Part V-Revenues &amp; Expenses'!G13</f>
        <v>0</v>
      </c>
      <c r="H460" s="2500">
        <f>'Part V-Revenues &amp; Expenses'!H13</f>
        <v>0</v>
      </c>
      <c r="I460" s="2500">
        <f>'Part V-Revenues &amp; Expenses'!I13</f>
        <v>0</v>
      </c>
      <c r="J460" s="2500">
        <f>'Part V-Revenues &amp; Expenses'!J13</f>
        <v>0</v>
      </c>
      <c r="K460" s="2501">
        <f>'Part V-Revenues &amp; Expenses'!K13</f>
        <v>0</v>
      </c>
      <c r="L460" s="2502">
        <f t="shared" si="1"/>
        <v>0</v>
      </c>
      <c r="M460" s="2502">
        <f t="shared" si="2"/>
        <v>0</v>
      </c>
      <c r="N460" s="2573">
        <f>'Part V-Revenues &amp; Expenses'!N13</f>
        <v>0</v>
      </c>
      <c r="O460" s="1320">
        <f>'Part V-Revenues &amp; Expenses'!O13</f>
        <v>0</v>
      </c>
      <c r="P460" s="2573">
        <f>'Part V-Revenues &amp; Expenses'!P13</f>
        <v>0</v>
      </c>
      <c r="Q460" s="1895">
        <f>'Part V-Revenues &amp; Expenses'!Q13</f>
        <v>0</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6408</v>
      </c>
    </row>
    <row r="461" spans="1:380" ht="13.95" customHeight="1">
      <c r="A461" s="2678" t="str">
        <f t="shared" si="0"/>
        <v/>
      </c>
      <c r="B461" s="2497" t="str">
        <f>'Part V-Revenues &amp; Expenses'!B14</f>
        <v>Unrestricted</v>
      </c>
      <c r="C461" s="2498">
        <f>'Part V-Revenues &amp; Expenses'!C14</f>
        <v>0</v>
      </c>
      <c r="D461" s="2499">
        <f>'Part V-Revenues &amp; Expenses'!D14</f>
        <v>0</v>
      </c>
      <c r="E461" s="2500">
        <f>'Part V-Revenues &amp; Expenses'!E14</f>
        <v>0</v>
      </c>
      <c r="F461" s="2500">
        <f>'Part V-Revenues &amp; Expenses'!F14</f>
        <v>0</v>
      </c>
      <c r="G461" s="2500">
        <f>'Part V-Revenues &amp; Expenses'!G14</f>
        <v>0</v>
      </c>
      <c r="H461" s="2500">
        <f>'Part V-Revenues &amp; Expenses'!H14</f>
        <v>0</v>
      </c>
      <c r="I461" s="2500">
        <f>'Part V-Revenues &amp; Expenses'!I14</f>
        <v>0</v>
      </c>
      <c r="J461" s="2500">
        <f>'Part V-Revenues &amp; Expenses'!J14</f>
        <v>0</v>
      </c>
      <c r="K461" s="2501">
        <f>'Part V-Revenues &amp; Expenses'!K14</f>
        <v>0</v>
      </c>
      <c r="L461" s="2502">
        <f t="shared" si="1"/>
        <v>0</v>
      </c>
      <c r="M461" s="2502">
        <f t="shared" si="2"/>
        <v>0</v>
      </c>
      <c r="N461" s="2573">
        <f>'Part V-Revenues &amp; Expenses'!N14</f>
        <v>0</v>
      </c>
      <c r="O461" s="1320">
        <f>'Part V-Revenues &amp; Expenses'!O14</f>
        <v>0</v>
      </c>
      <c r="P461" s="2573">
        <f>'Part V-Revenues &amp; Expenses'!P14</f>
        <v>0</v>
      </c>
      <c r="Q461" s="1895">
        <f>'Part V-Revenues &amp; Expenses'!Q14</f>
        <v>0</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6409</v>
      </c>
    </row>
    <row r="462" spans="1:380" ht="13.95" customHeight="1">
      <c r="A462" s="2678" t="str">
        <f t="shared" si="0"/>
        <v/>
      </c>
      <c r="B462" s="2497" t="str">
        <f>'Part V-Revenues &amp; Expenses'!B15</f>
        <v>Unrestricted</v>
      </c>
      <c r="C462" s="2498">
        <f>'Part V-Revenues &amp; Expenses'!C15</f>
        <v>0</v>
      </c>
      <c r="D462" s="2499">
        <f>'Part V-Revenues &amp; Expenses'!D15</f>
        <v>0</v>
      </c>
      <c r="E462" s="2500">
        <f>'Part V-Revenues &amp; Expenses'!E15</f>
        <v>0</v>
      </c>
      <c r="F462" s="2500">
        <f>'Part V-Revenues &amp; Expenses'!F15</f>
        <v>0</v>
      </c>
      <c r="G462" s="2500">
        <f>'Part V-Revenues &amp; Expenses'!G15</f>
        <v>0</v>
      </c>
      <c r="H462" s="2500">
        <f>'Part V-Revenues &amp; Expenses'!H15</f>
        <v>0</v>
      </c>
      <c r="I462" s="2500">
        <f>'Part V-Revenues &amp; Expenses'!I15</f>
        <v>0</v>
      </c>
      <c r="J462" s="2500">
        <f>'Part V-Revenues &amp; Expenses'!J15</f>
        <v>0</v>
      </c>
      <c r="K462" s="2501">
        <f>'Part V-Revenues &amp; Expenses'!K15</f>
        <v>0</v>
      </c>
      <c r="L462" s="2502">
        <f t="shared" si="1"/>
        <v>0</v>
      </c>
      <c r="M462" s="2502">
        <f t="shared" si="2"/>
        <v>0</v>
      </c>
      <c r="N462" s="2573">
        <f>'Part V-Revenues &amp; Expenses'!N15</f>
        <v>0</v>
      </c>
      <c r="O462" s="1320">
        <f>'Part V-Revenues &amp; Expenses'!O15</f>
        <v>0</v>
      </c>
      <c r="P462" s="2573">
        <f>'Part V-Revenues &amp; Expenses'!P15</f>
        <v>0</v>
      </c>
      <c r="Q462" s="1895">
        <f>'Part V-Revenues &amp; Expenses'!Q15</f>
        <v>0</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6410</v>
      </c>
    </row>
    <row r="463" spans="1:380" ht="13.95" customHeight="1">
      <c r="A463" s="2678" t="str">
        <f t="shared" si="0"/>
        <v/>
      </c>
      <c r="B463" s="2497" t="str">
        <f>'Part V-Revenues &amp; Expenses'!B16</f>
        <v>Unrestricted</v>
      </c>
      <c r="C463" s="2498">
        <f>'Part V-Revenues &amp; Expenses'!C16</f>
        <v>0</v>
      </c>
      <c r="D463" s="2499">
        <f>'Part V-Revenues &amp; Expenses'!D16</f>
        <v>0</v>
      </c>
      <c r="E463" s="2500">
        <f>'Part V-Revenues &amp; Expenses'!E16</f>
        <v>0</v>
      </c>
      <c r="F463" s="2500">
        <f>'Part V-Revenues &amp; Expenses'!F16</f>
        <v>0</v>
      </c>
      <c r="G463" s="2500">
        <f>'Part V-Revenues &amp; Expenses'!G16</f>
        <v>0</v>
      </c>
      <c r="H463" s="2500">
        <f>'Part V-Revenues &amp; Expenses'!H16</f>
        <v>0</v>
      </c>
      <c r="I463" s="2500">
        <f>'Part V-Revenues &amp; Expenses'!I16</f>
        <v>0</v>
      </c>
      <c r="J463" s="2500">
        <f>'Part V-Revenues &amp; Expenses'!J16</f>
        <v>0</v>
      </c>
      <c r="K463" s="2501">
        <f>'Part V-Revenues &amp; Expenses'!K16</f>
        <v>0</v>
      </c>
      <c r="L463" s="2502">
        <f t="shared" si="1"/>
        <v>0</v>
      </c>
      <c r="M463" s="2502">
        <f t="shared" si="2"/>
        <v>0</v>
      </c>
      <c r="N463" s="2573">
        <f>'Part V-Revenues &amp; Expenses'!N16</f>
        <v>0</v>
      </c>
      <c r="O463" s="1320">
        <f>'Part V-Revenues &amp; Expenses'!O16</f>
        <v>0</v>
      </c>
      <c r="P463" s="2573">
        <f>'Part V-Revenues &amp; Expenses'!P16</f>
        <v>0</v>
      </c>
      <c r="Q463" s="1895">
        <f>'Part V-Revenues &amp; Expenses'!Q16</f>
        <v>0</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6411</v>
      </c>
    </row>
    <row r="464" spans="1:380" ht="13.95" customHeight="1">
      <c r="A464" s="2678" t="str">
        <f t="shared" si="0"/>
        <v/>
      </c>
      <c r="B464" s="2497" t="str">
        <f>'Part V-Revenues &amp; Expenses'!B17</f>
        <v>Unrestricted</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6412</v>
      </c>
    </row>
    <row r="465" spans="1:380" ht="13.95" customHeight="1">
      <c r="A465" s="2678" t="str">
        <f t="shared" si="0"/>
        <v/>
      </c>
      <c r="B465" s="2497">
        <f>'Part V-Revenues &amp; Expenses'!B18</f>
        <v>60</v>
      </c>
      <c r="C465" s="2498">
        <f>'Part V-Revenues &amp; Expenses'!C18</f>
        <v>1</v>
      </c>
      <c r="D465" s="2499">
        <f>'Part V-Revenues &amp; Expenses'!D18</f>
        <v>1</v>
      </c>
      <c r="E465" s="2500">
        <f>'Part V-Revenues &amp; Expenses'!E18</f>
        <v>13</v>
      </c>
      <c r="F465" s="2500">
        <f>'Part V-Revenues &amp; Expenses'!F18</f>
        <v>612</v>
      </c>
      <c r="G465" s="2500">
        <f>'Part V-Revenues &amp; Expenses'!G18</f>
        <v>731</v>
      </c>
      <c r="H465" s="2500">
        <f>'Part V-Revenues &amp; Expenses'!H18</f>
        <v>668</v>
      </c>
      <c r="I465" s="2500">
        <f>'Part V-Revenues &amp; Expenses'!I18</f>
        <v>0</v>
      </c>
      <c r="J465" s="2500">
        <f>'Part V-Revenues &amp; Expenses'!J18</f>
        <v>151</v>
      </c>
      <c r="K465" s="2501" t="str">
        <f>'Part V-Revenues &amp; Expenses'!K18</f>
        <v>USDA</v>
      </c>
      <c r="L465" s="2502">
        <f t="shared" si="1"/>
        <v>517</v>
      </c>
      <c r="M465" s="2502">
        <f t="shared" si="2"/>
        <v>6721</v>
      </c>
      <c r="N465" s="2573" t="str">
        <f>'Part V-Revenues &amp; Expenses'!N18</f>
        <v>No</v>
      </c>
      <c r="O465" s="1320" t="str">
        <f>'Part V-Revenues &amp; Expenses'!O18</f>
        <v>Low-Rise Apt</v>
      </c>
      <c r="P465" s="2573" t="str">
        <f>'Part V-Revenues &amp; Expenses'!P18</f>
        <v>Acquisition/Rehab</v>
      </c>
      <c r="Q465" s="1895" t="str">
        <f>'Part V-Revenues &amp; Expenses'!Q18</f>
        <v>No</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f t="shared" si="14"/>
        <v>13</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f t="shared" si="64"/>
        <v>13</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f t="shared" si="129"/>
        <v>7956</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f t="shared" si="159"/>
        <v>7956</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f t="shared" si="184"/>
        <v>13</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13</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f t="shared" si="259"/>
        <v>13</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13</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6413</v>
      </c>
    </row>
    <row r="466" spans="1:380" ht="13.95" customHeight="1">
      <c r="A466" s="2678" t="str">
        <f t="shared" si="0"/>
        <v/>
      </c>
      <c r="B466" s="2497">
        <f>'Part V-Revenues &amp; Expenses'!B19</f>
        <v>60</v>
      </c>
      <c r="C466" s="2498">
        <f>'Part V-Revenues &amp; Expenses'!C19</f>
        <v>2</v>
      </c>
      <c r="D466" s="2499">
        <f>'Part V-Revenues &amp; Expenses'!D19</f>
        <v>1</v>
      </c>
      <c r="E466" s="2500">
        <f>'Part V-Revenues &amp; Expenses'!E19</f>
        <v>2</v>
      </c>
      <c r="F466" s="2500">
        <f>'Part V-Revenues &amp; Expenses'!F19</f>
        <v>755</v>
      </c>
      <c r="G466" s="2500">
        <f>'Part V-Revenues &amp; Expenses'!G19</f>
        <v>877</v>
      </c>
      <c r="H466" s="2500">
        <f>'Part V-Revenues &amp; Expenses'!H19</f>
        <v>804</v>
      </c>
      <c r="I466" s="2500">
        <f>'Part V-Revenues &amp; Expenses'!I19</f>
        <v>0</v>
      </c>
      <c r="J466" s="2500">
        <f>'Part V-Revenues &amp; Expenses'!J19</f>
        <v>194</v>
      </c>
      <c r="K466" s="2501" t="str">
        <f>'Part V-Revenues &amp; Expenses'!K19</f>
        <v>USDA</v>
      </c>
      <c r="L466" s="2502">
        <f t="shared" si="1"/>
        <v>610</v>
      </c>
      <c r="M466" s="2502">
        <f t="shared" si="2"/>
        <v>1220</v>
      </c>
      <c r="N466" s="2573" t="str">
        <f>'Part V-Revenues &amp; Expenses'!N19</f>
        <v>No</v>
      </c>
      <c r="O466" s="1320" t="str">
        <f>'Part V-Revenues &amp; Expenses'!O19</f>
        <v>Low-Rise Apt</v>
      </c>
      <c r="P466" s="2573" t="str">
        <f>'Part V-Revenues &amp; Expenses'!P19</f>
        <v>Acquisition/Rehab</v>
      </c>
      <c r="Q466" s="1895" t="str">
        <f>'Part V-Revenues &amp; Expenses'!Q19</f>
        <v>No</v>
      </c>
      <c r="R466" s="2704"/>
      <c r="S466" s="2705"/>
      <c r="T466" s="2706"/>
      <c r="U466" s="2706"/>
      <c r="V466" s="2706"/>
      <c r="W466" s="2706"/>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f t="shared" si="15"/>
        <v>2</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f t="shared" si="65"/>
        <v>2</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f t="shared" si="130"/>
        <v>1510</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f t="shared" si="160"/>
        <v>1510</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f t="shared" si="185"/>
        <v>2</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f t="shared" si="215"/>
        <v>2</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f t="shared" si="260"/>
        <v>2</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2</v>
      </c>
      <c r="MI466" s="1748">
        <f t="shared" si="326"/>
        <v>0</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6414</v>
      </c>
    </row>
    <row r="467" spans="1:380" ht="13.95" customHeight="1">
      <c r="A467" s="2678" t="str">
        <f t="shared" si="0"/>
        <v/>
      </c>
      <c r="B467" s="2497">
        <f>'Part V-Revenues &amp; Expenses'!B20</f>
        <v>60</v>
      </c>
      <c r="C467" s="2498">
        <f>'Part V-Revenues &amp; Expenses'!C20</f>
        <v>2</v>
      </c>
      <c r="D467" s="2499">
        <f>'Part V-Revenues &amp; Expenses'!D20</f>
        <v>1</v>
      </c>
      <c r="E467" s="2500">
        <f>'Part V-Revenues &amp; Expenses'!E20</f>
        <v>17</v>
      </c>
      <c r="F467" s="2500">
        <f>'Part V-Revenues &amp; Expenses'!F20</f>
        <v>771</v>
      </c>
      <c r="G467" s="2500">
        <f>'Part V-Revenues &amp; Expenses'!G20</f>
        <v>877</v>
      </c>
      <c r="H467" s="2500">
        <f>'Part V-Revenues &amp; Expenses'!H20</f>
        <v>804</v>
      </c>
      <c r="I467" s="2500">
        <f>'Part V-Revenues &amp; Expenses'!I20</f>
        <v>0</v>
      </c>
      <c r="J467" s="2500">
        <f>'Part V-Revenues &amp; Expenses'!J20</f>
        <v>194</v>
      </c>
      <c r="K467" s="2501" t="str">
        <f>'Part V-Revenues &amp; Expenses'!K20</f>
        <v>USDA</v>
      </c>
      <c r="L467" s="2502">
        <f t="shared" si="1"/>
        <v>610</v>
      </c>
      <c r="M467" s="2502">
        <f t="shared" si="2"/>
        <v>10370</v>
      </c>
      <c r="N467" s="2573" t="str">
        <f>'Part V-Revenues &amp; Expenses'!N20</f>
        <v>No</v>
      </c>
      <c r="O467" s="1320" t="str">
        <f>'Part V-Revenues &amp; Expenses'!O20</f>
        <v>Low-Rise Apt</v>
      </c>
      <c r="P467" s="2573" t="str">
        <f>'Part V-Revenues &amp; Expenses'!P20</f>
        <v>Acquisition/Rehab</v>
      </c>
      <c r="Q467" s="1895" t="str">
        <f>'Part V-Revenues &amp; Expenses'!Q20</f>
        <v>No</v>
      </c>
      <c r="R467" s="2704"/>
      <c r="S467" s="2705"/>
      <c r="T467" s="2706"/>
      <c r="U467" s="2706"/>
      <c r="V467" s="2706"/>
      <c r="W467" s="2706"/>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f t="shared" si="15"/>
        <v>17</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f t="shared" si="65"/>
        <v>17</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f t="shared" si="130"/>
        <v>13107</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f t="shared" si="160"/>
        <v>13107</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f t="shared" si="185"/>
        <v>17</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f t="shared" si="215"/>
        <v>17</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f t="shared" si="260"/>
        <v>17</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17</v>
      </c>
      <c r="MI467" s="1748">
        <f t="shared" si="326"/>
        <v>0</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6415</v>
      </c>
    </row>
    <row r="468" spans="1:380" ht="13.95" customHeight="1">
      <c r="A468" s="2678" t="str">
        <f t="shared" si="0"/>
        <v/>
      </c>
      <c r="B468" s="2497">
        <f>'Part V-Revenues &amp; Expenses'!B21</f>
        <v>60</v>
      </c>
      <c r="C468" s="2498">
        <f>'Part V-Revenues &amp; Expenses'!C21</f>
        <v>3</v>
      </c>
      <c r="D468" s="2499">
        <f>'Part V-Revenues &amp; Expenses'!D21</f>
        <v>1</v>
      </c>
      <c r="E468" s="2500">
        <f>'Part V-Revenues &amp; Expenses'!E21</f>
        <v>4</v>
      </c>
      <c r="F468" s="2500">
        <f>'Part V-Revenues &amp; Expenses'!F21</f>
        <v>918</v>
      </c>
      <c r="G468" s="2500">
        <f>'Part V-Revenues &amp; Expenses'!G21</f>
        <v>1014</v>
      </c>
      <c r="H468" s="2500">
        <f>'Part V-Revenues &amp; Expenses'!H21</f>
        <v>930</v>
      </c>
      <c r="I468" s="2500">
        <f>'Part V-Revenues &amp; Expenses'!I21</f>
        <v>0</v>
      </c>
      <c r="J468" s="2500">
        <f>'Part V-Revenues &amp; Expenses'!J21</f>
        <v>225</v>
      </c>
      <c r="K468" s="2501" t="str">
        <f>'Part V-Revenues &amp; Expenses'!K21</f>
        <v>USDA</v>
      </c>
      <c r="L468" s="2502">
        <f t="shared" si="1"/>
        <v>705</v>
      </c>
      <c r="M468" s="2502">
        <f t="shared" si="2"/>
        <v>2820</v>
      </c>
      <c r="N468" s="2573" t="str">
        <f>'Part V-Revenues &amp; Expenses'!N21</f>
        <v>No</v>
      </c>
      <c r="O468" s="1320" t="str">
        <f>'Part V-Revenues &amp; Expenses'!O21</f>
        <v>Low-Rise Apt</v>
      </c>
      <c r="P468" s="2573" t="str">
        <f>'Part V-Revenues &amp; Expenses'!P21</f>
        <v>Acquisition/Rehab</v>
      </c>
      <c r="Q468" s="1895" t="str">
        <f>'Part V-Revenues &amp; Expenses'!Q21</f>
        <v>No</v>
      </c>
      <c r="R468" s="2704"/>
      <c r="S468" s="2705"/>
      <c r="T468" s="2706"/>
      <c r="U468" s="2706"/>
      <c r="V468" s="2706"/>
      <c r="W468" s="2706"/>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f t="shared" si="16"/>
        <v>4</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f t="shared" si="66"/>
        <v>4</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f t="shared" si="131"/>
        <v>3672</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f t="shared" si="161"/>
        <v>3672</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f t="shared" si="186"/>
        <v>4</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t="str">
        <f t="shared" si="215"/>
        <v/>
      </c>
      <c r="IC468" s="1896">
        <f t="shared" si="216"/>
        <v>4</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f t="shared" si="261"/>
        <v>4</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4</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6416</v>
      </c>
    </row>
    <row r="469" spans="1:380" ht="13.95" customHeight="1">
      <c r="A469" s="2678" t="str">
        <f t="shared" si="0"/>
        <v/>
      </c>
      <c r="B469" s="2497">
        <f>'Part V-Revenues &amp; Expenses'!B22</f>
        <v>60</v>
      </c>
      <c r="C469" s="2498">
        <f>'Part V-Revenues &amp; Expenses'!C22</f>
        <v>1</v>
      </c>
      <c r="D469" s="2499">
        <f>'Part V-Revenues &amp; Expenses'!D22</f>
        <v>1</v>
      </c>
      <c r="E469" s="2500">
        <f>'Part V-Revenues &amp; Expenses'!E22</f>
        <v>1</v>
      </c>
      <c r="F469" s="2500">
        <f>'Part V-Revenues &amp; Expenses'!F22</f>
        <v>612</v>
      </c>
      <c r="G469" s="2500">
        <f>'Part V-Revenues &amp; Expenses'!G22</f>
        <v>731</v>
      </c>
      <c r="H469" s="2500">
        <f>'Part V-Revenues &amp; Expenses'!H22</f>
        <v>668</v>
      </c>
      <c r="I469" s="2500">
        <f>'Part V-Revenues &amp; Expenses'!I22</f>
        <v>0</v>
      </c>
      <c r="J469" s="2500">
        <f>'Part V-Revenues &amp; Expenses'!J22</f>
        <v>151</v>
      </c>
      <c r="K469" s="2501">
        <f>'Part V-Revenues &amp; Expenses'!K22</f>
        <v>0</v>
      </c>
      <c r="L469" s="2502">
        <f t="shared" si="1"/>
        <v>517</v>
      </c>
      <c r="M469" s="2502">
        <f t="shared" si="2"/>
        <v>517</v>
      </c>
      <c r="N469" s="2573" t="str">
        <f>'Part V-Revenues &amp; Expenses'!N22</f>
        <v>No</v>
      </c>
      <c r="O469" s="1320" t="str">
        <f>'Part V-Revenues &amp; Expenses'!O22</f>
        <v>Low-Rise Apt</v>
      </c>
      <c r="P469" s="2573" t="str">
        <f>'Part V-Revenues &amp; Expenses'!P22</f>
        <v>Acquisition/Rehab</v>
      </c>
      <c r="Q469" s="1895" t="str">
        <f>'Part V-Revenues &amp; Expenses'!Q22</f>
        <v>No</v>
      </c>
      <c r="R469" s="2704"/>
      <c r="S469" s="2705"/>
      <c r="T469" s="2706"/>
      <c r="U469" s="2706"/>
      <c r="V469" s="2706"/>
      <c r="W469" s="2706"/>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f t="shared" si="14"/>
        <v>1</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f t="shared" si="129"/>
        <v>612</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f t="shared" si="184"/>
        <v>1</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f t="shared" si="214"/>
        <v>1</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f t="shared" si="259"/>
        <v>1</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1</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6417</v>
      </c>
    </row>
    <row r="470" spans="1:380" ht="13.95" customHeight="1">
      <c r="A470" s="2678" t="str">
        <f t="shared" si="0"/>
        <v/>
      </c>
      <c r="B470" s="2497">
        <f>'Part V-Revenues &amp; Expenses'!B23</f>
        <v>60</v>
      </c>
      <c r="C470" s="2498">
        <f>'Part V-Revenues &amp; Expenses'!C23</f>
        <v>2</v>
      </c>
      <c r="D470" s="2499">
        <f>'Part V-Revenues &amp; Expenses'!D23</f>
        <v>1</v>
      </c>
      <c r="E470" s="2500">
        <f>'Part V-Revenues &amp; Expenses'!E23</f>
        <v>3</v>
      </c>
      <c r="F470" s="2500">
        <f>'Part V-Revenues &amp; Expenses'!F23</f>
        <v>771</v>
      </c>
      <c r="G470" s="2500">
        <f>'Part V-Revenues &amp; Expenses'!G23</f>
        <v>877</v>
      </c>
      <c r="H470" s="2500">
        <f>'Part V-Revenues &amp; Expenses'!H23</f>
        <v>804</v>
      </c>
      <c r="I470" s="2500">
        <f>'Part V-Revenues &amp; Expenses'!I23</f>
        <v>0</v>
      </c>
      <c r="J470" s="2500">
        <f>'Part V-Revenues &amp; Expenses'!J23</f>
        <v>194</v>
      </c>
      <c r="K470" s="2501">
        <f>'Part V-Revenues &amp; Expenses'!K23</f>
        <v>0</v>
      </c>
      <c r="L470" s="2502">
        <f t="shared" si="1"/>
        <v>610</v>
      </c>
      <c r="M470" s="2502">
        <f t="shared" si="2"/>
        <v>1830</v>
      </c>
      <c r="N470" s="2573" t="str">
        <f>'Part V-Revenues &amp; Expenses'!N23</f>
        <v>No</v>
      </c>
      <c r="O470" s="1320" t="str">
        <f>'Part V-Revenues &amp; Expenses'!O23</f>
        <v>Low-Rise Apt</v>
      </c>
      <c r="P470" s="2573" t="str">
        <f>'Part V-Revenues &amp; Expenses'!P23</f>
        <v>Acquisition/Rehab</v>
      </c>
      <c r="Q470" s="1895" t="str">
        <f>'Part V-Revenues &amp; Expenses'!Q23</f>
        <v>No</v>
      </c>
      <c r="R470" s="2704"/>
      <c r="S470" s="2705"/>
      <c r="T470" s="2706"/>
      <c r="U470" s="2706"/>
      <c r="V470" s="2706"/>
      <c r="W470" s="2706"/>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f t="shared" si="15"/>
        <v>3</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f t="shared" si="130"/>
        <v>2313</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f t="shared" si="185"/>
        <v>3</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f t="shared" si="215"/>
        <v>3</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f t="shared" si="260"/>
        <v>3</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3</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6418</v>
      </c>
    </row>
    <row r="471" spans="1:380" ht="13.95" customHeight="1">
      <c r="A471" s="2678" t="str">
        <f t="shared" si="0"/>
        <v/>
      </c>
      <c r="B471" s="2497">
        <f>'Part V-Revenues &amp; Expenses'!B24</f>
        <v>0</v>
      </c>
      <c r="C471" s="2498">
        <f>'Part V-Revenues &amp; Expenses'!C24</f>
        <v>0</v>
      </c>
      <c r="D471" s="2499">
        <f>'Part V-Revenues &amp; Expenses'!D24</f>
        <v>0</v>
      </c>
      <c r="E471" s="2500">
        <f>'Part V-Revenues &amp; Expenses'!E24</f>
        <v>0</v>
      </c>
      <c r="F471" s="2500">
        <f>'Part V-Revenues &amp; Expenses'!F24</f>
        <v>0</v>
      </c>
      <c r="G471" s="2500">
        <f>'Part V-Revenues &amp; Expenses'!G24</f>
        <v>0</v>
      </c>
      <c r="H471" s="2500">
        <f>'Part V-Revenues &amp; Expenses'!H24</f>
        <v>0</v>
      </c>
      <c r="I471" s="2500">
        <f>'Part V-Revenues &amp; Expenses'!I24</f>
        <v>0</v>
      </c>
      <c r="J471" s="2500">
        <f>'Part V-Revenues &amp; Expenses'!J24</f>
        <v>0</v>
      </c>
      <c r="K471" s="2501">
        <f>'Part V-Revenues &amp; Expenses'!K24</f>
        <v>0</v>
      </c>
      <c r="L471" s="2502">
        <f t="shared" si="1"/>
        <v>0</v>
      </c>
      <c r="M471" s="2502">
        <f t="shared" si="2"/>
        <v>0</v>
      </c>
      <c r="N471" s="2573">
        <f>'Part V-Revenues &amp; Expenses'!N24</f>
        <v>0</v>
      </c>
      <c r="O471" s="1320">
        <f>'Part V-Revenues &amp; Expenses'!O24</f>
        <v>0</v>
      </c>
      <c r="P471" s="2573">
        <f>'Part V-Revenues &amp; Expenses'!P24</f>
        <v>0</v>
      </c>
      <c r="Q471" s="1895">
        <f>'Part V-Revenues &amp; Expenses'!Q24</f>
        <v>0</v>
      </c>
      <c r="R471" s="2704"/>
      <c r="S471" s="2705"/>
      <c r="T471" s="2706"/>
      <c r="U471" s="2706"/>
      <c r="V471" s="2706"/>
      <c r="W471" s="2706"/>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6419</v>
      </c>
    </row>
    <row r="472" spans="1:380" ht="13.95" customHeight="1">
      <c r="A472" s="2678" t="str">
        <f t="shared" si="0"/>
        <v/>
      </c>
      <c r="B472" s="2497">
        <f>'Part V-Revenues &amp; Expenses'!B25</f>
        <v>0</v>
      </c>
      <c r="C472" s="2498">
        <f>'Part V-Revenues &amp; Expenses'!C25</f>
        <v>0</v>
      </c>
      <c r="D472" s="2499">
        <f>'Part V-Revenues &amp; Expenses'!D25</f>
        <v>0</v>
      </c>
      <c r="E472" s="2500">
        <f>'Part V-Revenues &amp; Expenses'!E25</f>
        <v>0</v>
      </c>
      <c r="F472" s="2500">
        <f>'Part V-Revenues &amp; Expenses'!F25</f>
        <v>0</v>
      </c>
      <c r="G472" s="2500">
        <f>'Part V-Revenues &amp; Expenses'!G25</f>
        <v>0</v>
      </c>
      <c r="H472" s="2500">
        <f>'Part V-Revenues &amp; Expenses'!H25</f>
        <v>0</v>
      </c>
      <c r="I472" s="2500">
        <f>'Part V-Revenues &amp; Expenses'!I25</f>
        <v>0</v>
      </c>
      <c r="J472" s="2500">
        <f>'Part V-Revenues &amp; Expenses'!J25</f>
        <v>0</v>
      </c>
      <c r="K472" s="2501">
        <f>'Part V-Revenues &amp; Expenses'!K25</f>
        <v>0</v>
      </c>
      <c r="L472" s="2502">
        <f t="shared" si="1"/>
        <v>0</v>
      </c>
      <c r="M472" s="2502">
        <f t="shared" si="2"/>
        <v>0</v>
      </c>
      <c r="N472" s="2573">
        <f>'Part V-Revenues &amp; Expenses'!N25</f>
        <v>0</v>
      </c>
      <c r="O472" s="1320">
        <f>'Part V-Revenues &amp; Expenses'!O25</f>
        <v>0</v>
      </c>
      <c r="P472" s="2573">
        <f>'Part V-Revenues &amp; Expenses'!P25</f>
        <v>0</v>
      </c>
      <c r="Q472" s="1895">
        <f>'Part V-Revenues &amp; Expenses'!Q25</f>
        <v>0</v>
      </c>
      <c r="R472" s="2704"/>
      <c r="S472" s="2705"/>
      <c r="T472" s="2706"/>
      <c r="U472" s="2706"/>
      <c r="V472" s="2706"/>
      <c r="W472" s="2706"/>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6420</v>
      </c>
    </row>
    <row r="473" spans="1:380" ht="13.95" customHeight="1">
      <c r="A473" s="2678" t="str">
        <f t="shared" si="0"/>
        <v/>
      </c>
      <c r="B473" s="2497">
        <f>'Part V-Revenues &amp; Expenses'!B26</f>
        <v>0</v>
      </c>
      <c r="C473" s="2498">
        <f>'Part V-Revenues &amp; Expenses'!C26</f>
        <v>0</v>
      </c>
      <c r="D473" s="2499">
        <f>'Part V-Revenues &amp; Expenses'!D26</f>
        <v>0</v>
      </c>
      <c r="E473" s="2500">
        <f>'Part V-Revenues &amp; Expenses'!E26</f>
        <v>0</v>
      </c>
      <c r="F473" s="2500">
        <f>'Part V-Revenues &amp; Expenses'!F26</f>
        <v>0</v>
      </c>
      <c r="G473" s="2500">
        <f>'Part V-Revenues &amp; Expenses'!G26</f>
        <v>0</v>
      </c>
      <c r="H473" s="2500">
        <f>'Part V-Revenues &amp; Expenses'!H26</f>
        <v>0</v>
      </c>
      <c r="I473" s="2500">
        <f>'Part V-Revenues &amp; Expenses'!I26</f>
        <v>0</v>
      </c>
      <c r="J473" s="2500">
        <f>'Part V-Revenues &amp; Expenses'!J26</f>
        <v>0</v>
      </c>
      <c r="K473" s="2501">
        <f>'Part V-Revenues &amp; Expenses'!K26</f>
        <v>0</v>
      </c>
      <c r="L473" s="2502">
        <f t="shared" si="1"/>
        <v>0</v>
      </c>
      <c r="M473" s="2502">
        <f t="shared" si="2"/>
        <v>0</v>
      </c>
      <c r="N473" s="2573">
        <f>'Part V-Revenues &amp; Expenses'!N26</f>
        <v>0</v>
      </c>
      <c r="O473" s="1320">
        <f>'Part V-Revenues &amp; Expenses'!O26</f>
        <v>0</v>
      </c>
      <c r="P473" s="2573">
        <f>'Part V-Revenues &amp; Expenses'!P26</f>
        <v>0</v>
      </c>
      <c r="Q473" s="1895">
        <f>'Part V-Revenues &amp; Expenses'!Q26</f>
        <v>0</v>
      </c>
      <c r="R473" s="2704"/>
      <c r="S473" s="2705"/>
      <c r="T473" s="2706"/>
      <c r="U473" s="2706"/>
      <c r="V473" s="2706"/>
      <c r="W473" s="2706"/>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6421</v>
      </c>
    </row>
    <row r="474" spans="1:380" ht="13.95" customHeight="1">
      <c r="A474" s="2678" t="str">
        <f t="shared" si="0"/>
        <v/>
      </c>
      <c r="B474" s="2497">
        <f>'Part V-Revenues &amp; Expenses'!B27</f>
        <v>0</v>
      </c>
      <c r="C474" s="2498">
        <f>'Part V-Revenues &amp; Expenses'!C27</f>
        <v>0</v>
      </c>
      <c r="D474" s="2499">
        <f>'Part V-Revenues &amp; Expenses'!D27</f>
        <v>0</v>
      </c>
      <c r="E474" s="2500">
        <f>'Part V-Revenues &amp; Expenses'!E27</f>
        <v>0</v>
      </c>
      <c r="F474" s="2500">
        <f>'Part V-Revenues &amp; Expenses'!F27</f>
        <v>0</v>
      </c>
      <c r="G474" s="2500">
        <f>'Part V-Revenues &amp; Expenses'!G27</f>
        <v>0</v>
      </c>
      <c r="H474" s="2500">
        <f>'Part V-Revenues &amp; Expenses'!H27</f>
        <v>0</v>
      </c>
      <c r="I474" s="2500">
        <f>'Part V-Revenues &amp; Expenses'!I27</f>
        <v>0</v>
      </c>
      <c r="J474" s="2500">
        <f>'Part V-Revenues &amp; Expenses'!J27</f>
        <v>0</v>
      </c>
      <c r="K474" s="2501">
        <f>'Part V-Revenues &amp; Expenses'!K27</f>
        <v>0</v>
      </c>
      <c r="L474" s="2502">
        <f t="shared" si="1"/>
        <v>0</v>
      </c>
      <c r="M474" s="2502">
        <f t="shared" si="2"/>
        <v>0</v>
      </c>
      <c r="N474" s="2573">
        <f>'Part V-Revenues &amp; Expenses'!N27</f>
        <v>0</v>
      </c>
      <c r="O474" s="1320">
        <f>'Part V-Revenues &amp; Expenses'!O27</f>
        <v>0</v>
      </c>
      <c r="P474" s="2573">
        <f>'Part V-Revenues &amp; Expenses'!P27</f>
        <v>0</v>
      </c>
      <c r="Q474" s="1895">
        <f>'Part V-Revenues &amp; Expenses'!Q27</f>
        <v>0</v>
      </c>
      <c r="R474" s="2704"/>
      <c r="S474" s="2705"/>
      <c r="T474" s="2706"/>
      <c r="U474" s="2706"/>
      <c r="V474" s="2706"/>
      <c r="W474" s="2706"/>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6422</v>
      </c>
    </row>
    <row r="475" spans="1:380" ht="13.95" customHeight="1">
      <c r="A475" s="2678" t="str">
        <f t="shared" si="0"/>
        <v/>
      </c>
      <c r="B475" s="2497">
        <f>'Part V-Revenues &amp; Expenses'!B28</f>
        <v>0</v>
      </c>
      <c r="C475" s="2498">
        <f>'Part V-Revenues &amp; Expenses'!C28</f>
        <v>0</v>
      </c>
      <c r="D475" s="2499">
        <f>'Part V-Revenues &amp; Expenses'!D28</f>
        <v>0</v>
      </c>
      <c r="E475" s="2500">
        <f>'Part V-Revenues &amp; Expenses'!E28</f>
        <v>0</v>
      </c>
      <c r="F475" s="2500">
        <f>'Part V-Revenues &amp; Expenses'!F28</f>
        <v>0</v>
      </c>
      <c r="G475" s="2500">
        <f>'Part V-Revenues &amp; Expenses'!G28</f>
        <v>0</v>
      </c>
      <c r="H475" s="2500">
        <f>'Part V-Revenues &amp; Expenses'!H28</f>
        <v>0</v>
      </c>
      <c r="I475" s="2500">
        <f>'Part V-Revenues &amp; Expenses'!I28</f>
        <v>0</v>
      </c>
      <c r="J475" s="2500">
        <f>'Part V-Revenues &amp; Expenses'!J28</f>
        <v>0</v>
      </c>
      <c r="K475" s="2501">
        <f>'Part V-Revenues &amp; Expenses'!K28</f>
        <v>0</v>
      </c>
      <c r="L475" s="2502">
        <f t="shared" si="1"/>
        <v>0</v>
      </c>
      <c r="M475" s="2502">
        <f t="shared" si="2"/>
        <v>0</v>
      </c>
      <c r="N475" s="2573">
        <f>'Part V-Revenues &amp; Expenses'!N28</f>
        <v>0</v>
      </c>
      <c r="O475" s="1320">
        <f>'Part V-Revenues &amp; Expenses'!O28</f>
        <v>0</v>
      </c>
      <c r="P475" s="2573">
        <f>'Part V-Revenues &amp; Expenses'!P28</f>
        <v>0</v>
      </c>
      <c r="Q475" s="1895">
        <f>'Part V-Revenues &amp; Expenses'!Q28</f>
        <v>0</v>
      </c>
      <c r="R475" s="2704"/>
      <c r="S475" s="2705"/>
      <c r="T475" s="2706"/>
      <c r="U475" s="2706"/>
      <c r="V475" s="2706"/>
      <c r="W475" s="2706"/>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6423</v>
      </c>
    </row>
    <row r="476" spans="1:380" ht="13.95" customHeight="1">
      <c r="A476" s="2678" t="str">
        <f t="shared" si="0"/>
        <v/>
      </c>
      <c r="B476" s="2497">
        <f>'Part V-Revenues &amp; Expenses'!B29</f>
        <v>0</v>
      </c>
      <c r="C476" s="2498">
        <f>'Part V-Revenues &amp; Expenses'!C29</f>
        <v>0</v>
      </c>
      <c r="D476" s="2499">
        <f>'Part V-Revenues &amp; Expenses'!D29</f>
        <v>0</v>
      </c>
      <c r="E476" s="2500">
        <f>'Part V-Revenues &amp; Expenses'!E29</f>
        <v>0</v>
      </c>
      <c r="F476" s="2500">
        <f>'Part V-Revenues &amp; Expenses'!F29</f>
        <v>0</v>
      </c>
      <c r="G476" s="2500">
        <f>'Part V-Revenues &amp; Expenses'!G29</f>
        <v>0</v>
      </c>
      <c r="H476" s="2500">
        <f>'Part V-Revenues &amp; Expenses'!H29</f>
        <v>0</v>
      </c>
      <c r="I476" s="2500">
        <f>'Part V-Revenues &amp; Expenses'!I29</f>
        <v>0</v>
      </c>
      <c r="J476" s="2500">
        <f>'Part V-Revenues &amp; Expenses'!J29</f>
        <v>0</v>
      </c>
      <c r="K476" s="2501">
        <f>'Part V-Revenues &amp; Expenses'!K29</f>
        <v>0</v>
      </c>
      <c r="L476" s="2502">
        <f t="shared" si="1"/>
        <v>0</v>
      </c>
      <c r="M476" s="2502">
        <f t="shared" si="2"/>
        <v>0</v>
      </c>
      <c r="N476" s="2573">
        <f>'Part V-Revenues &amp; Expenses'!N29</f>
        <v>0</v>
      </c>
      <c r="O476" s="1320">
        <f>'Part V-Revenues &amp; Expenses'!O29</f>
        <v>0</v>
      </c>
      <c r="P476" s="2573">
        <f>'Part V-Revenues &amp; Expenses'!P29</f>
        <v>0</v>
      </c>
      <c r="Q476" s="1895">
        <f>'Part V-Revenues &amp; Expenses'!Q29</f>
        <v>0</v>
      </c>
      <c r="R476" s="2704"/>
      <c r="S476" s="2705"/>
      <c r="T476" s="2706"/>
      <c r="U476" s="2706"/>
      <c r="V476" s="2706"/>
      <c r="W476" s="2706"/>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6424</v>
      </c>
    </row>
    <row r="477" spans="1:380" ht="13.95" customHeight="1">
      <c r="A477" s="2678" t="str">
        <f t="shared" si="0"/>
        <v/>
      </c>
      <c r="B477" s="2497">
        <f>'Part V-Revenues &amp; Expenses'!B30</f>
        <v>0</v>
      </c>
      <c r="C477" s="2498">
        <f>'Part V-Revenues &amp; Expenses'!C30</f>
        <v>0</v>
      </c>
      <c r="D477" s="2499">
        <f>'Part V-Revenues &amp; Expenses'!D30</f>
        <v>0</v>
      </c>
      <c r="E477" s="2500">
        <f>'Part V-Revenues &amp; Expenses'!E30</f>
        <v>0</v>
      </c>
      <c r="F477" s="2500">
        <f>'Part V-Revenues &amp; Expenses'!F30</f>
        <v>0</v>
      </c>
      <c r="G477" s="2500">
        <f>'Part V-Revenues &amp; Expenses'!G30</f>
        <v>0</v>
      </c>
      <c r="H477" s="2500">
        <f>'Part V-Revenues &amp; Expenses'!H30</f>
        <v>0</v>
      </c>
      <c r="I477" s="2500">
        <f>'Part V-Revenues &amp; Expenses'!I30</f>
        <v>0</v>
      </c>
      <c r="J477" s="2500">
        <f>'Part V-Revenues &amp; Expenses'!J30</f>
        <v>0</v>
      </c>
      <c r="K477" s="2501">
        <f>'Part V-Revenues &amp; Expenses'!K30</f>
        <v>0</v>
      </c>
      <c r="L477" s="2502">
        <f t="shared" si="1"/>
        <v>0</v>
      </c>
      <c r="M477" s="2502">
        <f t="shared" si="2"/>
        <v>0</v>
      </c>
      <c r="N477" s="2573">
        <f>'Part V-Revenues &amp; Expenses'!N30</f>
        <v>0</v>
      </c>
      <c r="O477" s="1320">
        <f>'Part V-Revenues &amp; Expenses'!O30</f>
        <v>0</v>
      </c>
      <c r="P477" s="2573">
        <f>'Part V-Revenues &amp; Expenses'!P30</f>
        <v>0</v>
      </c>
      <c r="Q477" s="1895">
        <f>'Part V-Revenues &amp; Expenses'!Q30</f>
        <v>0</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6425</v>
      </c>
    </row>
    <row r="478" spans="1:380" ht="13.95" customHeight="1">
      <c r="A478" s="2678" t="str">
        <f t="shared" si="0"/>
        <v/>
      </c>
      <c r="B478" s="2497">
        <f>'Part V-Revenues &amp; Expenses'!B31</f>
        <v>0</v>
      </c>
      <c r="C478" s="2498">
        <f>'Part V-Revenues &amp; Expenses'!C31</f>
        <v>0</v>
      </c>
      <c r="D478" s="2499">
        <f>'Part V-Revenues &amp; Expenses'!D31</f>
        <v>0</v>
      </c>
      <c r="E478" s="2500">
        <f>'Part V-Revenues &amp; Expenses'!E31</f>
        <v>0</v>
      </c>
      <c r="F478" s="2500">
        <f>'Part V-Revenues &amp; Expenses'!F31</f>
        <v>0</v>
      </c>
      <c r="G478" s="2500">
        <f>'Part V-Revenues &amp; Expenses'!G31</f>
        <v>0</v>
      </c>
      <c r="H478" s="2500">
        <f>'Part V-Revenues &amp; Expenses'!H31</f>
        <v>0</v>
      </c>
      <c r="I478" s="2500">
        <f>'Part V-Revenues &amp; Expenses'!I31</f>
        <v>0</v>
      </c>
      <c r="J478" s="2500">
        <f>'Part V-Revenues &amp; Expenses'!J31</f>
        <v>0</v>
      </c>
      <c r="K478" s="2501">
        <f>'Part V-Revenues &amp; Expenses'!K31</f>
        <v>0</v>
      </c>
      <c r="L478" s="2502">
        <f t="shared" si="1"/>
        <v>0</v>
      </c>
      <c r="M478" s="2502">
        <f t="shared" si="2"/>
        <v>0</v>
      </c>
      <c r="N478" s="2573">
        <f>'Part V-Revenues &amp; Expenses'!N31</f>
        <v>0</v>
      </c>
      <c r="O478" s="1320">
        <f>'Part V-Revenues &amp; Expenses'!O31</f>
        <v>0</v>
      </c>
      <c r="P478" s="2573">
        <f>'Part V-Revenues &amp; Expenses'!P31</f>
        <v>0</v>
      </c>
      <c r="Q478" s="1895">
        <f>'Part V-Revenues &amp; Expenses'!Q31</f>
        <v>0</v>
      </c>
      <c r="R478" s="2704"/>
      <c r="S478" s="2705"/>
      <c r="T478" s="2706"/>
      <c r="U478" s="2706"/>
      <c r="V478" s="2706"/>
      <c r="W478" s="2706"/>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6426</v>
      </c>
    </row>
    <row r="479" spans="1:380" ht="13.95" customHeight="1">
      <c r="A479" s="2678" t="str">
        <f t="shared" si="0"/>
        <v/>
      </c>
      <c r="B479" s="2497">
        <f>'Part V-Revenues &amp; Expenses'!B32</f>
        <v>0</v>
      </c>
      <c r="C479" s="2498">
        <f>'Part V-Revenues &amp; Expenses'!C32</f>
        <v>0</v>
      </c>
      <c r="D479" s="2499">
        <f>'Part V-Revenues &amp; Expenses'!D32</f>
        <v>0</v>
      </c>
      <c r="E479" s="2500">
        <f>'Part V-Revenues &amp; Expenses'!E32</f>
        <v>0</v>
      </c>
      <c r="F479" s="2500">
        <f>'Part V-Revenues &amp; Expenses'!F32</f>
        <v>0</v>
      </c>
      <c r="G479" s="2500">
        <f>'Part V-Revenues &amp; Expenses'!G32</f>
        <v>0</v>
      </c>
      <c r="H479" s="2500">
        <f>'Part V-Revenues &amp; Expenses'!H32</f>
        <v>0</v>
      </c>
      <c r="I479" s="2500">
        <f>'Part V-Revenues &amp; Expenses'!I32</f>
        <v>0</v>
      </c>
      <c r="J479" s="2500">
        <f>'Part V-Revenues &amp; Expenses'!J32</f>
        <v>0</v>
      </c>
      <c r="K479" s="2501">
        <f>'Part V-Revenues &amp; Expenses'!K32</f>
        <v>0</v>
      </c>
      <c r="L479" s="2502">
        <f t="shared" si="1"/>
        <v>0</v>
      </c>
      <c r="M479" s="2502">
        <f t="shared" si="2"/>
        <v>0</v>
      </c>
      <c r="N479" s="2573">
        <f>'Part V-Revenues &amp; Expenses'!N32</f>
        <v>0</v>
      </c>
      <c r="O479" s="1320">
        <f>'Part V-Revenues &amp; Expenses'!O32</f>
        <v>0</v>
      </c>
      <c r="P479" s="2573">
        <f>'Part V-Revenues &amp; Expenses'!P32</f>
        <v>0</v>
      </c>
      <c r="Q479" s="1895">
        <f>'Part V-Revenues &amp; Expenses'!Q32</f>
        <v>0</v>
      </c>
      <c r="R479" s="2704"/>
      <c r="S479" s="2705"/>
      <c r="T479" s="2706"/>
      <c r="U479" s="2706"/>
      <c r="V479" s="2706"/>
      <c r="W479" s="2706"/>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6427</v>
      </c>
    </row>
    <row r="480" spans="1:380" ht="13.95" customHeight="1">
      <c r="A480" s="2678" t="str">
        <f t="shared" si="0"/>
        <v/>
      </c>
      <c r="B480" s="2497">
        <f>'Part V-Revenues &amp; Expenses'!B33</f>
        <v>0</v>
      </c>
      <c r="C480" s="2498">
        <f>'Part V-Revenues &amp; Expenses'!C33</f>
        <v>0</v>
      </c>
      <c r="D480" s="2499">
        <f>'Part V-Revenues &amp; Expenses'!D33</f>
        <v>0</v>
      </c>
      <c r="E480" s="2500">
        <f>'Part V-Revenues &amp; Expenses'!E33</f>
        <v>0</v>
      </c>
      <c r="F480" s="2500">
        <f>'Part V-Revenues &amp; Expenses'!F33</f>
        <v>0</v>
      </c>
      <c r="G480" s="2500">
        <f>'Part V-Revenues &amp; Expenses'!G33</f>
        <v>0</v>
      </c>
      <c r="H480" s="2500">
        <f>'Part V-Revenues &amp; Expenses'!H33</f>
        <v>0</v>
      </c>
      <c r="I480" s="2500">
        <f>'Part V-Revenues &amp; Expenses'!I33</f>
        <v>0</v>
      </c>
      <c r="J480" s="2500">
        <f>'Part V-Revenues &amp; Expenses'!J33</f>
        <v>0</v>
      </c>
      <c r="K480" s="2501">
        <f>'Part V-Revenues &amp; Expenses'!K33</f>
        <v>0</v>
      </c>
      <c r="L480" s="2502">
        <f t="shared" si="1"/>
        <v>0</v>
      </c>
      <c r="M480" s="2502">
        <f t="shared" si="2"/>
        <v>0</v>
      </c>
      <c r="N480" s="2573">
        <f>'Part V-Revenues &amp; Expenses'!N33</f>
        <v>0</v>
      </c>
      <c r="O480" s="1320">
        <f>'Part V-Revenues &amp; Expenses'!O33</f>
        <v>0</v>
      </c>
      <c r="P480" s="2573">
        <f>'Part V-Revenues &amp; Expenses'!P33</f>
        <v>0</v>
      </c>
      <c r="Q480" s="1895">
        <f>'Part V-Revenues &amp; Expenses'!Q33</f>
        <v>0</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6428</v>
      </c>
    </row>
    <row r="481" spans="1:380" ht="13.95" customHeight="1">
      <c r="A481" s="2678" t="str">
        <f t="shared" si="0"/>
        <v/>
      </c>
      <c r="B481" s="2497">
        <f>'Part V-Revenues &amp; Expenses'!B34</f>
        <v>0</v>
      </c>
      <c r="C481" s="2498">
        <f>'Part V-Revenues &amp; Expenses'!C34</f>
        <v>0</v>
      </c>
      <c r="D481" s="2499">
        <f>'Part V-Revenues &amp; Expenses'!D34</f>
        <v>0</v>
      </c>
      <c r="E481" s="2500">
        <f>'Part V-Revenues &amp; Expenses'!E34</f>
        <v>0</v>
      </c>
      <c r="F481" s="2500">
        <f>'Part V-Revenues &amp; Expenses'!F34</f>
        <v>0</v>
      </c>
      <c r="G481" s="2500">
        <f>'Part V-Revenues &amp; Expenses'!G34</f>
        <v>0</v>
      </c>
      <c r="H481" s="2500">
        <f>'Part V-Revenues &amp; Expenses'!H34</f>
        <v>0</v>
      </c>
      <c r="I481" s="2500">
        <f>'Part V-Revenues &amp; Expenses'!I34</f>
        <v>0</v>
      </c>
      <c r="J481" s="2500">
        <f>'Part V-Revenues &amp; Expenses'!J34</f>
        <v>0</v>
      </c>
      <c r="K481" s="2501">
        <f>'Part V-Revenues &amp; Expenses'!K34</f>
        <v>0</v>
      </c>
      <c r="L481" s="2502">
        <f t="shared" si="1"/>
        <v>0</v>
      </c>
      <c r="M481" s="2502">
        <f t="shared" si="2"/>
        <v>0</v>
      </c>
      <c r="N481" s="2573">
        <f>'Part V-Revenues &amp; Expenses'!N34</f>
        <v>0</v>
      </c>
      <c r="O481" s="1320">
        <f>'Part V-Revenues &amp; Expenses'!O34</f>
        <v>0</v>
      </c>
      <c r="P481" s="2573">
        <f>'Part V-Revenues &amp; Expenses'!P34</f>
        <v>0</v>
      </c>
      <c r="Q481" s="1895">
        <f>'Part V-Revenues &amp; Expenses'!Q34</f>
        <v>0</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6429</v>
      </c>
    </row>
    <row r="482" spans="1:380" ht="13.95" customHeight="1">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6430</v>
      </c>
    </row>
    <row r="483" spans="1:380" ht="13.95" customHeight="1">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6431</v>
      </c>
    </row>
    <row r="484" spans="1:380" ht="13.95" customHeight="1">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6432</v>
      </c>
    </row>
    <row r="485" spans="1:380" ht="13.95" customHeight="1">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6433</v>
      </c>
    </row>
    <row r="486" spans="1:380" ht="13.95" customHeight="1">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6434</v>
      </c>
    </row>
    <row r="487" spans="1:380" ht="13.95" customHeight="1">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6435</v>
      </c>
    </row>
    <row r="488" spans="1:380" ht="13.95" customHeight="1">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6436</v>
      </c>
    </row>
    <row r="489" spans="1:380" ht="13.95" customHeight="1">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6437</v>
      </c>
    </row>
    <row r="490" spans="1:380" ht="13.95" customHeight="1">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6438</v>
      </c>
    </row>
    <row r="491" spans="1:380" ht="13.95" customHeight="1">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6439</v>
      </c>
    </row>
    <row r="492" spans="1:380" ht="13.95" customHeight="1">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6440</v>
      </c>
    </row>
    <row r="493" spans="1:380" ht="13.95" customHeight="1">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6441</v>
      </c>
    </row>
    <row r="494" spans="1:380" ht="13.95" customHeight="1">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6442</v>
      </c>
    </row>
    <row r="495" spans="1:380" ht="13.95" customHeight="1">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6443</v>
      </c>
    </row>
    <row r="496" spans="1:380" ht="13.95" customHeight="1">
      <c r="A496" s="2678">
        <f>COUNT(A458,A459,A460,A461,A462,A463,A464,A465,A466,A467,A468,A469,A470,A471,A472,A473,A474,A475,A476,A477,A478,A479,A480,A481,A482,A483,A484,A485,A486,A487)</f>
        <v>0</v>
      </c>
      <c r="B496" s="2707" t="s">
        <v>3769</v>
      </c>
      <c r="C496" s="2707"/>
      <c r="D496" s="2708" t="s">
        <v>954</v>
      </c>
      <c r="E496" s="2503">
        <f>SUM(E458:E495)</f>
        <v>40</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29170</v>
      </c>
      <c r="H496" s="2505" t="s">
        <v>3766</v>
      </c>
      <c r="I496" s="2709" t="s">
        <v>3767</v>
      </c>
      <c r="J496" s="2506" t="str">
        <f>IF(P514=0,"",IF(SUM(P505:P509)/P514&gt;=0.4,"Pass","Fail"))</f>
        <v>Pass</v>
      </c>
      <c r="K496" s="363"/>
      <c r="L496" s="2710" t="s">
        <v>1225</v>
      </c>
      <c r="M496" s="2507">
        <f>SUM(M458:M495)</f>
        <v>23478</v>
      </c>
      <c r="N496" s="359"/>
      <c r="O496" s="359"/>
      <c r="P496" s="359"/>
      <c r="Q496" s="359"/>
      <c r="R496" s="359"/>
      <c r="S496" s="359"/>
      <c r="T496" s="359"/>
      <c r="U496" s="359"/>
      <c r="V496" s="2687"/>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14</v>
      </c>
      <c r="AJ496" s="1749">
        <f t="shared" si="338"/>
        <v>22</v>
      </c>
      <c r="AK496" s="1749">
        <f t="shared" si="338"/>
        <v>4</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13</v>
      </c>
      <c r="CH496" s="1749">
        <f t="shared" si="338"/>
        <v>19</v>
      </c>
      <c r="CI496" s="1749">
        <f t="shared" si="338"/>
        <v>4</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8568</v>
      </c>
      <c r="EU496" s="1749">
        <f t="shared" si="338"/>
        <v>16930</v>
      </c>
      <c r="EV496" s="1749">
        <f t="shared" si="338"/>
        <v>3672</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7956</v>
      </c>
      <c r="FY496" s="1749">
        <f t="shared" si="340"/>
        <v>14617</v>
      </c>
      <c r="FZ496" s="1749">
        <f t="shared" si="340"/>
        <v>3672</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0</v>
      </c>
      <c r="GI496" s="1749">
        <f t="shared" si="340"/>
        <v>0</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14</v>
      </c>
      <c r="GX496" s="1749">
        <f t="shared" si="340"/>
        <v>22</v>
      </c>
      <c r="GY496" s="1749">
        <f t="shared" si="340"/>
        <v>4</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14</v>
      </c>
      <c r="IB496" s="1749">
        <f t="shared" si="341"/>
        <v>22</v>
      </c>
      <c r="IC496" s="1749">
        <f t="shared" si="341"/>
        <v>4</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14</v>
      </c>
      <c r="JU496" s="1749">
        <f t="shared" si="341"/>
        <v>22</v>
      </c>
      <c r="JV496" s="1749">
        <f t="shared" si="341"/>
        <v>4</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14</v>
      </c>
      <c r="MH496" s="1749">
        <f t="shared" si="343"/>
        <v>22</v>
      </c>
      <c r="MI496" s="1749">
        <f t="shared" si="343"/>
        <v>4</v>
      </c>
      <c r="MJ496" s="1749">
        <f t="shared" si="343"/>
        <v>0</v>
      </c>
      <c r="MK496" s="1749">
        <f t="shared" si="343"/>
        <v>0</v>
      </c>
      <c r="ML496" s="1749">
        <f t="shared" si="343"/>
        <v>0</v>
      </c>
      <c r="MM496" s="1749">
        <f t="shared" si="343"/>
        <v>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6444</v>
      </c>
    </row>
    <row r="497" spans="1:380" ht="13.95" customHeight="1">
      <c r="B497" s="2711">
        <f>'Part V-Revenues &amp; Expenses'!B50</f>
        <v>60</v>
      </c>
      <c r="C497" s="2711"/>
      <c r="D497" s="2678" t="s">
        <v>3676</v>
      </c>
      <c r="E497" s="2503">
        <f>SUM(E465:E495)</f>
        <v>40</v>
      </c>
      <c r="F497" s="2504">
        <f>(E465*F465+E466*F466+E467*F467+E468*F468+E469*F469+E470*F470+E471*F471+E472*F472+E473*F473+E474*F474+E475*F475+E476*F476+E477*F477+E478*F478+E479*F479+E480*F480+E481*F481+E482*F482+E483*F483+E484*F484+E485*F485+E486*F486+E487*F487+E488*F488+E489*F489+E490*F490+E491*F491+E492*F492+E493*F493+E494*F494+E495*F495)</f>
        <v>29170</v>
      </c>
      <c r="H497" s="2505"/>
      <c r="I497" s="2709" t="s">
        <v>3768</v>
      </c>
      <c r="J497" s="2506" t="str">
        <f>IF(P514=0,"",IF(SUM(P506:P509)/P514&gt;=0.2,"Pass","Fail"))</f>
        <v>Fail</v>
      </c>
      <c r="K497" s="363"/>
      <c r="L497" s="2708" t="s">
        <v>757</v>
      </c>
      <c r="M497" s="2507">
        <f>M496*12</f>
        <v>281736</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6445</v>
      </c>
    </row>
    <row r="498" spans="1:380" ht="12" customHeight="1">
      <c r="A498" s="2712" t="s">
        <v>6977</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7" customHeight="1">
      <c r="A500" s="361" t="s">
        <v>689</v>
      </c>
      <c r="B500" s="361" t="s">
        <v>499</v>
      </c>
      <c r="K500" s="2714" t="s">
        <v>6642</v>
      </c>
      <c r="O500" s="2536" t="str">
        <f>'Part V-Revenues &amp; Expenses'!O53</f>
        <v>40% of Units at 60% of AMI</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6644</v>
      </c>
      <c r="O501" s="2536" t="str">
        <f>'Part V-Revenues &amp; Expenses'!O54</f>
        <v>&lt;&lt; Select &gt;&gt;</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7" customHeight="1">
      <c r="A502" s="361"/>
      <c r="B502" s="361" t="s">
        <v>6494</v>
      </c>
      <c r="H502" s="357" t="s">
        <v>975</v>
      </c>
      <c r="K502" s="2715" t="s">
        <v>526</v>
      </c>
      <c r="L502" s="1897" t="s">
        <v>500</v>
      </c>
      <c r="M502" s="1897" t="s">
        <v>501</v>
      </c>
      <c r="N502" s="1897" t="s">
        <v>502</v>
      </c>
      <c r="O502" s="1897" t="s">
        <v>503</v>
      </c>
      <c r="P502" s="1897" t="s">
        <v>504</v>
      </c>
      <c r="S502" s="361" t="s">
        <v>1711</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16" t="s">
        <v>4076</v>
      </c>
      <c r="B503" s="2716"/>
      <c r="C503" s="359" t="s">
        <v>1069</v>
      </c>
      <c r="D503" s="359"/>
      <c r="E503" s="359"/>
      <c r="F503" s="359"/>
      <c r="H503" s="1503" t="s">
        <v>3677</v>
      </c>
      <c r="I503" s="362"/>
      <c r="K503" s="2508">
        <f>X496</f>
        <v>0</v>
      </c>
      <c r="L503" s="2508">
        <f>Y496</f>
        <v>0</v>
      </c>
      <c r="M503" s="2508">
        <f>Z496</f>
        <v>0</v>
      </c>
      <c r="N503" s="2508">
        <f>AA496</f>
        <v>0</v>
      </c>
      <c r="O503" s="2508">
        <f>AB496</f>
        <v>0</v>
      </c>
      <c r="P503" s="2508">
        <f t="shared" ref="P503:P514" si="344">SUM(K503:O503)</f>
        <v>0</v>
      </c>
      <c r="Q503" s="2631" t="s">
        <v>3184</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16"/>
      <c r="B504" s="2716"/>
      <c r="C504" s="359"/>
      <c r="D504" s="359"/>
      <c r="E504" s="359"/>
      <c r="F504" s="359"/>
      <c r="H504" s="1503" t="s">
        <v>3678</v>
      </c>
      <c r="I504" s="362"/>
      <c r="K504" s="2508">
        <f>AC496</f>
        <v>0</v>
      </c>
      <c r="L504" s="2508">
        <f>AD496</f>
        <v>0</v>
      </c>
      <c r="M504" s="2508">
        <f>AE496</f>
        <v>0</v>
      </c>
      <c r="N504" s="2508">
        <f>AF496</f>
        <v>0</v>
      </c>
      <c r="O504" s="2508">
        <f>AG496</f>
        <v>0</v>
      </c>
      <c r="P504" s="2508">
        <f t="shared" si="344"/>
        <v>0</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16"/>
      <c r="B505" s="2716"/>
      <c r="C505" s="359"/>
      <c r="D505" s="359"/>
      <c r="E505" s="359"/>
      <c r="F505" s="359"/>
      <c r="H505" s="1503" t="s">
        <v>1081</v>
      </c>
      <c r="I505" s="362"/>
      <c r="K505" s="2508">
        <f>AH496</f>
        <v>0</v>
      </c>
      <c r="L505" s="2508">
        <f>AI496</f>
        <v>14</v>
      </c>
      <c r="M505" s="2508">
        <f>AJ496</f>
        <v>22</v>
      </c>
      <c r="N505" s="2508">
        <f>AK496</f>
        <v>4</v>
      </c>
      <c r="O505" s="2508">
        <f>AL496</f>
        <v>0</v>
      </c>
      <c r="P505" s="2508">
        <f t="shared" si="344"/>
        <v>40</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16"/>
      <c r="B506" s="2716"/>
      <c r="C506" s="359"/>
      <c r="D506" s="359"/>
      <c r="E506" s="359"/>
      <c r="F506" s="359"/>
      <c r="H506" s="1503" t="s">
        <v>112</v>
      </c>
      <c r="I506" s="362"/>
      <c r="K506" s="2508">
        <f>AM496</f>
        <v>0</v>
      </c>
      <c r="L506" s="2508">
        <f>AN496</f>
        <v>0</v>
      </c>
      <c r="M506" s="2508">
        <f>AO496</f>
        <v>0</v>
      </c>
      <c r="N506" s="2508">
        <f>AP496</f>
        <v>0</v>
      </c>
      <c r="O506" s="2508">
        <f>AQ496</f>
        <v>0</v>
      </c>
      <c r="P506" s="2508">
        <f t="shared" si="344"/>
        <v>0</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16"/>
      <c r="B507" s="2716"/>
      <c r="C507" s="359"/>
      <c r="D507" s="359"/>
      <c r="E507" s="359"/>
      <c r="F507" s="359"/>
      <c r="H507" s="1503" t="s">
        <v>3679</v>
      </c>
      <c r="I507" s="362"/>
      <c r="K507" s="2508">
        <f>AR496</f>
        <v>0</v>
      </c>
      <c r="L507" s="2508">
        <f>AS496</f>
        <v>0</v>
      </c>
      <c r="M507" s="2508">
        <f>AT496</f>
        <v>0</v>
      </c>
      <c r="N507" s="2508">
        <f>AU496</f>
        <v>0</v>
      </c>
      <c r="O507" s="2508">
        <f>AV496</f>
        <v>0</v>
      </c>
      <c r="P507" s="2508">
        <f t="shared" si="344"/>
        <v>0</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16"/>
      <c r="B508" s="2716"/>
      <c r="C508" s="359"/>
      <c r="D508" s="359"/>
      <c r="E508" s="359"/>
      <c r="F508" s="359"/>
      <c r="H508" s="1503" t="s">
        <v>3680</v>
      </c>
      <c r="I508" s="362"/>
      <c r="K508" s="2508">
        <f>AW496</f>
        <v>0</v>
      </c>
      <c r="L508" s="2508">
        <f>AX496</f>
        <v>0</v>
      </c>
      <c r="M508" s="2508">
        <f>AY496</f>
        <v>0</v>
      </c>
      <c r="N508" s="2508">
        <f>AZ496</f>
        <v>0</v>
      </c>
      <c r="O508" s="2508">
        <f>BA496</f>
        <v>0</v>
      </c>
      <c r="P508" s="2508">
        <f t="shared" si="344"/>
        <v>0</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16"/>
      <c r="B509" s="2716"/>
      <c r="C509" s="1747"/>
      <c r="D509" s="359"/>
      <c r="E509" s="359"/>
      <c r="F509" s="359"/>
      <c r="H509" s="1503" t="s">
        <v>3681</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16"/>
      <c r="B510" s="2716"/>
      <c r="C510" s="1503" t="s">
        <v>3763</v>
      </c>
      <c r="D510" s="359"/>
      <c r="E510" s="359"/>
      <c r="F510" s="359"/>
      <c r="H510" s="360"/>
      <c r="I510" s="807"/>
      <c r="K510" s="2508">
        <f>SUM(K503:K509)</f>
        <v>0</v>
      </c>
      <c r="L510" s="2508">
        <f>SUM(L503:L509)</f>
        <v>14</v>
      </c>
      <c r="M510" s="2508">
        <f>SUM(M503:M509)</f>
        <v>22</v>
      </c>
      <c r="N510" s="2508">
        <f>SUM(N503:N509)</f>
        <v>4</v>
      </c>
      <c r="O510" s="2508">
        <f>SUM(O503:O509)</f>
        <v>0</v>
      </c>
      <c r="P510" s="2508">
        <f t="shared" si="344"/>
        <v>40</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16"/>
      <c r="B511" s="2716"/>
      <c r="D511" s="359"/>
      <c r="E511" s="359"/>
      <c r="F511" s="359"/>
      <c r="H511" s="1503" t="s">
        <v>290</v>
      </c>
      <c r="I511" s="362"/>
      <c r="K511" s="2508">
        <f>BG496</f>
        <v>0</v>
      </c>
      <c r="L511" s="2508">
        <f>BH496</f>
        <v>0</v>
      </c>
      <c r="M511" s="2508">
        <f>BI496</f>
        <v>0</v>
      </c>
      <c r="N511" s="2508">
        <f>BJ496</f>
        <v>0</v>
      </c>
      <c r="O511" s="2508">
        <f>BK496</f>
        <v>0</v>
      </c>
      <c r="P511" s="2508">
        <f t="shared" si="344"/>
        <v>0</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16"/>
      <c r="B512" s="2716"/>
      <c r="C512" s="2718" t="s">
        <v>1070</v>
      </c>
      <c r="D512" s="2718"/>
      <c r="E512" s="2718"/>
      <c r="F512" s="2718"/>
      <c r="G512" s="2719"/>
      <c r="H512" s="2720"/>
      <c r="I512" s="2721"/>
      <c r="J512" s="2719"/>
      <c r="K512" s="2509">
        <f>SUM(K510:K511)</f>
        <v>0</v>
      </c>
      <c r="L512" s="2509">
        <f>SUM(L510:L511)</f>
        <v>14</v>
      </c>
      <c r="M512" s="2509">
        <f>SUM(M510:M511)</f>
        <v>22</v>
      </c>
      <c r="N512" s="2509">
        <f>SUM(N510:N511)</f>
        <v>4</v>
      </c>
      <c r="O512" s="2509">
        <f>SUM(O510:O511)</f>
        <v>0</v>
      </c>
      <c r="P512" s="2509">
        <f t="shared" si="344"/>
        <v>40</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16"/>
      <c r="B513" s="2716"/>
      <c r="D513" s="359"/>
      <c r="E513" s="359"/>
      <c r="F513" s="359"/>
      <c r="H513" s="1503" t="s">
        <v>2309</v>
      </c>
      <c r="I513" s="362"/>
      <c r="K513" s="2508">
        <f>ED496</f>
        <v>0</v>
      </c>
      <c r="L513" s="2508">
        <f>EE496</f>
        <v>0</v>
      </c>
      <c r="M513" s="2508">
        <f>EF496</f>
        <v>0</v>
      </c>
      <c r="N513" s="2508">
        <f>EG496</f>
        <v>0</v>
      </c>
      <c r="O513" s="2508">
        <f>EH496</f>
        <v>0</v>
      </c>
      <c r="P513" s="2508">
        <f t="shared" si="344"/>
        <v>0</v>
      </c>
      <c r="Q513" s="2544" t="s">
        <v>3185</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16"/>
      <c r="B514" s="2716"/>
      <c r="C514" s="1747" t="s">
        <v>1667</v>
      </c>
      <c r="D514" s="359"/>
      <c r="E514" s="359"/>
      <c r="F514" s="359"/>
      <c r="H514" s="1503"/>
      <c r="I514" s="362"/>
      <c r="K514" s="2510">
        <f>SUM(K512:K513)</f>
        <v>0</v>
      </c>
      <c r="L514" s="2510">
        <f>SUM(L512:L513)</f>
        <v>14</v>
      </c>
      <c r="M514" s="2510">
        <f>SUM(M512:M513)</f>
        <v>22</v>
      </c>
      <c r="N514" s="2510">
        <f>SUM(N512:N513)</f>
        <v>4</v>
      </c>
      <c r="O514" s="2510">
        <f>SUM(O512:O513)</f>
        <v>0</v>
      </c>
      <c r="P514" s="2510">
        <f t="shared" si="344"/>
        <v>40</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2" customHeight="1">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16"/>
      <c r="B516" s="2716"/>
      <c r="C516" s="2722" t="s">
        <v>3772</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2" customHeight="1">
      <c r="A517" s="2716"/>
      <c r="B517" s="2716"/>
      <c r="C517" s="2722"/>
      <c r="D517" s="2722"/>
      <c r="E517" s="2722"/>
      <c r="F517" s="2722"/>
      <c r="H517" s="1503" t="s">
        <v>3677</v>
      </c>
      <c r="I517" s="362"/>
      <c r="J517" s="2724"/>
      <c r="K517" s="2725" t="str">
        <f t="shared" ref="K517:P517" si="345">IF(OR(K503=0,K514=0),"",K503/K514)</f>
        <v/>
      </c>
      <c r="L517" s="2725" t="str">
        <f t="shared" si="345"/>
        <v/>
      </c>
      <c r="M517" s="2725" t="str">
        <f t="shared" si="345"/>
        <v/>
      </c>
      <c r="N517" s="2725" t="str">
        <f t="shared" si="345"/>
        <v/>
      </c>
      <c r="O517" s="2725" t="str">
        <f t="shared" si="345"/>
        <v/>
      </c>
      <c r="P517" s="2725" t="str">
        <f t="shared" si="345"/>
        <v/>
      </c>
      <c r="Q517" s="1877" t="s">
        <v>4070</v>
      </c>
      <c r="S517" s="2706"/>
      <c r="T517" s="2706"/>
      <c r="U517" s="2706"/>
      <c r="V517" s="2706"/>
      <c r="W517" s="2706"/>
    </row>
    <row r="518" spans="1:343">
      <c r="A518" s="2716"/>
      <c r="B518" s="2716"/>
      <c r="C518" s="2543"/>
      <c r="H518" s="1503" t="s">
        <v>6978</v>
      </c>
      <c r="I518" s="362"/>
      <c r="J518" s="359"/>
      <c r="K518" s="2726" t="str">
        <f>IF(OR(K503=0,P517="",K514=0),"",P517*K514)</f>
        <v/>
      </c>
      <c r="L518" s="2726" t="str">
        <f>IF(OR(L503=0,P517="",L514=0),"",P517*L514)</f>
        <v/>
      </c>
      <c r="M518" s="2726" t="str">
        <f>IF(OR(M503=0,P517="",M514=0),"",P517*M514)</f>
        <v/>
      </c>
      <c r="N518" s="2726" t="str">
        <f>IF(OR(N503=0,P517="",N514=0),"",P517*N514)</f>
        <v/>
      </c>
      <c r="O518" s="2726" t="str">
        <f>IF(OR(O503=0,P517="",O514=0),"",P517*O514)</f>
        <v/>
      </c>
      <c r="P518" s="2726" t="str">
        <f>IF(OR(P517="",P514=0),"",P517*P514)</f>
        <v/>
      </c>
      <c r="S518" s="2706"/>
      <c r="T518" s="2706"/>
      <c r="U518" s="2706"/>
      <c r="V518" s="2706"/>
      <c r="W518" s="2706"/>
    </row>
    <row r="519" spans="1:343">
      <c r="A519" s="2716"/>
      <c r="B519" s="2716"/>
      <c r="C519" s="2543"/>
      <c r="G519" s="2709"/>
      <c r="H519" s="1503" t="s">
        <v>6979</v>
      </c>
      <c r="I519" s="362"/>
      <c r="J519" s="359"/>
      <c r="K519" s="2726" t="str">
        <f t="shared" ref="K519:P519" si="346">IF(OR(K518="",K503=0),"", K503-K518)</f>
        <v/>
      </c>
      <c r="L519" s="2726" t="str">
        <f t="shared" si="346"/>
        <v/>
      </c>
      <c r="M519" s="2726" t="str">
        <f t="shared" si="346"/>
        <v/>
      </c>
      <c r="N519" s="2726" t="str">
        <f t="shared" si="346"/>
        <v/>
      </c>
      <c r="O519" s="2726" t="str">
        <f t="shared" si="346"/>
        <v/>
      </c>
      <c r="P519" s="2726" t="str">
        <f t="shared" si="346"/>
        <v/>
      </c>
      <c r="S519" s="2706"/>
      <c r="T519" s="2706"/>
      <c r="U519" s="2706"/>
      <c r="V519" s="2706"/>
      <c r="W519" s="2706"/>
    </row>
    <row r="520" spans="1:343" ht="12.75" customHeight="1">
      <c r="A520" s="2716"/>
      <c r="B520" s="2716"/>
      <c r="C520" s="2543"/>
      <c r="D520" s="2543" t="s">
        <v>6980</v>
      </c>
      <c r="E520" s="2543"/>
      <c r="F520" s="2543"/>
      <c r="H520" s="1503" t="s">
        <v>3678</v>
      </c>
      <c r="I520" s="362"/>
      <c r="J520" s="359"/>
      <c r="K520" s="2725" t="str">
        <f t="shared" ref="K520:P520" si="347">IF(OR(K504=0,K514=0),"",K504/K514)</f>
        <v/>
      </c>
      <c r="L520" s="2725" t="str">
        <f t="shared" si="347"/>
        <v/>
      </c>
      <c r="M520" s="2725" t="str">
        <f t="shared" si="347"/>
        <v/>
      </c>
      <c r="N520" s="2725" t="str">
        <f t="shared" si="347"/>
        <v/>
      </c>
      <c r="O520" s="2725" t="str">
        <f t="shared" si="347"/>
        <v/>
      </c>
      <c r="P520" s="2725" t="str">
        <f t="shared" si="347"/>
        <v/>
      </c>
      <c r="S520" s="2706"/>
      <c r="T520" s="2706"/>
      <c r="U520" s="2706"/>
      <c r="V520" s="2706"/>
      <c r="W520" s="2706"/>
    </row>
    <row r="521" spans="1:343">
      <c r="C521" s="2543"/>
      <c r="D521" s="2543"/>
      <c r="E521" s="2543"/>
      <c r="F521" s="2543"/>
      <c r="H521" s="1503" t="s">
        <v>6978</v>
      </c>
      <c r="I521" s="362"/>
      <c r="J521" s="359"/>
      <c r="K521" s="2726" t="str">
        <f>IF(OR(K504=0,P520="",K514=0),"",P520*K514)</f>
        <v/>
      </c>
      <c r="L521" s="2726" t="str">
        <f>IF(OR(L504=0,P520="",L514=0),"",P520*L514)</f>
        <v/>
      </c>
      <c r="M521" s="2726" t="str">
        <f>IF(OR(M504=0,P520="",M514=0),"",P520*M514)</f>
        <v/>
      </c>
      <c r="N521" s="2726" t="str">
        <f>IF(OR(N504=0,P520="",N514=0),"",P520*N514)</f>
        <v/>
      </c>
      <c r="O521" s="2726" t="str">
        <f>IF(OR(O504=0,P520="",O514=0),"",P520*O514)</f>
        <v/>
      </c>
      <c r="P521" s="2726" t="str">
        <f>IF(OR(P520="",P514=0),"",P520*P514)</f>
        <v/>
      </c>
      <c r="S521" s="2706"/>
      <c r="T521" s="2706"/>
      <c r="U521" s="2706"/>
      <c r="V521" s="2706"/>
      <c r="W521" s="2706"/>
    </row>
    <row r="522" spans="1:343">
      <c r="C522" s="2543"/>
      <c r="D522" s="2543"/>
      <c r="E522" s="2543"/>
      <c r="F522" s="2543"/>
      <c r="G522" s="2709"/>
      <c r="H522" s="1503" t="s">
        <v>6979</v>
      </c>
      <c r="I522" s="362"/>
      <c r="J522" s="359"/>
      <c r="K522" s="2726" t="str">
        <f t="shared" ref="K522:P522" si="348">IF(OR(K521="",K504=0),"", K504-K521)</f>
        <v/>
      </c>
      <c r="L522" s="2726" t="str">
        <f t="shared" si="348"/>
        <v/>
      </c>
      <c r="M522" s="2726" t="str">
        <f t="shared" si="348"/>
        <v/>
      </c>
      <c r="N522" s="2726" t="str">
        <f t="shared" si="348"/>
        <v/>
      </c>
      <c r="O522" s="2726" t="str">
        <f t="shared" si="348"/>
        <v/>
      </c>
      <c r="P522" s="2726" t="str">
        <f t="shared" si="348"/>
        <v/>
      </c>
      <c r="S522" s="2706"/>
      <c r="T522" s="2706"/>
      <c r="U522" s="2706"/>
      <c r="V522" s="2706"/>
      <c r="W522" s="2706"/>
    </row>
    <row r="523" spans="1:343">
      <c r="C523" s="2727" t="s">
        <v>4068</v>
      </c>
      <c r="D523" s="2543"/>
      <c r="E523" s="2543"/>
      <c r="F523" s="2543"/>
      <c r="H523" s="1503" t="s">
        <v>1081</v>
      </c>
      <c r="I523" s="362"/>
      <c r="J523" s="359"/>
      <c r="K523" s="2725" t="str">
        <f t="shared" ref="K523:P523" si="349">IF(OR(K505=0,K514=0),"",K505/K514)</f>
        <v/>
      </c>
      <c r="L523" s="2725">
        <f t="shared" si="349"/>
        <v>1</v>
      </c>
      <c r="M523" s="2725">
        <f t="shared" si="349"/>
        <v>1</v>
      </c>
      <c r="N523" s="2725">
        <f t="shared" si="349"/>
        <v>1</v>
      </c>
      <c r="O523" s="2725" t="str">
        <f t="shared" si="349"/>
        <v/>
      </c>
      <c r="P523" s="2725">
        <f t="shared" si="349"/>
        <v>1</v>
      </c>
      <c r="S523" s="2706"/>
      <c r="T523" s="2706"/>
      <c r="U523" s="2706"/>
      <c r="V523" s="2706"/>
      <c r="W523" s="2706"/>
    </row>
    <row r="524" spans="1:343" ht="15.75" customHeight="1">
      <c r="C524" s="2727"/>
      <c r="D524" s="2543"/>
      <c r="E524" s="2543"/>
      <c r="F524" s="2543"/>
      <c r="H524" s="1503" t="s">
        <v>6978</v>
      </c>
      <c r="I524" s="362"/>
      <c r="J524" s="359"/>
      <c r="K524" s="2726" t="str">
        <f>IF(OR(K505=0,P523="",K514=0),"",P523*K514)</f>
        <v/>
      </c>
      <c r="L524" s="2726">
        <f>IF(OR(L505=0,P523="",L514=0),"",P523*L514)</f>
        <v>14</v>
      </c>
      <c r="M524" s="2726">
        <f>IF(OR(M505=0,P523="",M514=0),"",P523*M514)</f>
        <v>22</v>
      </c>
      <c r="N524" s="2726">
        <f>IF(OR(N505=0,P523="",N514=0),"",P523*N514)</f>
        <v>4</v>
      </c>
      <c r="O524" s="2726" t="str">
        <f>IF(OR(O505=0,P523="",O514=0),"",P523*O514)</f>
        <v/>
      </c>
      <c r="P524" s="2726">
        <f>IF(OR(P523="",P514=0),"",P523*P514)</f>
        <v>40</v>
      </c>
      <c r="S524" s="2706"/>
      <c r="T524" s="2706"/>
      <c r="U524" s="2706"/>
      <c r="V524" s="2706"/>
      <c r="W524" s="2706"/>
    </row>
    <row r="525" spans="1:343" ht="15.75" customHeight="1">
      <c r="C525" s="2727"/>
      <c r="D525" s="2543"/>
      <c r="E525" s="2543"/>
      <c r="F525" s="2543"/>
      <c r="G525" s="2709"/>
      <c r="H525" s="1503" t="s">
        <v>6979</v>
      </c>
      <c r="I525" s="362"/>
      <c r="J525" s="359"/>
      <c r="K525" s="2726" t="str">
        <f t="shared" ref="K525:P525" si="350">IF(OR(K524="",K505=0),"", K505-K524)</f>
        <v/>
      </c>
      <c r="L525" s="2726">
        <f t="shared" si="350"/>
        <v>0</v>
      </c>
      <c r="M525" s="2726">
        <f t="shared" si="350"/>
        <v>0</v>
      </c>
      <c r="N525" s="2726">
        <f t="shared" si="350"/>
        <v>0</v>
      </c>
      <c r="O525" s="2726" t="str">
        <f t="shared" si="350"/>
        <v/>
      </c>
      <c r="P525" s="2726">
        <f t="shared" si="350"/>
        <v>0</v>
      </c>
    </row>
    <row r="526" spans="1:343">
      <c r="C526" s="2727" t="s">
        <v>4068</v>
      </c>
      <c r="D526" s="2727"/>
      <c r="E526" s="2727"/>
      <c r="H526" s="1503" t="s">
        <v>112</v>
      </c>
      <c r="I526" s="362"/>
      <c r="J526" s="359"/>
      <c r="K526" s="2725" t="str">
        <f t="shared" ref="K526:P526" si="351">IF(OR(K506=0,K514=0),"",K506/K514)</f>
        <v/>
      </c>
      <c r="L526" s="2725" t="str">
        <f t="shared" si="351"/>
        <v/>
      </c>
      <c r="M526" s="2725" t="str">
        <f t="shared" si="351"/>
        <v/>
      </c>
      <c r="N526" s="2725" t="str">
        <f t="shared" si="351"/>
        <v/>
      </c>
      <c r="O526" s="2725" t="str">
        <f t="shared" si="351"/>
        <v/>
      </c>
      <c r="P526" s="2725" t="str">
        <f t="shared" si="351"/>
        <v/>
      </c>
    </row>
    <row r="527" spans="1:343">
      <c r="C527" s="2727"/>
      <c r="D527" s="2727"/>
      <c r="E527" s="2727"/>
      <c r="H527" s="1503" t="s">
        <v>6978</v>
      </c>
      <c r="I527" s="362"/>
      <c r="J527" s="359"/>
      <c r="K527" s="2726" t="str">
        <f>IF(OR(K506=0,P526="",K514=0),"",P526*K514)</f>
        <v/>
      </c>
      <c r="L527" s="2726" t="str">
        <f>IF(OR(L506=0,P526="",L514=0),"",P526*L514)</f>
        <v/>
      </c>
      <c r="M527" s="2726" t="str">
        <f>IF(OR(M506=0,P526="",M514=0),"",P526*M514)</f>
        <v/>
      </c>
      <c r="N527" s="2726" t="str">
        <f>IF(OR(N506=0,P526="",N514=0),"",P526*N514)</f>
        <v/>
      </c>
      <c r="O527" s="2726" t="str">
        <f>IF(OR(O506=0,P526="",O514=0),"",P526*O514)</f>
        <v/>
      </c>
      <c r="P527" s="2726" t="str">
        <f>IF(OR(P526="",P514=0),"",P526*P514)</f>
        <v/>
      </c>
    </row>
    <row r="528" spans="1:343">
      <c r="C528" s="2727"/>
      <c r="D528" s="2727"/>
      <c r="E528" s="2727"/>
      <c r="G528" s="2709"/>
      <c r="H528" s="1503" t="s">
        <v>6979</v>
      </c>
      <c r="I528" s="362"/>
      <c r="J528" s="359"/>
      <c r="K528" s="2726" t="str">
        <f t="shared" ref="K528:P528" si="352">IF(OR(K527="",K506=0),"", K506-K527)</f>
        <v/>
      </c>
      <c r="L528" s="2726" t="str">
        <f t="shared" si="352"/>
        <v/>
      </c>
      <c r="M528" s="2726" t="str">
        <f t="shared" si="352"/>
        <v/>
      </c>
      <c r="N528" s="2726" t="str">
        <f t="shared" si="352"/>
        <v/>
      </c>
      <c r="O528" s="2726" t="str">
        <f t="shared" si="352"/>
        <v/>
      </c>
      <c r="P528" s="2726" t="str">
        <f t="shared" si="352"/>
        <v/>
      </c>
    </row>
    <row r="529" spans="1:343">
      <c r="C529" s="2727" t="s">
        <v>4068</v>
      </c>
      <c r="D529" s="2727"/>
      <c r="E529" s="2727"/>
      <c r="H529" s="1503" t="s">
        <v>3679</v>
      </c>
      <c r="I529" s="362"/>
      <c r="J529" s="359"/>
      <c r="K529" s="2725" t="str">
        <f t="shared" ref="K529:P529" si="353">IF(OR(K507=0,K514=0),"",K507/K514)</f>
        <v/>
      </c>
      <c r="L529" s="2725" t="str">
        <f t="shared" si="353"/>
        <v/>
      </c>
      <c r="M529" s="2725" t="str">
        <f t="shared" si="353"/>
        <v/>
      </c>
      <c r="N529" s="2725" t="str">
        <f t="shared" si="353"/>
        <v/>
      </c>
      <c r="O529" s="2725" t="str">
        <f t="shared" si="353"/>
        <v/>
      </c>
      <c r="P529" s="2725" t="str">
        <f t="shared" si="353"/>
        <v/>
      </c>
    </row>
    <row r="530" spans="1:343">
      <c r="C530" s="2727"/>
      <c r="H530" s="1503" t="s">
        <v>6978</v>
      </c>
      <c r="I530" s="362"/>
      <c r="J530" s="359"/>
      <c r="K530" s="2726" t="str">
        <f>IF(OR(K507=0,P529="",K514=0),"",P529*K514)</f>
        <v/>
      </c>
      <c r="L530" s="2726" t="str">
        <f>IF(OR(L507=0,P529="",L514=0),"",P529*L514)</f>
        <v/>
      </c>
      <c r="M530" s="2726" t="str">
        <f>IF(OR(M507=0,P529="",M514=0),"",P529*M514)</f>
        <v/>
      </c>
      <c r="N530" s="2726" t="str">
        <f>IF(OR(N507=0,P529="",N514=0),"",P529*N514)</f>
        <v/>
      </c>
      <c r="O530" s="2726" t="str">
        <f>IF(OR(O507=0,P529="",O514=0),"",P529*O514)</f>
        <v/>
      </c>
      <c r="P530" s="2726" t="str">
        <f>IF(OR(P529="",P514=0),"",P529*P514)</f>
        <v/>
      </c>
    </row>
    <row r="531" spans="1:343">
      <c r="C531" s="2727"/>
      <c r="G531" s="2709"/>
      <c r="H531" s="1503" t="s">
        <v>6979</v>
      </c>
      <c r="I531" s="362"/>
      <c r="J531" s="359"/>
      <c r="K531" s="2726" t="str">
        <f t="shared" ref="K531:P531" si="354">IF(OR(K530="",K507=0),"", K507-K530)</f>
        <v/>
      </c>
      <c r="L531" s="2726" t="str">
        <f t="shared" si="354"/>
        <v/>
      </c>
      <c r="M531" s="2726" t="str">
        <f t="shared" si="354"/>
        <v/>
      </c>
      <c r="N531" s="2726" t="str">
        <f t="shared" si="354"/>
        <v/>
      </c>
      <c r="O531" s="2726" t="str">
        <f t="shared" si="354"/>
        <v/>
      </c>
      <c r="P531" s="2726" t="str">
        <f t="shared" si="354"/>
        <v/>
      </c>
    </row>
    <row r="532" spans="1:343">
      <c r="C532" s="2727" t="s">
        <v>4068</v>
      </c>
      <c r="H532" s="1503" t="s">
        <v>3680</v>
      </c>
      <c r="I532" s="362"/>
      <c r="J532" s="359"/>
      <c r="K532" s="2725" t="str">
        <f t="shared" ref="K532:P532" si="355">IF(OR(K508=0,K514=0),"",K508/K514)</f>
        <v/>
      </c>
      <c r="L532" s="2725" t="str">
        <f t="shared" si="355"/>
        <v/>
      </c>
      <c r="M532" s="2725" t="str">
        <f t="shared" si="355"/>
        <v/>
      </c>
      <c r="N532" s="2725" t="str">
        <f t="shared" si="355"/>
        <v/>
      </c>
      <c r="O532" s="2725" t="str">
        <f t="shared" si="355"/>
        <v/>
      </c>
      <c r="P532" s="2725" t="str">
        <f t="shared" si="355"/>
        <v/>
      </c>
    </row>
    <row r="533" spans="1:343">
      <c r="C533" s="2727"/>
      <c r="H533" s="1503" t="s">
        <v>6978</v>
      </c>
      <c r="I533" s="362"/>
      <c r="J533" s="359"/>
      <c r="K533" s="2726" t="str">
        <f>IF(OR(K508=0,P532="",K514=0),"",P532*K514)</f>
        <v/>
      </c>
      <c r="L533" s="2726" t="str">
        <f>IF(OR(L508=0,P532="",L514=0),"",P532*L514)</f>
        <v/>
      </c>
      <c r="M533" s="2726" t="str">
        <f>IF(OR(M508=0,P532="",M514=0),"",P532*M514)</f>
        <v/>
      </c>
      <c r="N533" s="2726" t="str">
        <f>IF(OR(N508=0,P532="",N514=0),"",P532*N514)</f>
        <v/>
      </c>
      <c r="O533" s="2726" t="str">
        <f>IF(OR(O508=0,P532="",O514=0),"",P532*O514)</f>
        <v/>
      </c>
      <c r="P533" s="2726" t="str">
        <f>IF(OR(P532="",P514=0),"",P532*P514)</f>
        <v/>
      </c>
    </row>
    <row r="534" spans="1:343">
      <c r="C534" s="2727"/>
      <c r="G534" s="2709"/>
      <c r="H534" s="1503" t="s">
        <v>6979</v>
      </c>
      <c r="I534" s="362"/>
      <c r="J534" s="359"/>
      <c r="K534" s="2726" t="str">
        <f t="shared" ref="K534:P534" si="356">IF(OR(K533="",K508=0),"", K508-K533)</f>
        <v/>
      </c>
      <c r="L534" s="2726" t="str">
        <f t="shared" si="356"/>
        <v/>
      </c>
      <c r="M534" s="2726" t="str">
        <f t="shared" si="356"/>
        <v/>
      </c>
      <c r="N534" s="2726" t="str">
        <f t="shared" si="356"/>
        <v/>
      </c>
      <c r="O534" s="2726" t="str">
        <f t="shared" si="356"/>
        <v/>
      </c>
      <c r="P534" s="2726" t="str">
        <f t="shared" si="356"/>
        <v/>
      </c>
    </row>
    <row r="535" spans="1:343">
      <c r="C535" s="2727" t="s">
        <v>4068</v>
      </c>
      <c r="H535" s="1503" t="s">
        <v>3681</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c r="C536" s="2727"/>
      <c r="D536" s="2727"/>
      <c r="E536" s="2727"/>
      <c r="H536" s="1503" t="s">
        <v>6978</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c r="C537" s="2727"/>
      <c r="D537" s="2727"/>
      <c r="E537" s="2727"/>
      <c r="G537" s="2709"/>
      <c r="H537" s="1503" t="s">
        <v>6979</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16"/>
      <c r="B540" s="2716"/>
      <c r="C540" s="359" t="s">
        <v>875</v>
      </c>
      <c r="D540" s="359"/>
      <c r="E540" s="1503"/>
      <c r="F540" s="359"/>
      <c r="H540" s="1503" t="s">
        <v>3677</v>
      </c>
      <c r="I540" s="362"/>
      <c r="K540" s="2729">
        <f>CP496</f>
        <v>0</v>
      </c>
      <c r="L540" s="2729">
        <f>CQ496</f>
        <v>0</v>
      </c>
      <c r="M540" s="2729">
        <f>CR496</f>
        <v>0</v>
      </c>
      <c r="N540" s="2729">
        <f>CS496</f>
        <v>0</v>
      </c>
      <c r="O540" s="2729">
        <f>CT496</f>
        <v>0</v>
      </c>
      <c r="P540" s="2508">
        <f t="shared" ref="P540:P547" si="359">SUM(K540:O540)</f>
        <v>0</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16"/>
      <c r="B541" s="2716"/>
      <c r="C541" s="362" t="s">
        <v>2310</v>
      </c>
      <c r="D541" s="359"/>
      <c r="E541" s="1503"/>
      <c r="F541" s="359"/>
      <c r="H541" s="1503" t="s">
        <v>3678</v>
      </c>
      <c r="I541" s="362"/>
      <c r="K541" s="2508">
        <f>CK496</f>
        <v>0</v>
      </c>
      <c r="L541" s="2508">
        <f>CL496</f>
        <v>0</v>
      </c>
      <c r="M541" s="2508">
        <f>CM496</f>
        <v>0</v>
      </c>
      <c r="N541" s="2508">
        <f>CN496</f>
        <v>0</v>
      </c>
      <c r="O541" s="2508">
        <f>CO496</f>
        <v>0</v>
      </c>
      <c r="P541" s="2508">
        <f t="shared" si="359"/>
        <v>0</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16"/>
      <c r="B542" s="2716"/>
      <c r="C542" s="359"/>
      <c r="D542" s="359"/>
      <c r="E542" s="1503"/>
      <c r="F542" s="359"/>
      <c r="H542" s="1503" t="s">
        <v>1081</v>
      </c>
      <c r="I542" s="362"/>
      <c r="K542" s="2508">
        <f>CF496</f>
        <v>0</v>
      </c>
      <c r="L542" s="2508">
        <f>CG496</f>
        <v>13</v>
      </c>
      <c r="M542" s="2508">
        <f>CH496</f>
        <v>19</v>
      </c>
      <c r="N542" s="2508">
        <f>CI496</f>
        <v>4</v>
      </c>
      <c r="O542" s="2508">
        <f>CJ496</f>
        <v>0</v>
      </c>
      <c r="P542" s="2508">
        <f t="shared" si="359"/>
        <v>36</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16"/>
      <c r="B543" s="2716"/>
      <c r="C543" s="359"/>
      <c r="D543" s="359"/>
      <c r="E543" s="1503"/>
      <c r="F543" s="359"/>
      <c r="H543" s="1503" t="s">
        <v>112</v>
      </c>
      <c r="I543" s="362"/>
      <c r="K543" s="2508">
        <f>CA496</f>
        <v>0</v>
      </c>
      <c r="L543" s="2508">
        <f>CB496</f>
        <v>0</v>
      </c>
      <c r="M543" s="2508">
        <f>CC496</f>
        <v>0</v>
      </c>
      <c r="N543" s="2508">
        <f>CD496</f>
        <v>0</v>
      </c>
      <c r="O543" s="2508">
        <f>CE496</f>
        <v>0</v>
      </c>
      <c r="P543" s="2508">
        <f t="shared" si="359"/>
        <v>0</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16"/>
      <c r="B544" s="2716"/>
      <c r="C544" s="359"/>
      <c r="D544" s="359"/>
      <c r="E544" s="1503"/>
      <c r="F544" s="359"/>
      <c r="H544" s="1503" t="s">
        <v>3679</v>
      </c>
      <c r="I544" s="362"/>
      <c r="K544" s="2508">
        <f>BV496</f>
        <v>0</v>
      </c>
      <c r="L544" s="2508">
        <f>BW496</f>
        <v>0</v>
      </c>
      <c r="M544" s="2508">
        <f>BX496</f>
        <v>0</v>
      </c>
      <c r="N544" s="2508">
        <f>BY496</f>
        <v>0</v>
      </c>
      <c r="O544" s="2508">
        <f>BZ496</f>
        <v>0</v>
      </c>
      <c r="P544" s="2508">
        <f t="shared" si="359"/>
        <v>0</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693"/>
      <c r="B545" s="2693"/>
      <c r="C545" s="359"/>
      <c r="D545" s="359"/>
      <c r="E545" s="1503"/>
      <c r="F545" s="359"/>
      <c r="H545" s="1503" t="s">
        <v>3680</v>
      </c>
      <c r="I545" s="362"/>
      <c r="K545" s="2508">
        <f>BQ496</f>
        <v>0</v>
      </c>
      <c r="L545" s="2508">
        <f>BR496</f>
        <v>0</v>
      </c>
      <c r="M545" s="2508">
        <f>BS496</f>
        <v>0</v>
      </c>
      <c r="N545" s="2508">
        <f>BT496</f>
        <v>0</v>
      </c>
      <c r="O545" s="2508">
        <f>BU496</f>
        <v>0</v>
      </c>
      <c r="P545" s="2508">
        <f t="shared" si="359"/>
        <v>0</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693"/>
      <c r="B546" s="2693"/>
      <c r="D546" s="359"/>
      <c r="E546" s="1503"/>
      <c r="F546" s="359"/>
      <c r="H546" s="1503" t="s">
        <v>3681</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693"/>
      <c r="B547" s="2693"/>
      <c r="C547" s="1747"/>
      <c r="D547" s="359"/>
      <c r="E547" s="1503"/>
      <c r="F547" s="359"/>
      <c r="H547" s="1634" t="s">
        <v>504</v>
      </c>
      <c r="I547" s="2707"/>
      <c r="K547" s="2510">
        <f>SUM(K540:K546)</f>
        <v>0</v>
      </c>
      <c r="L547" s="2510">
        <f>SUM(L540:L546)</f>
        <v>13</v>
      </c>
      <c r="M547" s="2510">
        <f>SUM(M540:M546)</f>
        <v>19</v>
      </c>
      <c r="N547" s="2510">
        <f>SUM(N540:N546)</f>
        <v>4</v>
      </c>
      <c r="O547" s="2510">
        <f>SUM(O540:O546)</f>
        <v>0</v>
      </c>
      <c r="P547" s="2510">
        <f t="shared" si="359"/>
        <v>36</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7" customHeight="1">
      <c r="A549" s="361" t="s">
        <v>689</v>
      </c>
      <c r="B549" s="361" t="s">
        <v>6981</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693"/>
      <c r="B551" s="2693"/>
      <c r="C551" s="2730" t="s">
        <v>832</v>
      </c>
      <c r="D551" s="2730"/>
      <c r="E551" s="2730"/>
      <c r="F551" s="359"/>
      <c r="H551" s="1503" t="s">
        <v>3677</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693"/>
      <c r="B552" s="2693"/>
      <c r="C552" s="362" t="s">
        <v>2310</v>
      </c>
      <c r="D552" s="2730"/>
      <c r="E552" s="2730"/>
      <c r="F552" s="359"/>
      <c r="H552" s="1503" t="s">
        <v>3678</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693"/>
      <c r="B553" s="2693"/>
      <c r="C553" s="2730"/>
      <c r="D553" s="2730"/>
      <c r="E553" s="2730"/>
      <c r="F553" s="359"/>
      <c r="H553" s="1503" t="s">
        <v>1081</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693"/>
      <c r="B554" s="2693"/>
      <c r="C554" s="2730"/>
      <c r="D554" s="2730"/>
      <c r="E554" s="2730"/>
      <c r="F554" s="359"/>
      <c r="H554" s="1503" t="s">
        <v>112</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693"/>
      <c r="B555" s="2693"/>
      <c r="C555" s="2730"/>
      <c r="D555" s="2730"/>
      <c r="E555" s="2730"/>
      <c r="F555" s="359"/>
      <c r="H555" s="1503" t="s">
        <v>3679</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693"/>
      <c r="B556" s="2693"/>
      <c r="C556" s="2730"/>
      <c r="D556" s="2730"/>
      <c r="E556" s="2730"/>
      <c r="F556" s="359"/>
      <c r="H556" s="1503" t="s">
        <v>3680</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693"/>
      <c r="B557" s="2693"/>
      <c r="C557" s="2730"/>
      <c r="D557" s="2730"/>
      <c r="E557" s="2730"/>
      <c r="F557" s="359"/>
      <c r="H557" s="1503" t="s">
        <v>3681</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693"/>
      <c r="B558" s="2693"/>
      <c r="D558" s="359"/>
      <c r="E558" s="1503"/>
      <c r="F558" s="359"/>
      <c r="H558" s="1634" t="s">
        <v>504</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693"/>
      <c r="B560" s="2693"/>
      <c r="C560" s="2706" t="s">
        <v>35</v>
      </c>
      <c r="D560" s="2706"/>
      <c r="E560" s="1503" t="s">
        <v>2120</v>
      </c>
      <c r="F560" s="359"/>
      <c r="H560" s="1503" t="s">
        <v>1343</v>
      </c>
      <c r="I560" s="362"/>
      <c r="K560" s="2508">
        <f>GG496</f>
        <v>0</v>
      </c>
      <c r="L560" s="2508">
        <f>GH496</f>
        <v>0</v>
      </c>
      <c r="M560" s="2508">
        <f>GI496</f>
        <v>0</v>
      </c>
      <c r="N560" s="2508">
        <f>GJ496</f>
        <v>0</v>
      </c>
      <c r="O560" s="2508">
        <f>GK496</f>
        <v>0</v>
      </c>
      <c r="P560" s="2508">
        <f t="shared" ref="P560:P570" si="361">SUM(K560:O560)</f>
        <v>0</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3"/>
      <c r="B561" s="2693"/>
      <c r="C561" s="2706"/>
      <c r="D561" s="2706"/>
      <c r="E561" s="1503"/>
      <c r="F561" s="359"/>
      <c r="H561" s="1503" t="s">
        <v>290</v>
      </c>
      <c r="I561" s="362"/>
      <c r="K561" s="2508">
        <f>GL496</f>
        <v>0</v>
      </c>
      <c r="L561" s="2508">
        <f>GM496</f>
        <v>0</v>
      </c>
      <c r="M561" s="2508">
        <f>GN496</f>
        <v>0</v>
      </c>
      <c r="N561" s="2508">
        <f>GO496</f>
        <v>0</v>
      </c>
      <c r="O561" s="2508">
        <f>GP496</f>
        <v>0</v>
      </c>
      <c r="P561" s="2508">
        <f t="shared" si="361"/>
        <v>0</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693"/>
      <c r="B562" s="2693"/>
      <c r="C562" s="2706"/>
      <c r="D562" s="2706"/>
      <c r="E562" s="1503"/>
      <c r="F562" s="359"/>
      <c r="H562" s="1634" t="s">
        <v>29</v>
      </c>
      <c r="I562" s="2707"/>
      <c r="K562" s="2510">
        <f>SUM(K560:K561)+GQ496</f>
        <v>0</v>
      </c>
      <c r="L562" s="2510">
        <f>SUM(L560:L561)+GR496</f>
        <v>0</v>
      </c>
      <c r="M562" s="2510">
        <f>SUM(M560:M561)+GS496</f>
        <v>0</v>
      </c>
      <c r="N562" s="2510">
        <f>SUM(N560:N561)+GT496</f>
        <v>0</v>
      </c>
      <c r="O562" s="2510">
        <f>SUM(O560:O561)+GU496</f>
        <v>0</v>
      </c>
      <c r="P562" s="2510">
        <f t="shared" si="361"/>
        <v>0</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693"/>
      <c r="B563" s="2693"/>
      <c r="C563" s="2706"/>
      <c r="D563" s="2706"/>
      <c r="E563" s="1503" t="s">
        <v>1983</v>
      </c>
      <c r="F563" s="359"/>
      <c r="H563" s="1503" t="s">
        <v>1343</v>
      </c>
      <c r="I563" s="362"/>
      <c r="K563" s="2508">
        <f>GV496</f>
        <v>0</v>
      </c>
      <c r="L563" s="2508">
        <f>GW496</f>
        <v>14</v>
      </c>
      <c r="M563" s="2508">
        <f>GX496</f>
        <v>22</v>
      </c>
      <c r="N563" s="2508">
        <f>GY496</f>
        <v>4</v>
      </c>
      <c r="O563" s="2508">
        <f>GZ496</f>
        <v>0</v>
      </c>
      <c r="P563" s="2508">
        <f t="shared" si="361"/>
        <v>40</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3"/>
      <c r="B564" s="2693"/>
      <c r="C564" s="2706"/>
      <c r="D564" s="2706"/>
      <c r="E564" s="1503"/>
      <c r="F564" s="359"/>
      <c r="H564" s="1503" t="s">
        <v>290</v>
      </c>
      <c r="I564" s="362"/>
      <c r="K564" s="2508">
        <f>HA496</f>
        <v>0</v>
      </c>
      <c r="L564" s="2508">
        <f>HB496</f>
        <v>0</v>
      </c>
      <c r="M564" s="2508">
        <f>HC496</f>
        <v>0</v>
      </c>
      <c r="N564" s="2508">
        <f>HD496</f>
        <v>0</v>
      </c>
      <c r="O564" s="2508">
        <f>HE496</f>
        <v>0</v>
      </c>
      <c r="P564" s="2508">
        <f t="shared" si="361"/>
        <v>0</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693"/>
      <c r="B565" s="2693"/>
      <c r="C565" s="2706"/>
      <c r="D565" s="2706"/>
      <c r="E565" s="1503"/>
      <c r="F565" s="359"/>
      <c r="H565" s="1634" t="s">
        <v>29</v>
      </c>
      <c r="I565" s="2707"/>
      <c r="K565" s="2510">
        <f>SUM(K563:K564)+HF496</f>
        <v>0</v>
      </c>
      <c r="L565" s="2510">
        <f>SUM(L563:L564)+HG496</f>
        <v>14</v>
      </c>
      <c r="M565" s="2510">
        <f>SUM(M563:M564)+HH496</f>
        <v>22</v>
      </c>
      <c r="N565" s="2510">
        <f>SUM(N563:N564)+HI496</f>
        <v>4</v>
      </c>
      <c r="O565" s="2510">
        <f>SUM(O563:O564)+HJ496</f>
        <v>0</v>
      </c>
      <c r="P565" s="2510">
        <f t="shared" si="361"/>
        <v>40</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693"/>
      <c r="B566" s="2693"/>
      <c r="C566" s="2679"/>
      <c r="D566" s="359"/>
      <c r="E566" s="2679" t="s">
        <v>1337</v>
      </c>
      <c r="F566" s="2679"/>
      <c r="H566" s="1503" t="s">
        <v>1343</v>
      </c>
      <c r="I566" s="362"/>
      <c r="K566" s="2508">
        <f>HK496</f>
        <v>0</v>
      </c>
      <c r="L566" s="2508">
        <f>HL496</f>
        <v>0</v>
      </c>
      <c r="M566" s="2508">
        <f>HM496</f>
        <v>0</v>
      </c>
      <c r="N566" s="2508">
        <f>HN496</f>
        <v>0</v>
      </c>
      <c r="O566" s="2508">
        <f>HO496</f>
        <v>0</v>
      </c>
      <c r="P566" s="2508">
        <f t="shared" si="361"/>
        <v>0</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3"/>
      <c r="B567" s="2693"/>
      <c r="C567" s="2679"/>
      <c r="D567" s="359"/>
      <c r="E567" s="2679"/>
      <c r="F567" s="2679"/>
      <c r="H567" s="1503" t="s">
        <v>290</v>
      </c>
      <c r="I567" s="362"/>
      <c r="K567" s="2508">
        <f>HP496</f>
        <v>0</v>
      </c>
      <c r="L567" s="2508">
        <f>HQ496</f>
        <v>0</v>
      </c>
      <c r="M567" s="2508">
        <f>HR496</f>
        <v>0</v>
      </c>
      <c r="N567" s="2508">
        <f>HS496</f>
        <v>0</v>
      </c>
      <c r="O567" s="2508">
        <f>HT496</f>
        <v>0</v>
      </c>
      <c r="P567" s="2508">
        <f t="shared" si="361"/>
        <v>0</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693"/>
      <c r="B568" s="2693"/>
      <c r="C568" s="2679"/>
      <c r="D568" s="359"/>
      <c r="E568" s="1503"/>
      <c r="F568" s="359"/>
      <c r="H568" s="1634" t="s">
        <v>29</v>
      </c>
      <c r="I568" s="2707"/>
      <c r="K568" s="2510">
        <f>SUM(K566:K567)+HU496</f>
        <v>0</v>
      </c>
      <c r="L568" s="2510">
        <f>SUM(L566:L567)+HV496</f>
        <v>0</v>
      </c>
      <c r="M568" s="2510">
        <f>SUM(M566:M567)+HW496</f>
        <v>0</v>
      </c>
      <c r="N568" s="2510">
        <f>SUM(N566:N567)+HX496</f>
        <v>0</v>
      </c>
      <c r="O568" s="2510">
        <f>SUM(O566:O567)+HY496</f>
        <v>0</v>
      </c>
      <c r="P568" s="2510">
        <f t="shared" si="361"/>
        <v>0</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693"/>
      <c r="B569" s="2693"/>
      <c r="C569" s="2679"/>
      <c r="D569" s="359"/>
      <c r="E569" s="1503" t="s">
        <v>345</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03" t="str">
        <f>IF(AND('Part III-A-Uses of Funds'!$T$179="Yes",'Part VIII Scoring Criteria'!$O$312&gt;0,P570&lt;1),"SHOW HISTORIC UNITS HERE &gt;&gt;&gt;&gt;","")</f>
        <v/>
      </c>
      <c r="B570" s="2703"/>
      <c r="C570" s="2703"/>
      <c r="D570" s="2703"/>
      <c r="E570" s="1503" t="s">
        <v>6749</v>
      </c>
      <c r="F570" s="359"/>
      <c r="G570" s="2544"/>
      <c r="H570" s="360"/>
      <c r="K570" s="2508">
        <f>'Part V-Revenues &amp; Expenses'!K123</f>
        <v>0</v>
      </c>
      <c r="L570" s="2508">
        <f>'Part V-Revenues &amp; Expenses'!L123</f>
        <v>0</v>
      </c>
      <c r="M570" s="2508">
        <f>'Part V-Revenues &amp; Expenses'!M123</f>
        <v>0</v>
      </c>
      <c r="N570" s="2508">
        <f>'Part V-Revenues &amp; Expenses'!N123</f>
        <v>0</v>
      </c>
      <c r="O570" s="2508">
        <f>'Part V-Revenues &amp; Expenses'!O123</f>
        <v>0</v>
      </c>
      <c r="P570" s="2508">
        <f t="shared" si="361"/>
        <v>0</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731"/>
      <c r="B572" s="2731"/>
      <c r="C572" s="2731"/>
      <c r="D572" s="2731"/>
      <c r="E572" s="1503" t="s">
        <v>2997</v>
      </c>
      <c r="F572" s="359"/>
      <c r="G572" s="2544"/>
      <c r="H572" s="360"/>
      <c r="K572" s="2508">
        <f>K576+K580+K584+K586+K588+K590</f>
        <v>0</v>
      </c>
      <c r="L572" s="2508">
        <f>L576+L580+L584+L586+L588+L590</f>
        <v>0</v>
      </c>
      <c r="M572" s="2508">
        <f>M576+M580+M584+M586+M588+M590</f>
        <v>0</v>
      </c>
      <c r="N572" s="2508">
        <f>N576+N580+N584+N586+N588+N590</f>
        <v>0</v>
      </c>
      <c r="O572" s="2508">
        <f>O576+O580+O584+O586+O588+O590</f>
        <v>0</v>
      </c>
      <c r="P572" s="2508">
        <f>SUM(K572:O572)</f>
        <v>0</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06" t="s">
        <v>6982</v>
      </c>
      <c r="D574" s="2706"/>
      <c r="E574" s="1503" t="s">
        <v>36</v>
      </c>
      <c r="F574" s="359"/>
      <c r="G574" s="2544"/>
      <c r="H574" s="360"/>
      <c r="K574" s="2510">
        <f t="shared" ref="K574:P574" si="362">SUM(K575:K582)</f>
        <v>0</v>
      </c>
      <c r="L574" s="2510">
        <f t="shared" si="362"/>
        <v>14</v>
      </c>
      <c r="M574" s="2510">
        <f t="shared" si="362"/>
        <v>22</v>
      </c>
      <c r="N574" s="2510">
        <f t="shared" si="362"/>
        <v>4</v>
      </c>
      <c r="O574" s="2510">
        <f t="shared" si="362"/>
        <v>0</v>
      </c>
      <c r="P574" s="2510">
        <f t="shared" si="362"/>
        <v>40</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6"/>
      <c r="D575" s="2706"/>
      <c r="E575" s="1503"/>
      <c r="F575" s="359"/>
      <c r="H575" s="2732" t="s">
        <v>6292</v>
      </c>
      <c r="I575" s="1877"/>
      <c r="K575" s="2508">
        <f>JS496</f>
        <v>0</v>
      </c>
      <c r="L575" s="2508">
        <f>JT496</f>
        <v>14</v>
      </c>
      <c r="M575" s="2508">
        <f>JU496</f>
        <v>22</v>
      </c>
      <c r="N575" s="2508">
        <f>JV496</f>
        <v>4</v>
      </c>
      <c r="O575" s="2508">
        <f>JW496</f>
        <v>0</v>
      </c>
      <c r="P575" s="2508">
        <f t="shared" ref="P575:P590" si="363">SUM(K575:O575)</f>
        <v>40</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6"/>
      <c r="D576" s="2706"/>
      <c r="E576" s="1503"/>
      <c r="F576" s="359"/>
      <c r="H576" s="2733" t="s">
        <v>2997</v>
      </c>
      <c r="I576" s="2734"/>
      <c r="K576" s="2509">
        <f>KC496</f>
        <v>0</v>
      </c>
      <c r="L576" s="2509">
        <f>KD496</f>
        <v>0</v>
      </c>
      <c r="M576" s="2509">
        <f>KE496</f>
        <v>0</v>
      </c>
      <c r="N576" s="2509">
        <f>KF496</f>
        <v>0</v>
      </c>
      <c r="O576" s="2509">
        <f>KG496</f>
        <v>0</v>
      </c>
      <c r="P576" s="2509">
        <f t="shared" si="363"/>
        <v>0</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6"/>
      <c r="D577" s="2706"/>
      <c r="E577" s="1503"/>
      <c r="F577" s="359"/>
      <c r="H577" s="2732" t="s">
        <v>6479</v>
      </c>
      <c r="I577" s="1877"/>
      <c r="K577" s="2508">
        <f>JX496</f>
        <v>0</v>
      </c>
      <c r="L577" s="2508">
        <f>JY496</f>
        <v>0</v>
      </c>
      <c r="M577" s="2508">
        <f>JZ496</f>
        <v>0</v>
      </c>
      <c r="N577" s="2508">
        <f>KA496</f>
        <v>0</v>
      </c>
      <c r="O577" s="2508">
        <f>KB496</f>
        <v>0</v>
      </c>
      <c r="P577" s="2508">
        <f t="shared" si="363"/>
        <v>0</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6"/>
      <c r="D578" s="2706"/>
      <c r="E578" s="1503"/>
      <c r="F578" s="359"/>
      <c r="H578" s="2733" t="s">
        <v>2997</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6"/>
      <c r="D579" s="2706"/>
      <c r="E579" s="1503"/>
      <c r="F579" s="359"/>
      <c r="H579" s="2732" t="s">
        <v>6294</v>
      </c>
      <c r="I579" s="1877"/>
      <c r="K579" s="2508">
        <f>KM496</f>
        <v>0</v>
      </c>
      <c r="L579" s="2508">
        <f>KN496</f>
        <v>0</v>
      </c>
      <c r="M579" s="2508">
        <f>KO496</f>
        <v>0</v>
      </c>
      <c r="N579" s="2508">
        <f>KP496</f>
        <v>0</v>
      </c>
      <c r="O579" s="2508">
        <f>KQ496</f>
        <v>0</v>
      </c>
      <c r="P579" s="2508">
        <f t="shared" si="363"/>
        <v>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6"/>
      <c r="D580" s="2706"/>
      <c r="E580" s="1503"/>
      <c r="F580" s="359"/>
      <c r="H580" s="2733" t="s">
        <v>2997</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6"/>
      <c r="D581" s="2706"/>
      <c r="E581" s="1503"/>
      <c r="F581" s="359"/>
      <c r="H581" s="2732" t="s">
        <v>6486</v>
      </c>
      <c r="I581" s="1877"/>
      <c r="K581" s="2508">
        <f>KR496</f>
        <v>0</v>
      </c>
      <c r="L581" s="2508">
        <f>KS496</f>
        <v>0</v>
      </c>
      <c r="M581" s="2508">
        <f>KT496</f>
        <v>0</v>
      </c>
      <c r="N581" s="2508">
        <f>KU496</f>
        <v>0</v>
      </c>
      <c r="O581" s="2508">
        <f>KV496</f>
        <v>0</v>
      </c>
      <c r="P581" s="2508">
        <f t="shared" si="363"/>
        <v>0</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6"/>
      <c r="D582" s="2706"/>
      <c r="E582" s="1503"/>
      <c r="F582" s="359"/>
      <c r="H582" s="2733" t="s">
        <v>2997</v>
      </c>
      <c r="I582" s="2734"/>
      <c r="K582" s="2509">
        <f>LB496</f>
        <v>0</v>
      </c>
      <c r="L582" s="2509">
        <f>LC496</f>
        <v>0</v>
      </c>
      <c r="M582" s="2509">
        <f>LD496</f>
        <v>0</v>
      </c>
      <c r="N582" s="2509">
        <f>LE496</f>
        <v>0</v>
      </c>
      <c r="O582" s="2509">
        <f>LF496</f>
        <v>0</v>
      </c>
      <c r="P582" s="2509">
        <f t="shared" si="363"/>
        <v>0</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6"/>
      <c r="D583" s="2706"/>
      <c r="E583" s="1503" t="s">
        <v>6481</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06"/>
      <c r="D584" s="2706"/>
      <c r="E584" s="1503"/>
      <c r="F584" s="359"/>
      <c r="H584" s="2733" t="s">
        <v>2997</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06"/>
      <c r="D585" s="2706"/>
      <c r="E585" s="1503" t="s">
        <v>6482</v>
      </c>
      <c r="F585" s="359"/>
      <c r="H585" s="2732"/>
      <c r="I585" s="1877"/>
      <c r="K585" s="2508">
        <f>JI496</f>
        <v>0</v>
      </c>
      <c r="L585" s="2508">
        <f>JJ496</f>
        <v>0</v>
      </c>
      <c r="M585" s="2508">
        <f>JK496</f>
        <v>0</v>
      </c>
      <c r="N585" s="2508">
        <f>JL496</f>
        <v>0</v>
      </c>
      <c r="O585" s="2508">
        <f>JM496</f>
        <v>0</v>
      </c>
      <c r="P585" s="2510">
        <f t="shared" si="363"/>
        <v>0</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6"/>
      <c r="D586" s="2706"/>
      <c r="E586" s="1503"/>
      <c r="F586" s="359"/>
      <c r="H586" s="2733" t="s">
        <v>2997</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6"/>
      <c r="D587" s="2706"/>
      <c r="E587" s="1503" t="s">
        <v>6288</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06"/>
      <c r="D588" s="2706"/>
      <c r="E588" s="1503"/>
      <c r="F588" s="359"/>
      <c r="H588" s="2733" t="s">
        <v>2997</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06"/>
      <c r="D589" s="2706"/>
      <c r="E589" s="360" t="s">
        <v>525</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6"/>
      <c r="D590" s="2706"/>
      <c r="E590" s="360"/>
      <c r="F590" s="359"/>
      <c r="H590" s="2733" t="s">
        <v>2997</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7" customHeight="1">
      <c r="A592" s="361" t="s">
        <v>689</v>
      </c>
      <c r="B592" s="361" t="s">
        <v>6981</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06" t="s">
        <v>6983</v>
      </c>
      <c r="D594" s="2706"/>
      <c r="E594" s="1503" t="s">
        <v>2992</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6"/>
      <c r="D595" s="2706"/>
      <c r="E595" s="1503"/>
      <c r="F595" s="2544"/>
      <c r="H595" s="2733" t="s">
        <v>2997</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6"/>
      <c r="D596" s="2706"/>
      <c r="E596" s="1503" t="s">
        <v>2993</v>
      </c>
      <c r="F596" s="2544"/>
      <c r="H596" s="2563"/>
      <c r="I596" s="2544"/>
      <c r="K596" s="2508">
        <f t="shared" ref="K596:O597" si="366">K585</f>
        <v>0</v>
      </c>
      <c r="L596" s="2508">
        <f t="shared" si="366"/>
        <v>0</v>
      </c>
      <c r="M596" s="2508">
        <f t="shared" si="366"/>
        <v>0</v>
      </c>
      <c r="N596" s="2508">
        <f t="shared" si="366"/>
        <v>0</v>
      </c>
      <c r="O596" s="2508">
        <f t="shared" si="366"/>
        <v>0</v>
      </c>
      <c r="P596" s="2510">
        <f t="shared" si="365"/>
        <v>0</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6"/>
      <c r="D597" s="2706"/>
      <c r="E597" s="1503"/>
      <c r="F597" s="2544"/>
      <c r="H597" s="2733" t="s">
        <v>2997</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6"/>
      <c r="D598" s="2706"/>
      <c r="E598" s="1503" t="s">
        <v>2994</v>
      </c>
      <c r="F598" s="2544"/>
      <c r="H598" s="2732"/>
      <c r="I598" s="1877"/>
      <c r="K598" s="2508">
        <f t="shared" ref="K598:O601" si="367">K575+K579</f>
        <v>0</v>
      </c>
      <c r="L598" s="2508">
        <f t="shared" si="367"/>
        <v>14</v>
      </c>
      <c r="M598" s="2508">
        <f t="shared" si="367"/>
        <v>22</v>
      </c>
      <c r="N598" s="2508">
        <f t="shared" si="367"/>
        <v>4</v>
      </c>
      <c r="O598" s="2508">
        <f t="shared" si="367"/>
        <v>0</v>
      </c>
      <c r="P598" s="2510">
        <f t="shared" si="365"/>
        <v>40</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6"/>
      <c r="D599" s="2706"/>
      <c r="E599" s="1503"/>
      <c r="F599" s="2544"/>
      <c r="H599" s="2733" t="s">
        <v>2997</v>
      </c>
      <c r="I599" s="2734"/>
      <c r="K599" s="2509">
        <f t="shared" si="367"/>
        <v>0</v>
      </c>
      <c r="L599" s="2509">
        <f t="shared" si="367"/>
        <v>0</v>
      </c>
      <c r="M599" s="2509">
        <f t="shared" si="367"/>
        <v>0</v>
      </c>
      <c r="N599" s="2509">
        <f t="shared" si="367"/>
        <v>0</v>
      </c>
      <c r="O599" s="2509">
        <f t="shared" si="367"/>
        <v>0</v>
      </c>
      <c r="P599" s="2511">
        <f t="shared" si="365"/>
        <v>0</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6"/>
      <c r="D600" s="2706"/>
      <c r="E600" s="1503" t="s">
        <v>2995</v>
      </c>
      <c r="F600" s="2544"/>
      <c r="H600" s="2732"/>
      <c r="I600" s="1877"/>
      <c r="K600" s="2508">
        <f t="shared" si="367"/>
        <v>0</v>
      </c>
      <c r="L600" s="2508">
        <f t="shared" si="367"/>
        <v>0</v>
      </c>
      <c r="M600" s="2508">
        <f t="shared" si="367"/>
        <v>0</v>
      </c>
      <c r="N600" s="2508">
        <f t="shared" si="367"/>
        <v>0</v>
      </c>
      <c r="O600" s="2508">
        <f t="shared" si="367"/>
        <v>0</v>
      </c>
      <c r="P600" s="2510">
        <f t="shared" si="365"/>
        <v>0</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4"/>
      <c r="H601" s="2733" t="s">
        <v>2997</v>
      </c>
      <c r="I601" s="2734"/>
      <c r="K601" s="2509">
        <f t="shared" si="367"/>
        <v>0</v>
      </c>
      <c r="L601" s="2509">
        <f t="shared" si="367"/>
        <v>0</v>
      </c>
      <c r="M601" s="2509">
        <f t="shared" si="367"/>
        <v>0</v>
      </c>
      <c r="N601" s="2509">
        <f t="shared" si="367"/>
        <v>0</v>
      </c>
      <c r="O601" s="2509">
        <f t="shared" si="367"/>
        <v>0</v>
      </c>
      <c r="P601" s="2511">
        <f t="shared" si="365"/>
        <v>0</v>
      </c>
      <c r="Q601" s="2737" t="s">
        <v>6984</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6495</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3677</v>
      </c>
      <c r="I604" s="807"/>
      <c r="K604" s="2729">
        <f>EI496</f>
        <v>0</v>
      </c>
      <c r="L604" s="2729">
        <f>EJ496</f>
        <v>0</v>
      </c>
      <c r="M604" s="2729">
        <f>EK496</f>
        <v>0</v>
      </c>
      <c r="N604" s="2729">
        <f>EL496</f>
        <v>0</v>
      </c>
      <c r="O604" s="2729">
        <f>EM496</f>
        <v>0</v>
      </c>
      <c r="P604" s="2512">
        <f t="shared" ref="P604:P610" si="368">SUM(K604:O604)</f>
        <v>0</v>
      </c>
      <c r="Q604" s="2726" t="str">
        <f t="shared" ref="Q604:Q610" si="369">IF(OR(P503=0,P503=""),"",P604/P503)</f>
        <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732" t="s">
        <v>3678</v>
      </c>
      <c r="I605" s="1877"/>
      <c r="K605" s="2512">
        <f>EN496</f>
        <v>0</v>
      </c>
      <c r="L605" s="2512">
        <f>EO496</f>
        <v>0</v>
      </c>
      <c r="M605" s="2512">
        <f>EP496</f>
        <v>0</v>
      </c>
      <c r="N605" s="2512">
        <f>EQ496</f>
        <v>0</v>
      </c>
      <c r="O605" s="2512">
        <f>ER496</f>
        <v>0</v>
      </c>
      <c r="P605" s="2512">
        <f t="shared" si="368"/>
        <v>0</v>
      </c>
      <c r="Q605" s="2726" t="str">
        <f t="shared" si="369"/>
        <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732" t="s">
        <v>1081</v>
      </c>
      <c r="I606" s="1877"/>
      <c r="K606" s="2512">
        <f>ES496</f>
        <v>0</v>
      </c>
      <c r="L606" s="2512">
        <f>ET496</f>
        <v>8568</v>
      </c>
      <c r="M606" s="2512">
        <f>EU496</f>
        <v>16930</v>
      </c>
      <c r="N606" s="2512">
        <f>EV496</f>
        <v>3672</v>
      </c>
      <c r="O606" s="2512">
        <f>EW496</f>
        <v>0</v>
      </c>
      <c r="P606" s="2512">
        <f t="shared" si="368"/>
        <v>29170</v>
      </c>
      <c r="Q606" s="2726">
        <f t="shared" si="369"/>
        <v>729.25</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732" t="s">
        <v>112</v>
      </c>
      <c r="I607" s="1877"/>
      <c r="K607" s="2512">
        <f>EX496</f>
        <v>0</v>
      </c>
      <c r="L607" s="2512">
        <f>EY496</f>
        <v>0</v>
      </c>
      <c r="M607" s="2512">
        <f>EZ496</f>
        <v>0</v>
      </c>
      <c r="N607" s="2512">
        <f>FA496</f>
        <v>0</v>
      </c>
      <c r="O607" s="2512">
        <f>FB496</f>
        <v>0</v>
      </c>
      <c r="P607" s="2512">
        <f t="shared" si="368"/>
        <v>0</v>
      </c>
      <c r="Q607" s="2726" t="str">
        <f t="shared" si="369"/>
        <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732" t="s">
        <v>3679</v>
      </c>
      <c r="I608" s="1877"/>
      <c r="K608" s="2512">
        <f>FC496</f>
        <v>0</v>
      </c>
      <c r="L608" s="2512">
        <f>FD496</f>
        <v>0</v>
      </c>
      <c r="M608" s="2512">
        <f>FE496</f>
        <v>0</v>
      </c>
      <c r="N608" s="2512">
        <f>FF496</f>
        <v>0</v>
      </c>
      <c r="O608" s="2512">
        <f>FG496</f>
        <v>0</v>
      </c>
      <c r="P608" s="2512">
        <f t="shared" si="368"/>
        <v>0</v>
      </c>
      <c r="Q608" s="2726" t="str">
        <f t="shared" si="369"/>
        <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732" t="s">
        <v>3680</v>
      </c>
      <c r="I609" s="1877"/>
      <c r="K609" s="2512">
        <f>FH496</f>
        <v>0</v>
      </c>
      <c r="L609" s="2512">
        <f>FI496</f>
        <v>0</v>
      </c>
      <c r="M609" s="2512">
        <f>FJ496</f>
        <v>0</v>
      </c>
      <c r="N609" s="2512">
        <f>FK496</f>
        <v>0</v>
      </c>
      <c r="O609" s="2512">
        <f>FL496</f>
        <v>0</v>
      </c>
      <c r="P609" s="2512">
        <f t="shared" si="368"/>
        <v>0</v>
      </c>
      <c r="Q609" s="2726" t="str">
        <f t="shared" si="369"/>
        <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3681</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733" t="s">
        <v>3762</v>
      </c>
      <c r="I611" s="2734"/>
      <c r="J611" s="2719"/>
      <c r="K611" s="2513">
        <f>SUM(K604:K610)</f>
        <v>0</v>
      </c>
      <c r="L611" s="2513">
        <f>SUM(L604:L610)</f>
        <v>8568</v>
      </c>
      <c r="M611" s="2513">
        <f>SUM(M604:M610)</f>
        <v>16930</v>
      </c>
      <c r="N611" s="2513">
        <f>SUM(N604:N610)</f>
        <v>3672</v>
      </c>
      <c r="O611" s="2513">
        <f>SUM(O604:O610)</f>
        <v>0</v>
      </c>
      <c r="P611" s="2513">
        <f>SUM(K611:O611)</f>
        <v>29170</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12">
        <f>FR496</f>
        <v>0</v>
      </c>
      <c r="L612" s="2512">
        <f>FS496</f>
        <v>0</v>
      </c>
      <c r="M612" s="2512">
        <f>FT496</f>
        <v>0</v>
      </c>
      <c r="N612" s="2512">
        <f>FU496</f>
        <v>0</v>
      </c>
      <c r="O612" s="2512">
        <f>FV496</f>
        <v>0</v>
      </c>
      <c r="P612" s="2512">
        <f>SUM(K612:O612)</f>
        <v>0</v>
      </c>
      <c r="Q612" s="2726" t="str">
        <f>IF(OR(P511=0,P511=""),"",P612/P511)</f>
        <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739" t="s">
        <v>1070</v>
      </c>
      <c r="D613" s="2718"/>
      <c r="E613" s="2718"/>
      <c r="F613" s="2718"/>
      <c r="G613" s="2718"/>
      <c r="H613" s="2719"/>
      <c r="I613" s="2719"/>
      <c r="J613" s="2719"/>
      <c r="K613" s="2514">
        <f>SUM(K611:K612)</f>
        <v>0</v>
      </c>
      <c r="L613" s="2514">
        <f>SUM(L611:L612)</f>
        <v>8568</v>
      </c>
      <c r="M613" s="2514">
        <f>SUM(M611:M612)</f>
        <v>16930</v>
      </c>
      <c r="N613" s="2514">
        <f>SUM(N611:N612)</f>
        <v>3672</v>
      </c>
      <c r="O613" s="2514">
        <f>SUM(O611:O612)</f>
        <v>0</v>
      </c>
      <c r="P613" s="2514">
        <f>SUM(K613:O613)</f>
        <v>29170</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12">
        <f>GB496</f>
        <v>0</v>
      </c>
      <c r="L614" s="2512">
        <f>GC496</f>
        <v>0</v>
      </c>
      <c r="M614" s="2512">
        <f>GD496</f>
        <v>0</v>
      </c>
      <c r="N614" s="2512">
        <f>GE496</f>
        <v>0</v>
      </c>
      <c r="O614" s="2512">
        <f>GF496</f>
        <v>0</v>
      </c>
      <c r="P614" s="2512">
        <f>SUM(K614:O614)</f>
        <v>0</v>
      </c>
      <c r="Q614" s="2726" t="str">
        <f>IF(OR(P513=0,P513=""),"",P614/P513)</f>
        <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15">
        <f>SUM(K613:K614)</f>
        <v>0</v>
      </c>
      <c r="L615" s="2515">
        <f>SUM(L613:L614)</f>
        <v>8568</v>
      </c>
      <c r="M615" s="2515">
        <f>SUM(M613:M614)</f>
        <v>16930</v>
      </c>
      <c r="N615" s="2515">
        <f>SUM(N613:N614)</f>
        <v>3672</v>
      </c>
      <c r="O615" s="2515">
        <f>SUM(O613:O614)</f>
        <v>0</v>
      </c>
      <c r="P615" s="2515">
        <f>SUM(K615:O615)</f>
        <v>29170</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6985</v>
      </c>
      <c r="K618" s="2740" t="str">
        <f>IF(OR(K514="",K514=0),"",K615/K514)</f>
        <v/>
      </c>
      <c r="L618" s="2740">
        <f>IF(OR(L514="",L514=0),"",L615/L514)</f>
        <v>612</v>
      </c>
      <c r="M618" s="2740">
        <f>IF(OR(M514="",M514=0),"",M615/M514)</f>
        <v>769.5454545454545</v>
      </c>
      <c r="N618" s="2740">
        <f>IF(OR(N514="",N514=0),"",N615/N514)</f>
        <v>918</v>
      </c>
      <c r="O618" s="2740" t="str">
        <f>IF(OR(O514="",O514=0),"",O615/O514)</f>
        <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6647</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537"/>
      <c r="C621" s="377" t="s">
        <v>6986</v>
      </c>
      <c r="K621" s="2471">
        <f>'Part V-Revenues &amp; Expenses'!K174</f>
        <v>679</v>
      </c>
      <c r="L621" s="2471"/>
      <c r="Z621" s="1622">
        <v>68</v>
      </c>
    </row>
    <row r="622" spans="1:380" s="1819" customFormat="1" ht="13.35" customHeight="1">
      <c r="A622" s="2537"/>
      <c r="C622" s="377" t="s">
        <v>242</v>
      </c>
      <c r="K622" s="2471">
        <f>P615+K621</f>
        <v>29849</v>
      </c>
      <c r="L622" s="2471"/>
      <c r="Z622" s="1622">
        <v>69</v>
      </c>
    </row>
    <row r="623" spans="1:380" s="359" customFormat="1" ht="14.1" customHeight="1">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6987</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742">
        <f>'Part V-Revenues &amp; Expenses'!H179</f>
        <v>892</v>
      </c>
      <c r="I626" s="2742"/>
      <c r="J626" s="2732" t="s">
        <v>6988</v>
      </c>
      <c r="M626" s="1503"/>
      <c r="N626" s="1503"/>
      <c r="O626" s="1503"/>
      <c r="P626" s="2743">
        <f>IF(M497=0,0,H626/M497)</f>
        <v>3.1660845614333985E-3</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03" t="s">
        <v>1356</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745" t="s">
        <v>2111</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746">
        <f>'Part V-Revenues &amp; Expenses'!H183</f>
        <v>0</v>
      </c>
      <c r="I630" s="2746">
        <f>'Part V-Revenues &amp; Expenses'!I183</f>
        <v>0</v>
      </c>
      <c r="J630" s="2746">
        <f>'Part V-Revenues &amp; Expenses'!J183</f>
        <v>0</v>
      </c>
      <c r="K630" s="2746">
        <f>'Part V-Revenues &amp; Expenses'!K183</f>
        <v>0</v>
      </c>
      <c r="L630" s="2746">
        <f>'Part V-Revenues &amp; Expenses'!L183</f>
        <v>0</v>
      </c>
      <c r="M630" s="2746">
        <f>'Part V-Revenues &amp; Expenses'!M183</f>
        <v>0</v>
      </c>
      <c r="N630" s="2746">
        <f>'Part V-Revenues &amp; Expenses'!N183</f>
        <v>0</v>
      </c>
      <c r="O630" s="2746">
        <f>'Part V-Revenues &amp; Expenses'!O183</f>
        <v>0</v>
      </c>
      <c r="P630" s="2746">
        <f>'Part V-Revenues &amp; Expenses'!P183</f>
        <v>0</v>
      </c>
      <c r="Q630" s="2746">
        <f>'Part V-Revenues &amp; Expenses'!Q183</f>
        <v>0</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746">
        <f>'Part V-Revenues &amp; Expenses'!H184</f>
        <v>0</v>
      </c>
      <c r="I631" s="2746">
        <f>'Part V-Revenues &amp; Expenses'!I184</f>
        <v>0</v>
      </c>
      <c r="J631" s="2746">
        <f>'Part V-Revenues &amp; Expenses'!J184</f>
        <v>0</v>
      </c>
      <c r="K631" s="2746">
        <f>'Part V-Revenues &amp; Expenses'!K184</f>
        <v>0</v>
      </c>
      <c r="L631" s="2746">
        <f>'Part V-Revenues &amp; Expenses'!L184</f>
        <v>0</v>
      </c>
      <c r="M631" s="2746">
        <f>'Part V-Revenues &amp; Expenses'!M184</f>
        <v>0</v>
      </c>
      <c r="N631" s="2746">
        <f>'Part V-Revenues &amp; Expenses'!N184</f>
        <v>0</v>
      </c>
      <c r="O631" s="2746">
        <f>'Part V-Revenues &amp; Expenses'!O184</f>
        <v>0</v>
      </c>
      <c r="P631" s="2746">
        <f>'Part V-Revenues &amp; Expenses'!P184</f>
        <v>0</v>
      </c>
      <c r="Q631" s="2746">
        <f>'Part V-Revenues &amp; Expenses'!Q184</f>
        <v>0</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19">
        <f>SUM(H630:H631)</f>
        <v>0</v>
      </c>
      <c r="I632" s="2519">
        <f>SUM(I630:I631)</f>
        <v>0</v>
      </c>
      <c r="J632" s="2519">
        <f t="shared" ref="J632:Q632" si="370">SUM(J630:J631)</f>
        <v>0</v>
      </c>
      <c r="K632" s="2519">
        <f t="shared" si="370"/>
        <v>0</v>
      </c>
      <c r="L632" s="2519">
        <f t="shared" si="370"/>
        <v>0</v>
      </c>
      <c r="M632" s="2519">
        <f t="shared" si="370"/>
        <v>0</v>
      </c>
      <c r="N632" s="2519">
        <f t="shared" si="370"/>
        <v>0</v>
      </c>
      <c r="O632" s="2519">
        <f t="shared" si="370"/>
        <v>0</v>
      </c>
      <c r="P632" s="2519">
        <f t="shared" si="370"/>
        <v>0</v>
      </c>
      <c r="Q632" s="2519">
        <f t="shared" si="370"/>
        <v>0</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745" t="s">
        <v>6989</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746">
        <f>'Part V-Revenues &amp; Expenses'!H187</f>
        <v>0</v>
      </c>
      <c r="I634" s="2746">
        <f>'Part V-Revenues &amp; Expenses'!I187</f>
        <v>0</v>
      </c>
      <c r="J634" s="2746">
        <f>'Part V-Revenues &amp; Expenses'!J187</f>
        <v>0</v>
      </c>
      <c r="K634" s="2746">
        <f>'Part V-Revenues &amp; Expenses'!K187</f>
        <v>0</v>
      </c>
      <c r="L634" s="2746">
        <f>'Part V-Revenues &amp; Expenses'!L187</f>
        <v>0</v>
      </c>
      <c r="M634" s="2746">
        <f>'Part V-Revenues &amp; Expenses'!M187</f>
        <v>0</v>
      </c>
      <c r="N634" s="2746">
        <f>'Part V-Revenues &amp; Expenses'!N187</f>
        <v>0</v>
      </c>
      <c r="O634" s="2746">
        <f>'Part V-Revenues &amp; Expenses'!O187</f>
        <v>0</v>
      </c>
      <c r="P634" s="2746">
        <f>'Part V-Revenues &amp; Expenses'!P187</f>
        <v>0</v>
      </c>
      <c r="Q634" s="2746">
        <f>'Part V-Revenues &amp; Expenses'!Q187</f>
        <v>0</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6990</v>
      </c>
      <c r="D636" s="1503"/>
      <c r="E636" s="1503"/>
      <c r="F636" s="1503"/>
      <c r="H636" s="2519">
        <f>SUM(H634:H635)</f>
        <v>0</v>
      </c>
      <c r="I636" s="2519">
        <f>SUM(I634:I635)</f>
        <v>0</v>
      </c>
      <c r="J636" s="2519">
        <f t="shared" ref="J636:Q636" si="371">SUM(J634:J635)</f>
        <v>0</v>
      </c>
      <c r="K636" s="2519">
        <f t="shared" si="371"/>
        <v>0</v>
      </c>
      <c r="L636" s="2519">
        <f t="shared" si="371"/>
        <v>0</v>
      </c>
      <c r="M636" s="2519">
        <f t="shared" si="371"/>
        <v>0</v>
      </c>
      <c r="N636" s="2519">
        <f t="shared" si="371"/>
        <v>0</v>
      </c>
      <c r="O636" s="2519">
        <f t="shared" si="371"/>
        <v>0</v>
      </c>
      <c r="P636" s="2519">
        <f t="shared" si="371"/>
        <v>0</v>
      </c>
      <c r="Q636" s="2519">
        <f t="shared" si="371"/>
        <v>0</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745" t="s">
        <v>2111</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746">
        <f>'Part V-Revenues &amp; Expenses'!H192</f>
        <v>0</v>
      </c>
      <c r="I639" s="2746">
        <f>'Part V-Revenues &amp; Expenses'!I192</f>
        <v>0</v>
      </c>
      <c r="J639" s="2746">
        <f>'Part V-Revenues &amp; Expenses'!J192</f>
        <v>0</v>
      </c>
      <c r="K639" s="2746">
        <f>'Part V-Revenues &amp; Expenses'!K192</f>
        <v>0</v>
      </c>
      <c r="L639" s="2746">
        <f>'Part V-Revenues &amp; Expenses'!L192</f>
        <v>0</v>
      </c>
      <c r="M639" s="2746">
        <f>'Part V-Revenues &amp; Expenses'!M192</f>
        <v>0</v>
      </c>
      <c r="N639" s="2746">
        <f>'Part V-Revenues &amp; Expenses'!N192</f>
        <v>0</v>
      </c>
      <c r="O639" s="2746">
        <f>'Part V-Revenues &amp; Expenses'!O192</f>
        <v>0</v>
      </c>
      <c r="P639" s="2746">
        <f>'Part V-Revenues &amp; Expenses'!P192</f>
        <v>0</v>
      </c>
      <c r="Q639" s="2746">
        <f>'Part V-Revenues &amp; Expenses'!Q192</f>
        <v>0</v>
      </c>
      <c r="R639" s="2740"/>
      <c r="S639" s="2706"/>
      <c r="T639" s="2706"/>
      <c r="U639" s="2706"/>
      <c r="V639" s="2706"/>
      <c r="W639" s="2706"/>
    </row>
    <row r="640" spans="2:380" ht="15.6" customHeight="1">
      <c r="B640" s="1503" t="s">
        <v>690</v>
      </c>
      <c r="C640" s="1503">
        <f>'Part V-Revenues &amp; Expenses'!C193</f>
        <v>0</v>
      </c>
      <c r="D640" s="1503"/>
      <c r="E640" s="1503"/>
      <c r="F640" s="1503"/>
      <c r="H640" s="2746">
        <f>'Part V-Revenues &amp; Expenses'!H193</f>
        <v>0</v>
      </c>
      <c r="I640" s="2746">
        <f>'Part V-Revenues &amp; Expenses'!I193</f>
        <v>0</v>
      </c>
      <c r="J640" s="2746">
        <f>'Part V-Revenues &amp; Expenses'!J193</f>
        <v>0</v>
      </c>
      <c r="K640" s="2746">
        <f>'Part V-Revenues &amp; Expenses'!K193</f>
        <v>0</v>
      </c>
      <c r="L640" s="2746">
        <f>'Part V-Revenues &amp; Expenses'!L193</f>
        <v>0</v>
      </c>
      <c r="M640" s="2746">
        <f>'Part V-Revenues &amp; Expenses'!M193</f>
        <v>0</v>
      </c>
      <c r="N640" s="2746">
        <f>'Part V-Revenues &amp; Expenses'!N193</f>
        <v>0</v>
      </c>
      <c r="O640" s="2746">
        <f>'Part V-Revenues &amp; Expenses'!O193</f>
        <v>0</v>
      </c>
      <c r="P640" s="2746">
        <f>'Part V-Revenues &amp; Expenses'!P193</f>
        <v>0</v>
      </c>
      <c r="Q640" s="2746">
        <f>'Part V-Revenues &amp; Expenses'!Q193</f>
        <v>0</v>
      </c>
      <c r="R640" s="2740"/>
      <c r="S640" s="2706"/>
      <c r="T640" s="2706"/>
      <c r="U640" s="2706"/>
      <c r="V640" s="2706"/>
      <c r="W640" s="2706"/>
    </row>
    <row r="641" spans="2:343" ht="15.6" customHeight="1">
      <c r="B641" s="1503"/>
      <c r="C641" s="1503" t="s">
        <v>870</v>
      </c>
      <c r="D641" s="1503"/>
      <c r="E641" s="1503"/>
      <c r="F641" s="1503"/>
      <c r="H641" s="2519">
        <f>SUM(H639:H640)</f>
        <v>0</v>
      </c>
      <c r="I641" s="2519">
        <f>SUM(I639:I640)</f>
        <v>0</v>
      </c>
      <c r="J641" s="2519">
        <f t="shared" ref="J641:Q641" si="372">SUM(J639:J640)</f>
        <v>0</v>
      </c>
      <c r="K641" s="2519">
        <f t="shared" si="372"/>
        <v>0</v>
      </c>
      <c r="L641" s="2519">
        <f t="shared" si="372"/>
        <v>0</v>
      </c>
      <c r="M641" s="2519">
        <f t="shared" si="372"/>
        <v>0</v>
      </c>
      <c r="N641" s="2519">
        <f t="shared" si="372"/>
        <v>0</v>
      </c>
      <c r="O641" s="2519">
        <f t="shared" si="372"/>
        <v>0</v>
      </c>
      <c r="P641" s="2519">
        <f t="shared" si="372"/>
        <v>0</v>
      </c>
      <c r="Q641" s="2519">
        <f t="shared" si="372"/>
        <v>0</v>
      </c>
      <c r="R641" s="363"/>
      <c r="S641" s="2706"/>
      <c r="T641" s="2706"/>
      <c r="U641" s="2706"/>
      <c r="V641" s="2706"/>
      <c r="W641" s="2706"/>
    </row>
    <row r="642" spans="2:343" ht="15.6" customHeight="1">
      <c r="B642" s="2745" t="s">
        <v>6989</v>
      </c>
      <c r="C642" s="360"/>
      <c r="D642" s="360"/>
      <c r="E642" s="360"/>
      <c r="F642" s="360"/>
      <c r="H642" s="2747"/>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746">
        <f>'Part V-Revenues &amp; Expenses'!H196</f>
        <v>0</v>
      </c>
      <c r="I643" s="2746">
        <f>'Part V-Revenues &amp; Expenses'!I196</f>
        <v>0</v>
      </c>
      <c r="J643" s="2746">
        <f>'Part V-Revenues &amp; Expenses'!J196</f>
        <v>0</v>
      </c>
      <c r="K643" s="2746">
        <f>'Part V-Revenues &amp; Expenses'!K196</f>
        <v>0</v>
      </c>
      <c r="L643" s="2746">
        <f>'Part V-Revenues &amp; Expenses'!L196</f>
        <v>0</v>
      </c>
      <c r="M643" s="2746">
        <f>'Part V-Revenues &amp; Expenses'!M196</f>
        <v>0</v>
      </c>
      <c r="N643" s="2746">
        <f>'Part V-Revenues &amp; Expenses'!N196</f>
        <v>0</v>
      </c>
      <c r="O643" s="2746">
        <f>'Part V-Revenues &amp; Expenses'!O196</f>
        <v>0</v>
      </c>
      <c r="P643" s="2746">
        <f>'Part V-Revenues &amp; Expenses'!P196</f>
        <v>0</v>
      </c>
      <c r="Q643" s="2746">
        <f>'Part V-Revenues &amp; Expenses'!Q196</f>
        <v>0</v>
      </c>
      <c r="R643" s="2740"/>
      <c r="S643" s="2706"/>
      <c r="T643" s="2706"/>
      <c r="U643" s="2706"/>
      <c r="V643" s="2706"/>
      <c r="W643" s="2706"/>
    </row>
    <row r="644" spans="2:343" ht="15.6" customHeight="1">
      <c r="B644" s="1503" t="s">
        <v>690</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 customHeight="1">
      <c r="B645" s="1503"/>
      <c r="C645" s="1503" t="s">
        <v>6990</v>
      </c>
      <c r="D645" s="1503"/>
      <c r="E645" s="1503"/>
      <c r="F645" s="1503"/>
      <c r="H645" s="2519">
        <f>SUM(H643:H644)</f>
        <v>0</v>
      </c>
      <c r="I645" s="2519">
        <f>SUM(I643:I644)</f>
        <v>0</v>
      </c>
      <c r="J645" s="2519">
        <f t="shared" ref="J645:Q645" si="373">SUM(J643:J644)</f>
        <v>0</v>
      </c>
      <c r="K645" s="2519">
        <f t="shared" si="373"/>
        <v>0</v>
      </c>
      <c r="L645" s="2519">
        <f t="shared" si="373"/>
        <v>0</v>
      </c>
      <c r="M645" s="2519">
        <f t="shared" si="373"/>
        <v>0</v>
      </c>
      <c r="N645" s="2519">
        <f t="shared" si="373"/>
        <v>0</v>
      </c>
      <c r="O645" s="2519">
        <f t="shared" si="373"/>
        <v>0</v>
      </c>
      <c r="P645" s="2519">
        <f t="shared" si="373"/>
        <v>0</v>
      </c>
      <c r="Q645" s="2519">
        <f t="shared" si="373"/>
        <v>0</v>
      </c>
      <c r="R645" s="363"/>
      <c r="S645" s="2706"/>
      <c r="T645" s="2706"/>
      <c r="U645" s="2706"/>
      <c r="V645" s="2706"/>
      <c r="W645" s="2706"/>
    </row>
    <row r="646" spans="2:343" ht="15.6" customHeight="1">
      <c r="B646" s="2703"/>
      <c r="C646" s="360"/>
      <c r="D646" s="360"/>
      <c r="E646" s="360"/>
      <c r="F646" s="360"/>
      <c r="H646" s="2747"/>
      <c r="I646" s="360"/>
      <c r="J646" s="360"/>
      <c r="K646" s="360"/>
      <c r="L646" s="360"/>
      <c r="M646" s="360"/>
      <c r="N646" s="360"/>
      <c r="O646" s="360"/>
      <c r="P646" s="360"/>
      <c r="Q646" s="360"/>
    </row>
    <row r="647" spans="2:343" ht="15.6" customHeight="1">
      <c r="B647" s="2745" t="s">
        <v>2111</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2410</v>
      </c>
      <c r="T647" s="359" t="str">
        <f>B647</f>
        <v>Included in Mgt Fee:</v>
      </c>
    </row>
    <row r="648" spans="2:343" ht="15.6" customHeight="1">
      <c r="B648" s="1503" t="s">
        <v>953</v>
      </c>
      <c r="C648" s="1503"/>
      <c r="D648" s="1503"/>
      <c r="E648" s="1503"/>
      <c r="F648" s="1503"/>
      <c r="H648" s="2746">
        <f>'Part V-Revenues &amp; Expenses'!H201</f>
        <v>0</v>
      </c>
      <c r="I648" s="2746">
        <f>'Part V-Revenues &amp; Expenses'!I201</f>
        <v>0</v>
      </c>
      <c r="J648" s="2746">
        <f>'Part V-Revenues &amp; Expenses'!J201</f>
        <v>0</v>
      </c>
      <c r="K648" s="2746">
        <f>'Part V-Revenues &amp; Expenses'!K201</f>
        <v>0</v>
      </c>
      <c r="L648" s="2746">
        <f>'Part V-Revenues &amp; Expenses'!L201</f>
        <v>0</v>
      </c>
      <c r="M648" s="2746">
        <f>'Part V-Revenues &amp; Expenses'!M201</f>
        <v>0</v>
      </c>
      <c r="N648" s="2746">
        <f>'Part V-Revenues &amp; Expenses'!N201</f>
        <v>0</v>
      </c>
      <c r="O648" s="2746">
        <f>'Part V-Revenues &amp; Expenses'!O201</f>
        <v>0</v>
      </c>
      <c r="P648" s="2746">
        <f>'Part V-Revenues &amp; Expenses'!P201</f>
        <v>0</v>
      </c>
      <c r="Q648" s="2746">
        <f>'Part V-Revenues &amp; Expenses'!Q201</f>
        <v>0</v>
      </c>
      <c r="R648" s="2740"/>
      <c r="S648" s="2706"/>
      <c r="T648" s="2706"/>
      <c r="U648" s="2706"/>
      <c r="V648" s="2706"/>
      <c r="W648" s="2706"/>
    </row>
    <row r="649" spans="2:343" ht="15.6" customHeight="1">
      <c r="B649" s="1503" t="s">
        <v>690</v>
      </c>
      <c r="C649" s="1503">
        <f>'Part V-Revenues &amp; Expenses'!C202</f>
        <v>0</v>
      </c>
      <c r="D649" s="1503"/>
      <c r="E649" s="1503"/>
      <c r="F649" s="1503"/>
      <c r="H649" s="2746">
        <f>'Part V-Revenues &amp; Expenses'!H202</f>
        <v>0</v>
      </c>
      <c r="I649" s="2746">
        <f>'Part V-Revenues &amp; Expenses'!I202</f>
        <v>0</v>
      </c>
      <c r="J649" s="2746">
        <f>'Part V-Revenues &amp; Expenses'!J202</f>
        <v>0</v>
      </c>
      <c r="K649" s="2746">
        <f>'Part V-Revenues &amp; Expenses'!K202</f>
        <v>0</v>
      </c>
      <c r="L649" s="2746">
        <f>'Part V-Revenues &amp; Expenses'!L202</f>
        <v>0</v>
      </c>
      <c r="M649" s="2746">
        <f>'Part V-Revenues &amp; Expenses'!M202</f>
        <v>0</v>
      </c>
      <c r="N649" s="2746">
        <f>'Part V-Revenues &amp; Expenses'!N202</f>
        <v>0</v>
      </c>
      <c r="O649" s="2746">
        <f>'Part V-Revenues &amp; Expenses'!O202</f>
        <v>0</v>
      </c>
      <c r="P649" s="2746">
        <f>'Part V-Revenues &amp; Expenses'!P202</f>
        <v>0</v>
      </c>
      <c r="Q649" s="2746">
        <f>'Part V-Revenues &amp; Expenses'!Q202</f>
        <v>0</v>
      </c>
      <c r="R649" s="2740"/>
      <c r="S649" s="2706"/>
      <c r="T649" s="2706"/>
      <c r="U649" s="2706"/>
      <c r="V649" s="2706"/>
      <c r="W649" s="2706"/>
    </row>
    <row r="650" spans="2:343" ht="15.6" customHeight="1">
      <c r="B650" s="1503"/>
      <c r="C650" s="1503" t="s">
        <v>870</v>
      </c>
      <c r="D650" s="1503"/>
      <c r="E650" s="1503"/>
      <c r="F650" s="1503"/>
      <c r="H650" s="2519">
        <f>SUM(H648:H649)</f>
        <v>0</v>
      </c>
      <c r="I650" s="2519">
        <f>SUM(I648:I649)</f>
        <v>0</v>
      </c>
      <c r="J650" s="2519">
        <f t="shared" ref="J650:Q650" si="374">SUM(J648:J649)</f>
        <v>0</v>
      </c>
      <c r="K650" s="2519">
        <f t="shared" si="374"/>
        <v>0</v>
      </c>
      <c r="L650" s="2519">
        <f t="shared" si="374"/>
        <v>0</v>
      </c>
      <c r="M650" s="2519">
        <f t="shared" si="374"/>
        <v>0</v>
      </c>
      <c r="N650" s="2519">
        <f t="shared" si="374"/>
        <v>0</v>
      </c>
      <c r="O650" s="2519">
        <f t="shared" si="374"/>
        <v>0</v>
      </c>
      <c r="P650" s="2519">
        <f t="shared" si="374"/>
        <v>0</v>
      </c>
      <c r="Q650" s="2519">
        <f t="shared" si="374"/>
        <v>0</v>
      </c>
      <c r="R650" s="363"/>
      <c r="S650" s="2706"/>
      <c r="T650" s="2706"/>
      <c r="U650" s="2706"/>
      <c r="V650" s="2706"/>
      <c r="W650" s="2706"/>
    </row>
    <row r="651" spans="2:343" ht="15.6" customHeight="1">
      <c r="B651" s="2745" t="s">
        <v>6989</v>
      </c>
      <c r="C651" s="360"/>
      <c r="D651" s="360"/>
      <c r="E651" s="360"/>
      <c r="F651" s="360"/>
      <c r="H651" s="2747"/>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746">
        <f>'Part V-Revenues &amp; Expenses'!H205</f>
        <v>0</v>
      </c>
      <c r="I652" s="2746">
        <f>'Part V-Revenues &amp; Expenses'!I205</f>
        <v>0</v>
      </c>
      <c r="J652" s="2746">
        <f>'Part V-Revenues &amp; Expenses'!J205</f>
        <v>0</v>
      </c>
      <c r="K652" s="2746">
        <f>'Part V-Revenues &amp; Expenses'!K205</f>
        <v>0</v>
      </c>
      <c r="L652" s="2746">
        <f>'Part V-Revenues &amp; Expenses'!L205</f>
        <v>0</v>
      </c>
      <c r="M652" s="2746">
        <f>'Part V-Revenues &amp; Expenses'!M205</f>
        <v>0</v>
      </c>
      <c r="N652" s="2746">
        <f>'Part V-Revenues &amp; Expenses'!N205</f>
        <v>0</v>
      </c>
      <c r="O652" s="2746">
        <f>'Part V-Revenues &amp; Expenses'!O205</f>
        <v>0</v>
      </c>
      <c r="P652" s="2746">
        <f>'Part V-Revenues &amp; Expenses'!P205</f>
        <v>0</v>
      </c>
      <c r="Q652" s="2746">
        <f>'Part V-Revenues &amp; Expenses'!Q205</f>
        <v>0</v>
      </c>
      <c r="R652" s="2740"/>
      <c r="S652" s="2706"/>
      <c r="T652" s="2706"/>
      <c r="U652" s="2706"/>
      <c r="V652" s="2706"/>
      <c r="W652" s="2706"/>
    </row>
    <row r="653" spans="2:343" ht="15.6" customHeight="1">
      <c r="B653" s="1503" t="s">
        <v>690</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 customHeight="1">
      <c r="B654" s="1503"/>
      <c r="C654" s="1503" t="s">
        <v>6990</v>
      </c>
      <c r="D654" s="1503"/>
      <c r="E654" s="1503"/>
      <c r="F654" s="1503"/>
      <c r="H654" s="2519">
        <f>SUM(H652:H653)</f>
        <v>0</v>
      </c>
      <c r="I654" s="2519">
        <f>SUM(I652:I653)</f>
        <v>0</v>
      </c>
      <c r="J654" s="2519">
        <f t="shared" ref="J654:Q654" si="375">SUM(J652:J653)</f>
        <v>0</v>
      </c>
      <c r="K654" s="2519">
        <f t="shared" si="375"/>
        <v>0</v>
      </c>
      <c r="L654" s="2519">
        <f t="shared" si="375"/>
        <v>0</v>
      </c>
      <c r="M654" s="2519">
        <f t="shared" si="375"/>
        <v>0</v>
      </c>
      <c r="N654" s="2519">
        <f t="shared" si="375"/>
        <v>0</v>
      </c>
      <c r="O654" s="2519">
        <f t="shared" si="375"/>
        <v>0</v>
      </c>
      <c r="P654" s="2519">
        <f t="shared" si="375"/>
        <v>0</v>
      </c>
      <c r="Q654" s="2519">
        <f t="shared" si="375"/>
        <v>0</v>
      </c>
      <c r="R654" s="363"/>
      <c r="S654" s="2706"/>
      <c r="T654" s="2706"/>
      <c r="U654" s="2706"/>
      <c r="V654" s="2706"/>
      <c r="W654" s="2706"/>
    </row>
    <row r="655" spans="2:343" ht="15.6" customHeight="1">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745" t="s">
        <v>2111</v>
      </c>
      <c r="C656" s="360"/>
      <c r="D656" s="360"/>
      <c r="E656" s="360"/>
      <c r="F656" s="360"/>
      <c r="H656" s="2517">
        <v>31</v>
      </c>
      <c r="I656" s="2517">
        <v>32</v>
      </c>
      <c r="J656" s="2517">
        <v>33</v>
      </c>
      <c r="K656" s="2517">
        <v>34</v>
      </c>
      <c r="L656" s="2517">
        <v>35</v>
      </c>
      <c r="M656" s="360"/>
      <c r="N656" s="360"/>
      <c r="O656" s="360"/>
      <c r="P656" s="360"/>
      <c r="Q656" s="360"/>
      <c r="S656" s="2708"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746">
        <f>'Part V-Revenues &amp; Expenses'!H210</f>
        <v>0</v>
      </c>
      <c r="I657" s="2746">
        <f>'Part V-Revenues &amp; Expenses'!I210</f>
        <v>0</v>
      </c>
      <c r="J657" s="2746">
        <f>'Part V-Revenues &amp; Expenses'!J210</f>
        <v>0</v>
      </c>
      <c r="K657" s="2746">
        <f>'Part V-Revenues &amp; Expenses'!K210</f>
        <v>0</v>
      </c>
      <c r="L657" s="2746">
        <f>'Part V-Revenues &amp; Expenses'!L210</f>
        <v>0</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746">
        <f>'Part V-Revenues &amp; Expenses'!H211</f>
        <v>0</v>
      </c>
      <c r="I658" s="2746">
        <f>'Part V-Revenues &amp; Expenses'!I211</f>
        <v>0</v>
      </c>
      <c r="J658" s="2746">
        <f>'Part V-Revenues &amp; Expenses'!J211</f>
        <v>0</v>
      </c>
      <c r="K658" s="2746">
        <f>'Part V-Revenues &amp; Expenses'!K211</f>
        <v>0</v>
      </c>
      <c r="L658" s="2746">
        <f>'Part V-Revenues &amp; Expenses'!L211</f>
        <v>0</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19">
        <f>SUM(H657:H658)</f>
        <v>0</v>
      </c>
      <c r="I659" s="2519">
        <f>SUM(I657:I658)</f>
        <v>0</v>
      </c>
      <c r="J659" s="2519">
        <f>SUM(J657:J658)</f>
        <v>0</v>
      </c>
      <c r="K659" s="2519">
        <f>SUM(K657:K658)</f>
        <v>0</v>
      </c>
      <c r="L659" s="2519">
        <f>SUM(L657:L658)</f>
        <v>0</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745" t="s">
        <v>6989</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6990</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675" t="s">
        <v>955</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675"/>
      <c r="C666" s="2675"/>
      <c r="D666" s="2675"/>
      <c r="E666" s="2675"/>
      <c r="F666" s="2675"/>
      <c r="G666" s="2675"/>
      <c r="H666" s="2675"/>
      <c r="I666" s="2675"/>
      <c r="J666" s="2675"/>
      <c r="K666" s="2675"/>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20">
        <f>IF(OR('Part VI-Pro Forma'!$B$22 = "Choose Mgt Fee",'Part VI-Pro Forma'!$B$22 = "Choose One!"), 0,- 'Part VI-Pro Forma'!$B$22)</f>
        <v>38400</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12">
        <f>'Part V-Revenues &amp; Expenses'!F221</f>
        <v>23148</v>
      </c>
      <c r="G668" s="2512"/>
      <c r="I668" s="359" t="s">
        <v>1300</v>
      </c>
      <c r="L668" s="2512">
        <f>'Part V-Revenues &amp; Expenses'!L221</f>
        <v>0</v>
      </c>
      <c r="M668" s="2512"/>
      <c r="O668" s="2521">
        <f>+Q667/(P514*0.93)</f>
        <v>1032.258064516129</v>
      </c>
      <c r="P668" s="2721" t="s">
        <v>2484</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12">
        <f>'Part V-Revenues &amp; Expenses'!F222</f>
        <v>33727</v>
      </c>
      <c r="G669" s="2512"/>
      <c r="I669" s="359" t="s">
        <v>1301</v>
      </c>
      <c r="L669" s="2512">
        <f>'Part V-Revenues &amp; Expenses'!L222</f>
        <v>0</v>
      </c>
      <c r="M669" s="2512"/>
      <c r="O669" s="2521">
        <f>+Q667/(P514*0.93)/12</f>
        <v>86.021505376344081</v>
      </c>
      <c r="P669" s="2721" t="s">
        <v>2485</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12">
        <f>'Part V-Revenues &amp; Expenses'!F223</f>
        <v>0</v>
      </c>
      <c r="G670" s="2512"/>
      <c r="K670" s="2750" t="s">
        <v>184</v>
      </c>
      <c r="L670" s="2512">
        <f>SUM(L668:M669)</f>
        <v>0</v>
      </c>
      <c r="M670" s="2512"/>
      <c r="O670" s="362" t="s">
        <v>3222</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752" t="s">
        <v>6632</v>
      </c>
      <c r="F671" s="2512">
        <f>'Part V-Revenues &amp; Expenses'!F224</f>
        <v>0</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752" t="s">
        <v>4020</v>
      </c>
      <c r="F672" s="2512">
        <f>'Part V-Revenues &amp; Expenses'!F225</f>
        <v>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12">
        <f>'Part V-Revenues &amp; Expenses'!F226</f>
        <v>0</v>
      </c>
      <c r="G673" s="2512"/>
      <c r="I673" s="1747" t="s">
        <v>1215</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750" t="s">
        <v>184</v>
      </c>
      <c r="F674" s="2512">
        <f>SUM(F668:G673)</f>
        <v>56875</v>
      </c>
      <c r="G674" s="2512"/>
      <c r="I674" s="359" t="s">
        <v>1497</v>
      </c>
      <c r="L674" s="2512">
        <f>'Part V-Revenues &amp; Expenses'!L227</f>
        <v>200</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750"/>
      <c r="F675" s="2508"/>
      <c r="G675" s="2508"/>
      <c r="I675" s="359" t="s">
        <v>1899</v>
      </c>
      <c r="L675" s="2512">
        <f>'Part V-Revenues &amp; Expenses'!L228</f>
        <v>5750</v>
      </c>
      <c r="M675" s="2512"/>
      <c r="N675" s="2693" t="e">
        <f>IF(Q677="","",IF(Q675&lt;Q677, "WARNING! OE below required minimum.",""))</f>
        <v>#VALUE!</v>
      </c>
      <c r="O675" s="1747" t="s">
        <v>2029</v>
      </c>
      <c r="Q675" s="2740">
        <f>F674+F683+F694+L670+L678+L688+L694+Q667</f>
        <v>167667</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753"/>
      <c r="I676" s="359" t="s">
        <v>1498</v>
      </c>
      <c r="L676" s="2512">
        <f>'Part V-Revenues &amp; Expenses'!L229</f>
        <v>200</v>
      </c>
      <c r="M676" s="2512"/>
      <c r="N676" s="2693"/>
      <c r="O676" s="2721" t="s">
        <v>2486</v>
      </c>
      <c r="P676" s="2521">
        <f>+Q675/P514</f>
        <v>4191.6750000000002</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6446</v>
      </c>
    </row>
    <row r="677" spans="2:380" s="359" customFormat="1" ht="16.5" customHeight="1">
      <c r="B677" s="359" t="s">
        <v>1294</v>
      </c>
      <c r="D677" s="2753"/>
      <c r="F677" s="2512">
        <f>'Part V-Revenues &amp; Expenses'!F230</f>
        <v>1700</v>
      </c>
      <c r="G677" s="2512"/>
      <c r="I677" s="2754" t="str">
        <f>'Part V-Revenues &amp; Expenses'!I230</f>
        <v>Other (describe here)</v>
      </c>
      <c r="J677" s="2754"/>
      <c r="K677" s="2754"/>
      <c r="L677" s="2512">
        <f>'Part V-Revenues &amp; Expenses'!L230</f>
        <v>0</v>
      </c>
      <c r="M677" s="2512"/>
      <c r="N677" s="2693"/>
      <c r="P677" s="2721" t="s">
        <v>3223</v>
      </c>
      <c r="Q677" s="2740" t="e">
        <f>'Part V-Revenues &amp; Expenses'!Q230</f>
        <v>#VALUE!</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753"/>
      <c r="F678" s="2512">
        <f>'Part V-Revenues &amp; Expenses'!F231</f>
        <v>1486</v>
      </c>
      <c r="G678" s="2512"/>
      <c r="I678" s="1747"/>
      <c r="K678" s="2750" t="s">
        <v>184</v>
      </c>
      <c r="L678" s="2740">
        <f>SUM(L674:L677)</f>
        <v>6150</v>
      </c>
      <c r="M678" s="2740"/>
      <c r="N678" s="2693"/>
      <c r="O678" s="2755" t="s">
        <v>6725</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753"/>
      <c r="F679" s="2512">
        <f>'Part V-Revenues &amp; Expenses'!F232</f>
        <v>700</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753"/>
      <c r="F680" s="2512">
        <f>'Part V-Revenues &amp; Expenses'!F233</f>
        <v>0</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6447</v>
      </c>
    </row>
    <row r="681" spans="2:380" s="359" customFormat="1" ht="16.5" customHeight="1">
      <c r="B681" s="359" t="s">
        <v>1495</v>
      </c>
      <c r="D681" s="2753"/>
      <c r="F681" s="2512">
        <f>'Part V-Revenues &amp; Expenses'!F234</f>
        <v>0</v>
      </c>
      <c r="G681" s="2512"/>
      <c r="I681" s="1747" t="s">
        <v>1297</v>
      </c>
      <c r="K681" s="1622" t="s">
        <v>3884</v>
      </c>
      <c r="O681" s="1747" t="s">
        <v>3085</v>
      </c>
      <c r="P681" s="1747"/>
      <c r="Q681" s="2522">
        <f>'Part V-Revenues &amp; Expenses'!Q234</f>
        <v>24000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Credit Reports, Travel, Annual Software, Tenant Relations</v>
      </c>
      <c r="C682" s="362"/>
      <c r="D682" s="362"/>
      <c r="E682" s="362"/>
      <c r="F682" s="2512">
        <f>'Part V-Revenues &amp; Expenses'!F235</f>
        <v>4880</v>
      </c>
      <c r="G682" s="2512"/>
      <c r="I682" s="359" t="s">
        <v>1290</v>
      </c>
      <c r="K682" s="2639">
        <f>L682/12/P514</f>
        <v>7.6270833333333332</v>
      </c>
      <c r="L682" s="2512">
        <f>'Part V-Revenues &amp; Expenses'!L235</f>
        <v>3661</v>
      </c>
      <c r="M682" s="2512"/>
      <c r="N682" s="2693" t="str">
        <f>IF(Q681&lt;Q690, "WARNING! RR proposed is below the DCA required minimum.","")</f>
        <v/>
      </c>
      <c r="O682" s="362" t="s">
        <v>3883</v>
      </c>
      <c r="Q682" s="2523">
        <f>Q681/P690</f>
        <v>600</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750" t="s">
        <v>184</v>
      </c>
      <c r="F683" s="2512">
        <f>SUM(F677:G682)</f>
        <v>8766</v>
      </c>
      <c r="G683" s="2512"/>
      <c r="I683" s="359" t="s">
        <v>1291</v>
      </c>
      <c r="K683" s="2639">
        <f>L683/12/P514</f>
        <v>0</v>
      </c>
      <c r="L683" s="2512">
        <f>'Part V-Revenues &amp; Expenses'!L236</f>
        <v>0</v>
      </c>
      <c r="M683" s="2512"/>
      <c r="N683" s="2693"/>
      <c r="O683" s="2756" t="s">
        <v>3230</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750"/>
      <c r="F684" s="2508"/>
      <c r="G684" s="2508"/>
      <c r="I684" s="359" t="s">
        <v>3929</v>
      </c>
      <c r="K684" s="2639">
        <f>L684/12/P514</f>
        <v>2.083333333333333</v>
      </c>
      <c r="L684" s="2512">
        <f>'Part V-Revenues &amp; Expenses'!L237</f>
        <v>1000</v>
      </c>
      <c r="M684" s="2512"/>
      <c r="N684" s="2693"/>
      <c r="O684" s="2757" t="s">
        <v>2464</v>
      </c>
      <c r="P684" s="2758" t="s">
        <v>3284</v>
      </c>
      <c r="Q684" s="2758" t="s">
        <v>3054</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6380</v>
      </c>
    </row>
    <row r="685" spans="2:380" s="359" customFormat="1" ht="16.5" customHeight="1">
      <c r="B685" s="1747" t="s">
        <v>1216</v>
      </c>
      <c r="D685" s="2753"/>
      <c r="I685" s="359" t="s">
        <v>1293</v>
      </c>
      <c r="K685" s="2639">
        <f>L685/12/P514</f>
        <v>0.72916666666666674</v>
      </c>
      <c r="L685" s="2512">
        <f>'Part V-Revenues &amp; Expenses'!L238</f>
        <v>350</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753"/>
      <c r="F686" s="2512">
        <f>'Part V-Revenues &amp; Expenses'!F239</f>
        <v>1908</v>
      </c>
      <c r="G686" s="2512"/>
      <c r="I686" s="359" t="s">
        <v>6991</v>
      </c>
      <c r="K686" s="2639">
        <f>L686/12/P514</f>
        <v>0</v>
      </c>
      <c r="L686" s="2512">
        <f>'Part V-Revenues &amp; Expenses'!L239</f>
        <v>0</v>
      </c>
      <c r="M686" s="2512"/>
      <c r="N686" s="2693"/>
      <c r="O686" s="2544" t="s">
        <v>3052</v>
      </c>
      <c r="P686" s="2759" t="str">
        <f>CONCATENATE(SUM(MF496:MJ496)," units x $",'DCA Underwriting Assumptions'!$Q$28," =")</f>
        <v>40 units x $350 =</v>
      </c>
      <c r="Q686" s="2759">
        <f>'Part V-Revenues &amp; Expenses'!Q239</f>
        <v>14000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753"/>
      <c r="F687" s="2512">
        <f>'Part V-Revenues &amp; Expenses'!F240</f>
        <v>1000</v>
      </c>
      <c r="G687" s="2512"/>
      <c r="I687" s="2754" t="str">
        <f>'Part V-Revenues &amp; Expenses'!I240</f>
        <v>Other (describe here)</v>
      </c>
      <c r="J687" s="2754"/>
      <c r="K687" s="2639">
        <f>L687/12/P514</f>
        <v>0</v>
      </c>
      <c r="L687" s="2512">
        <f>'Part V-Revenues &amp; Expenses'!L240</f>
        <v>0</v>
      </c>
      <c r="M687" s="2512"/>
      <c r="N687" s="2693"/>
      <c r="O687" s="2544" t="s">
        <v>3051</v>
      </c>
      <c r="P687" s="2759" t="str">
        <f>CONCATENATE(SUM(MK496:MO496)," units x $",'DCA Underwriting Assumptions'!$Q$29," =")</f>
        <v>0 units x $250 =</v>
      </c>
      <c r="Q687" s="2759">
        <f>'Part V-Revenues &amp; Expenses'!Q240</f>
        <v>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753"/>
      <c r="F688" s="2512">
        <f>'Part V-Revenues &amp; Expenses'!F241</f>
        <v>11555</v>
      </c>
      <c r="G688" s="2512"/>
      <c r="K688" s="2750" t="s">
        <v>184</v>
      </c>
      <c r="L688" s="2740">
        <f>SUM(L682:L687)</f>
        <v>5011</v>
      </c>
      <c r="M688" s="2740"/>
      <c r="N688" s="2693"/>
      <c r="O688" s="2597" t="s">
        <v>6499</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753"/>
      <c r="F689" s="2512">
        <f>'Part V-Revenues &amp; Expenses'!F242</f>
        <v>1843</v>
      </c>
      <c r="G689" s="2512"/>
      <c r="O689" s="2597" t="s">
        <v>3050</v>
      </c>
      <c r="P689" s="2759" t="str">
        <f>CONCATENATE(P572," units x $",'DCA Underwriting Assumptions'!$Q$31," =")</f>
        <v>0 units x $420 =</v>
      </c>
      <c r="Q689" s="2759">
        <f>'Part V-Revenues &amp; Expenses'!Q242</f>
        <v>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6448</v>
      </c>
    </row>
    <row r="690" spans="1:380" s="359" customFormat="1" ht="16.5" customHeight="1">
      <c r="B690" s="359" t="s">
        <v>940</v>
      </c>
      <c r="D690" s="2753"/>
      <c r="F690" s="2512">
        <f>'Part V-Revenues &amp; Expenses'!F243</f>
        <v>3146</v>
      </c>
      <c r="G690" s="2512"/>
      <c r="I690" s="1747" t="s">
        <v>1298</v>
      </c>
      <c r="O690" s="2710" t="s">
        <v>2467</v>
      </c>
      <c r="P690" s="2704">
        <f>'Part V-Revenues &amp; Expenses'!P243</f>
        <v>40</v>
      </c>
      <c r="Q690" s="2760">
        <f>SUM(Q686:Q689)</f>
        <v>14000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753"/>
      <c r="F691" s="2512">
        <f>'Part V-Revenues &amp; Expenses'!F244</f>
        <v>0</v>
      </c>
      <c r="G691" s="2512"/>
      <c r="I691" s="359" t="s">
        <v>6992</v>
      </c>
      <c r="L691" s="2512">
        <f>'Part V-Revenues &amp; Expenses'!L244</f>
        <v>18250</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753"/>
      <c r="F692" s="2512">
        <f>'Part V-Revenues &amp; Expenses'!F245</f>
        <v>375</v>
      </c>
      <c r="G692" s="2512"/>
      <c r="I692" s="359" t="s">
        <v>140</v>
      </c>
      <c r="L692" s="2512">
        <f>'Part V-Revenues &amp; Expenses'!L245</f>
        <v>14388</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12">
        <f>'Part V-Revenues &amp; Expenses'!F246</f>
        <v>0</v>
      </c>
      <c r="G693" s="2512"/>
      <c r="I693" s="2754" t="str">
        <f>'Part V-Revenues &amp; Expenses'!I246</f>
        <v>Other (describe here)</v>
      </c>
      <c r="J693" s="2754"/>
      <c r="K693" s="2754"/>
      <c r="L693" s="2512">
        <f>'Part V-Revenues &amp; Expenses'!L246</f>
        <v>0</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6449</v>
      </c>
    </row>
    <row r="694" spans="1:380" s="359" customFormat="1" ht="16.5" customHeight="1">
      <c r="B694" s="1747"/>
      <c r="E694" s="2750" t="s">
        <v>184</v>
      </c>
      <c r="F694" s="2512">
        <f>SUM(F686:G693)</f>
        <v>19827</v>
      </c>
      <c r="G694" s="2512"/>
      <c r="K694" s="2750" t="s">
        <v>184</v>
      </c>
      <c r="L694" s="2740">
        <f>SUM(L690:L693)</f>
        <v>32638</v>
      </c>
      <c r="M694" s="2740"/>
      <c r="O694" s="1747" t="s">
        <v>2030</v>
      </c>
      <c r="Q694" s="2740">
        <f>Q675+Q681</f>
        <v>191667</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3375</v>
      </c>
      <c r="B698" s="1747" t="s">
        <v>3873</v>
      </c>
      <c r="C698" s="2750"/>
      <c r="H698" s="2508"/>
      <c r="I698" s="2524" t="s">
        <v>3874</v>
      </c>
      <c r="K698" s="2740">
        <f>'Part V-Revenues &amp; Expenses'!K251</f>
        <v>0</v>
      </c>
      <c r="L698" s="2740"/>
      <c r="M698" s="2752" t="s">
        <v>3901</v>
      </c>
      <c r="N698" s="2726">
        <f>'Part V-Revenues &amp; Expenses'!N251</f>
        <v>0</v>
      </c>
      <c r="O698" s="1747" t="s">
        <v>3876</v>
      </c>
      <c r="Q698" s="2726">
        <f>K698*N698</f>
        <v>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3902</v>
      </c>
      <c r="C700" s="2750"/>
      <c r="F700" s="2508"/>
      <c r="G700" s="2508"/>
      <c r="J700" s="1894" t="str">
        <f>'Part V-Revenues &amp; Expenses'!J253</f>
        <v>&lt;&lt;Select&gt;&gt;</v>
      </c>
      <c r="K700" s="2524" t="s">
        <v>3904</v>
      </c>
      <c r="L700" s="1894" t="str">
        <f>'Part V-Revenues &amp; Expenses'!L253</f>
        <v>&lt;&lt;Select&gt;&gt;</v>
      </c>
      <c r="M700" s="1894" t="s">
        <v>3905</v>
      </c>
      <c r="N700" s="2726">
        <f>'Part V-Revenues &amp; Expenses'!N253</f>
        <v>0</v>
      </c>
      <c r="O700" s="359" t="s">
        <v>3903</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6450</v>
      </c>
    </row>
    <row r="701" spans="1:380" s="359" customFormat="1" ht="30.75" customHeight="1">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3872</v>
      </c>
      <c r="B702" s="361" t="s">
        <v>530</v>
      </c>
      <c r="N702" s="361" t="s">
        <v>6648</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761" t="str">
        <f>'Part V-Revenues &amp; Expenses'!A256</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Ancilliary Income of $892 ($22/unit) annually was underwritten based upon a combination of the previous 3-year historical average of $1,520 and the most recent historical income of $1,137. Ancillary Income is based upon application fees, tenant charges, and interest income. 
Real Estate Taxes budgeted for $18,250 is based upon the RD-approved 2023 budget and was calculated based upon the 2022 tax assessed value and an increase millage rate over the 2022 rate. 
Insurance budgeted for $14,388 is based upon the RD-approved budget and was calculated upon a 30% increase over 2023 budget of $11,650.</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3374</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2023-5 Brightwood Lane Apartments, ,  County</v>
      </c>
    </row>
    <row r="710" spans="1:11">
      <c r="A710" s="361"/>
      <c r="B710" s="361"/>
      <c r="C710" s="361"/>
      <c r="D710" s="361"/>
      <c r="E710" s="361"/>
      <c r="F710" s="361"/>
      <c r="G710" s="361"/>
      <c r="H710" s="361"/>
      <c r="I710" s="361"/>
      <c r="J710" s="361"/>
      <c r="K710" s="361"/>
    </row>
    <row r="711" spans="1:11">
      <c r="A711" s="361" t="s">
        <v>85</v>
      </c>
      <c r="C711" s="2693" t="str">
        <f>'Part I-Project Identification'!$A$6</f>
        <v>Sept 2023</v>
      </c>
      <c r="D711" s="361" t="s">
        <v>75</v>
      </c>
      <c r="E711" s="2678"/>
      <c r="F711" s="2541" t="s">
        <v>6993</v>
      </c>
    </row>
    <row r="712" spans="1:11">
      <c r="C712" s="2693"/>
    </row>
    <row r="713" spans="1:11" ht="12.75" customHeight="1">
      <c r="A713" s="357" t="s">
        <v>2031</v>
      </c>
      <c r="B713" s="2763">
        <f>'DCA Underwriting Assumptions'!$Q$99</f>
        <v>0.02</v>
      </c>
      <c r="C713" s="2693"/>
      <c r="D713" s="2706" t="s">
        <v>6994</v>
      </c>
      <c r="E713" s="2706"/>
      <c r="F713" s="2706"/>
      <c r="G713" s="2525">
        <f>'Part VI-Pro Forma'!G6</f>
        <v>3750</v>
      </c>
      <c r="H713" s="2736" t="s">
        <v>1768</v>
      </c>
      <c r="K713" s="2764">
        <f>'Part VI-Pro Forma'!K6</f>
        <v>-1.3966657305902571E-2</v>
      </c>
    </row>
    <row r="714" spans="1:11">
      <c r="A714" s="357" t="s">
        <v>2032</v>
      </c>
      <c r="B714" s="2763">
        <f>'DCA Underwriting Assumptions'!$Q$102</f>
        <v>0.03</v>
      </c>
      <c r="C714" s="2693"/>
      <c r="D714" s="2706"/>
      <c r="E714" s="2706"/>
      <c r="F714" s="2706"/>
      <c r="G714" s="2765">
        <f>'Part VI-Pro Forma'!G7</f>
        <v>0</v>
      </c>
    </row>
    <row r="715" spans="1:11">
      <c r="A715" s="357" t="s">
        <v>2034</v>
      </c>
      <c r="B715" s="2763">
        <f>'DCA Underwriting Assumptions'!$Q$103</f>
        <v>0.03</v>
      </c>
      <c r="C715" s="2693"/>
      <c r="D715" s="359" t="s">
        <v>258</v>
      </c>
      <c r="G715" s="2766"/>
      <c r="H715" s="2736" t="s">
        <v>2191</v>
      </c>
      <c r="K715" s="2764">
        <f>'Part VI-Pro Forma'!K8</f>
        <v>0.14301857081244232</v>
      </c>
    </row>
    <row r="716" spans="1:11" ht="13.8">
      <c r="A716" s="357" t="s">
        <v>2033</v>
      </c>
      <c r="B716" s="2763">
        <f>'Part VI-Pro Forma'!B9</f>
        <v>0.05</v>
      </c>
      <c r="C716" s="2537" t="str">
        <f>IF(B716&lt;0.07, "Must be &gt;= 7%!","")</f>
        <v>Must be &gt;= 7%!</v>
      </c>
      <c r="D716" s="359" t="s">
        <v>2307</v>
      </c>
      <c r="G716" s="2767" t="str">
        <f>'Part VI-Pro Forma'!G9</f>
        <v>Yes</v>
      </c>
      <c r="H716" s="2768" t="s">
        <v>1355</v>
      </c>
      <c r="K716" s="2526">
        <f>'Part VI-Pro Forma'!K9</f>
        <v>38400</v>
      </c>
    </row>
    <row r="717" spans="1:11">
      <c r="A717" s="357" t="s">
        <v>1336</v>
      </c>
      <c r="B717" s="2763">
        <v>0.02</v>
      </c>
      <c r="D717" s="359" t="s">
        <v>1597</v>
      </c>
      <c r="G717" s="2767">
        <f>'Part VI-Pro Forma'!G10</f>
        <v>0</v>
      </c>
      <c r="H717" s="2768" t="s">
        <v>2174</v>
      </c>
      <c r="K717" s="2527">
        <f>'Part VI-Pro Forma'!K10</f>
        <v>0</v>
      </c>
    </row>
    <row r="719" spans="1:11">
      <c r="A719" s="361" t="s">
        <v>86</v>
      </c>
      <c r="D719" s="2675"/>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8">
        <f>'Part VI-Pro Forma'!B15</f>
        <v>281736</v>
      </c>
      <c r="C722" s="2528">
        <f>'Part VI-Pro Forma'!C15</f>
        <v>287370.72000000003</v>
      </c>
      <c r="D722" s="2528">
        <f>'Part VI-Pro Forma'!D15</f>
        <v>293118.13439999998</v>
      </c>
      <c r="E722" s="2528">
        <f>'Part VI-Pro Forma'!E15</f>
        <v>298980.497088</v>
      </c>
      <c r="F722" s="2528">
        <f>'Part VI-Pro Forma'!F15</f>
        <v>304960.10702975997</v>
      </c>
      <c r="G722" s="2528">
        <f>'Part VI-Pro Forma'!G15</f>
        <v>311059.30917035521</v>
      </c>
      <c r="H722" s="2528">
        <f>'Part VI-Pro Forma'!H15</f>
        <v>317280.49535376235</v>
      </c>
      <c r="I722" s="2528">
        <f>'Part VI-Pro Forma'!I15</f>
        <v>323626.10526083747</v>
      </c>
      <c r="J722" s="2528">
        <f>'Part VI-Pro Forma'!J15</f>
        <v>330098.62736605428</v>
      </c>
      <c r="K722" s="2528">
        <f>'Part VI-Pro Forma'!K15</f>
        <v>336700.59991337539</v>
      </c>
    </row>
    <row r="723" spans="1:11">
      <c r="A723" s="357" t="s">
        <v>952</v>
      </c>
      <c r="B723" s="2528">
        <f>'Part VI-Pro Forma'!B16</f>
        <v>892</v>
      </c>
      <c r="C723" s="2528">
        <f>'Part VI-Pro Forma'!C16</f>
        <v>909.84</v>
      </c>
      <c r="D723" s="2528">
        <f>'Part VI-Pro Forma'!D16</f>
        <v>928.03679999999997</v>
      </c>
      <c r="E723" s="2528">
        <f>'Part VI-Pro Forma'!E16</f>
        <v>946.59753599999999</v>
      </c>
      <c r="F723" s="2528">
        <f>'Part VI-Pro Forma'!F16</f>
        <v>965.52948672000002</v>
      </c>
      <c r="G723" s="2528">
        <f>'Part VI-Pro Forma'!G16</f>
        <v>984.84007645439999</v>
      </c>
      <c r="H723" s="2528">
        <f>'Part VI-Pro Forma'!H16</f>
        <v>1004.536877983488</v>
      </c>
      <c r="I723" s="2528">
        <f>'Part VI-Pro Forma'!I16</f>
        <v>1024.6276155431576</v>
      </c>
      <c r="J723" s="2528">
        <f>'Part VI-Pro Forma'!J16</f>
        <v>1045.1201678540208</v>
      </c>
      <c r="K723" s="2528">
        <f>'Part VI-Pro Forma'!K16</f>
        <v>1066.0225712111012</v>
      </c>
    </row>
    <row r="724" spans="1:11">
      <c r="A724" s="357" t="s">
        <v>2216</v>
      </c>
      <c r="B724" s="2528">
        <f>'Part VI-Pro Forma'!B17</f>
        <v>-14131.400000000001</v>
      </c>
      <c r="C724" s="2528">
        <f>'Part VI-Pro Forma'!C17</f>
        <v>-14414.028000000004</v>
      </c>
      <c r="D724" s="2528">
        <f>'Part VI-Pro Forma'!D17</f>
        <v>-14702.308559999999</v>
      </c>
      <c r="E724" s="2528">
        <f>'Part VI-Pro Forma'!E17</f>
        <v>-14996.354731200001</v>
      </c>
      <c r="F724" s="2528">
        <f>'Part VI-Pro Forma'!F17</f>
        <v>-15296.281825823999</v>
      </c>
      <c r="G724" s="2528">
        <f>'Part VI-Pro Forma'!G17</f>
        <v>-15602.207462340481</v>
      </c>
      <c r="H724" s="2528">
        <f>'Part VI-Pro Forma'!H17</f>
        <v>-15914.251611587293</v>
      </c>
      <c r="I724" s="2528">
        <f>'Part VI-Pro Forma'!I17</f>
        <v>-16232.536643819032</v>
      </c>
      <c r="J724" s="2528">
        <f>'Part VI-Pro Forma'!J17</f>
        <v>-16557.187376695416</v>
      </c>
      <c r="K724" s="2528">
        <f>'Part VI-Pro Forma'!K17</f>
        <v>-16888.331124229324</v>
      </c>
    </row>
    <row r="725" spans="1:11">
      <c r="A725" s="357" t="s">
        <v>47</v>
      </c>
      <c r="B725" s="2528">
        <f>'Part VI-Pro Forma'!B18</f>
        <v>0</v>
      </c>
      <c r="C725" s="2528">
        <f>'Part VI-Pro Forma'!C18</f>
        <v>0</v>
      </c>
      <c r="D725" s="2528">
        <f>'Part VI-Pro Forma'!D18</f>
        <v>0</v>
      </c>
      <c r="E725" s="2528">
        <f>'Part VI-Pro Forma'!E18</f>
        <v>0</v>
      </c>
      <c r="F725" s="2528">
        <f>'Part VI-Pro Forma'!F18</f>
        <v>0</v>
      </c>
      <c r="G725" s="2528">
        <f>'Part VI-Pro Forma'!G18</f>
        <v>0</v>
      </c>
      <c r="H725" s="2528">
        <f>'Part VI-Pro Forma'!H18</f>
        <v>0</v>
      </c>
      <c r="I725" s="2528">
        <f>'Part VI-Pro Forma'!I18</f>
        <v>0</v>
      </c>
      <c r="J725" s="2528">
        <f>'Part VI-Pro Forma'!J18</f>
        <v>0</v>
      </c>
      <c r="K725" s="2528">
        <f>'Part VI-Pro Forma'!K18</f>
        <v>0</v>
      </c>
    </row>
    <row r="726" spans="1:11">
      <c r="A726" s="357" t="s">
        <v>48</v>
      </c>
      <c r="B726" s="2528">
        <f>'Part VI-Pro Forma'!B19</f>
        <v>0</v>
      </c>
      <c r="C726" s="2528">
        <f>'Part VI-Pro Forma'!C19</f>
        <v>0</v>
      </c>
      <c r="D726" s="2528">
        <f>'Part VI-Pro Forma'!D19</f>
        <v>0</v>
      </c>
      <c r="E726" s="2528">
        <f>'Part VI-Pro Forma'!E19</f>
        <v>0</v>
      </c>
      <c r="F726" s="2528">
        <f>'Part VI-Pro Forma'!F19</f>
        <v>0</v>
      </c>
      <c r="G726" s="2528">
        <f>'Part VI-Pro Forma'!G19</f>
        <v>0</v>
      </c>
      <c r="H726" s="2528">
        <f>'Part VI-Pro Forma'!H19</f>
        <v>0</v>
      </c>
      <c r="I726" s="2528">
        <f>'Part VI-Pro Forma'!I19</f>
        <v>0</v>
      </c>
      <c r="J726" s="2528">
        <f>'Part VI-Pro Forma'!J19</f>
        <v>0</v>
      </c>
      <c r="K726" s="2528">
        <f>'Part VI-Pro Forma'!K19</f>
        <v>0</v>
      </c>
    </row>
    <row r="727" spans="1:11">
      <c r="A727" s="357" t="s">
        <v>3838</v>
      </c>
      <c r="B727" s="2528">
        <f>'Part VI-Pro Forma'!B20</f>
        <v>268496.59999999998</v>
      </c>
      <c r="C727" s="2528">
        <f>'Part VI-Pro Forma'!C20</f>
        <v>273866.53200000006</v>
      </c>
      <c r="D727" s="2528">
        <f>'Part VI-Pro Forma'!D20</f>
        <v>279343.86264000001</v>
      </c>
      <c r="E727" s="2528">
        <f>'Part VI-Pro Forma'!E20</f>
        <v>284930.73989279999</v>
      </c>
      <c r="F727" s="2528">
        <f>'Part VI-Pro Forma'!F20</f>
        <v>290629.35469065595</v>
      </c>
      <c r="G727" s="2528">
        <f>'Part VI-Pro Forma'!G20</f>
        <v>296441.94178446912</v>
      </c>
      <c r="H727" s="2528">
        <f>'Part VI-Pro Forma'!H20</f>
        <v>302370.78062015853</v>
      </c>
      <c r="I727" s="2528">
        <f>'Part VI-Pro Forma'!I20</f>
        <v>308418.1962325616</v>
      </c>
      <c r="J727" s="2528">
        <f>'Part VI-Pro Forma'!J20</f>
        <v>314586.56015721289</v>
      </c>
      <c r="K727" s="2528">
        <f>'Part VI-Pro Forma'!K20</f>
        <v>320878.29136035719</v>
      </c>
    </row>
    <row r="728" spans="1:11">
      <c r="A728" s="357" t="s">
        <v>572</v>
      </c>
      <c r="B728" s="2528">
        <f>'Part VI-Pro Forma'!B21</f>
        <v>-129267</v>
      </c>
      <c r="C728" s="2528">
        <f>'Part VI-Pro Forma'!C21</f>
        <v>-133145.01</v>
      </c>
      <c r="D728" s="2528">
        <f>'Part VI-Pro Forma'!D21</f>
        <v>-137139.3603</v>
      </c>
      <c r="E728" s="2528">
        <f>'Part VI-Pro Forma'!E21</f>
        <v>-141253.54110900001</v>
      </c>
      <c r="F728" s="2528">
        <f>'Part VI-Pro Forma'!F21</f>
        <v>-145491.14734226998</v>
      </c>
      <c r="G728" s="2528">
        <f>'Part VI-Pro Forma'!G21</f>
        <v>-149855.88176253808</v>
      </c>
      <c r="H728" s="2528">
        <f>'Part VI-Pro Forma'!H21</f>
        <v>-154351.55821541423</v>
      </c>
      <c r="I728" s="2528">
        <f>'Part VI-Pro Forma'!I21</f>
        <v>-158982.10496187667</v>
      </c>
      <c r="J728" s="2528">
        <f>'Part VI-Pro Forma'!J21</f>
        <v>-163751.56811073294</v>
      </c>
      <c r="K728" s="2528">
        <f>'Part VI-Pro Forma'!K21</f>
        <v>-168664.11515405495</v>
      </c>
    </row>
    <row r="729" spans="1:11">
      <c r="A729" s="357" t="s">
        <v>1050</v>
      </c>
      <c r="B729" s="2528">
        <f>'Part VI-Pro Forma'!B22</f>
        <v>-38400</v>
      </c>
      <c r="C729" s="2528">
        <f>'Part VI-Pro Forma'!C22</f>
        <v>-39552</v>
      </c>
      <c r="D729" s="2528">
        <f>'Part VI-Pro Forma'!D22</f>
        <v>-40739</v>
      </c>
      <c r="E729" s="2528">
        <f>'Part VI-Pro Forma'!E22</f>
        <v>-41961</v>
      </c>
      <c r="F729" s="2528">
        <f>'Part VI-Pro Forma'!F22</f>
        <v>-43220</v>
      </c>
      <c r="G729" s="2528">
        <f>'Part VI-Pro Forma'!G22</f>
        <v>-44516</v>
      </c>
      <c r="H729" s="2528">
        <f>'Part VI-Pro Forma'!H22</f>
        <v>-45852</v>
      </c>
      <c r="I729" s="2528">
        <f>'Part VI-Pro Forma'!I22</f>
        <v>-47227</v>
      </c>
      <c r="J729" s="2528">
        <f>'Part VI-Pro Forma'!J22</f>
        <v>-48644</v>
      </c>
      <c r="K729" s="2528">
        <f>'Part VI-Pro Forma'!K22</f>
        <v>-50103</v>
      </c>
    </row>
    <row r="730" spans="1:11">
      <c r="A730" s="357" t="s">
        <v>1128</v>
      </c>
      <c r="B730" s="2528">
        <f>'Part VI-Pro Forma'!B23</f>
        <v>-24000</v>
      </c>
      <c r="C730" s="2528">
        <f>'Part VI-Pro Forma'!C23</f>
        <v>-24720</v>
      </c>
      <c r="D730" s="2528">
        <f>'Part VI-Pro Forma'!D23</f>
        <v>-25461.599999999999</v>
      </c>
      <c r="E730" s="2528">
        <f>'Part VI-Pro Forma'!E23</f>
        <v>-26225.448</v>
      </c>
      <c r="F730" s="2528">
        <f>'Part VI-Pro Forma'!F23</f>
        <v>-27012.211439999999</v>
      </c>
      <c r="G730" s="2528">
        <f>'Part VI-Pro Forma'!G23</f>
        <v>-27822.577783199995</v>
      </c>
      <c r="H730" s="2528">
        <f>'Part VI-Pro Forma'!H23</f>
        <v>-28657.255116695997</v>
      </c>
      <c r="I730" s="2528">
        <f>'Part VI-Pro Forma'!I23</f>
        <v>-29516.97277019688</v>
      </c>
      <c r="J730" s="2528">
        <f>'Part VI-Pro Forma'!J23</f>
        <v>-30402.481953302784</v>
      </c>
      <c r="K730" s="2528">
        <f>'Part VI-Pro Forma'!K23</f>
        <v>-31314.556411901867</v>
      </c>
    </row>
    <row r="731" spans="1:11">
      <c r="A731" s="357" t="s">
        <v>3837</v>
      </c>
      <c r="B731" s="2528">
        <f>'Part VI-Pro Forma'!B24</f>
        <v>0</v>
      </c>
      <c r="C731" s="2528">
        <f>'Part VI-Pro Forma'!C24</f>
        <v>0</v>
      </c>
      <c r="D731" s="2528">
        <f>'Part VI-Pro Forma'!D24</f>
        <v>0</v>
      </c>
      <c r="E731" s="2528">
        <f>'Part VI-Pro Forma'!E24</f>
        <v>0</v>
      </c>
      <c r="F731" s="2528">
        <f>'Part VI-Pro Forma'!F24</f>
        <v>0</v>
      </c>
      <c r="G731" s="2528">
        <f>'Part VI-Pro Forma'!G24</f>
        <v>0</v>
      </c>
      <c r="H731" s="2528">
        <f>'Part VI-Pro Forma'!H24</f>
        <v>0</v>
      </c>
      <c r="I731" s="2528">
        <f>'Part VI-Pro Forma'!I24</f>
        <v>0</v>
      </c>
      <c r="J731" s="2528">
        <f>'Part VI-Pro Forma'!J24</f>
        <v>0</v>
      </c>
      <c r="K731" s="2528">
        <f>'Part VI-Pro Forma'!K24</f>
        <v>0</v>
      </c>
    </row>
    <row r="732" spans="1:11">
      <c r="A732" s="357" t="s">
        <v>1129</v>
      </c>
      <c r="B732" s="2528">
        <f>SUM(B727:B731)</f>
        <v>76829.599999999977</v>
      </c>
      <c r="C732" s="2528">
        <f t="shared" ref="C732:J732" si="377">SUM(C727:C731)</f>
        <v>76449.522000000055</v>
      </c>
      <c r="D732" s="2528">
        <f t="shared" si="377"/>
        <v>76003.902340000001</v>
      </c>
      <c r="E732" s="2528">
        <f t="shared" si="377"/>
        <v>75490.750783799973</v>
      </c>
      <c r="F732" s="2528">
        <f t="shared" si="377"/>
        <v>74905.995908385972</v>
      </c>
      <c r="G732" s="2528">
        <f t="shared" si="377"/>
        <v>74247.482238731056</v>
      </c>
      <c r="H732" s="2528">
        <f t="shared" si="377"/>
        <v>73509.967288048298</v>
      </c>
      <c r="I732" s="2528">
        <f t="shared" si="377"/>
        <v>72692.118500488054</v>
      </c>
      <c r="J732" s="2528">
        <f t="shared" si="377"/>
        <v>71788.510093177174</v>
      </c>
      <c r="K732" s="2528">
        <f>SUM(K727:K731)</f>
        <v>70796.61979440038</v>
      </c>
    </row>
    <row r="733" spans="1:11">
      <c r="A733" s="357" t="s">
        <v>1486</v>
      </c>
      <c r="B733" s="2528">
        <f>'Part VI-Pro Forma'!B26</f>
        <v>-55677.768952730781</v>
      </c>
      <c r="C733" s="2528">
        <f>'Part VI-Pro Forma'!C26</f>
        <v>-55677.768952730781</v>
      </c>
      <c r="D733" s="2528">
        <f>'Part VI-Pro Forma'!D26</f>
        <v>-55677.768952730781</v>
      </c>
      <c r="E733" s="2528">
        <f>'Part VI-Pro Forma'!E26</f>
        <v>-55677.768952730781</v>
      </c>
      <c r="F733" s="2528">
        <f>'Part VI-Pro Forma'!F26</f>
        <v>-55677.768952730781</v>
      </c>
      <c r="G733" s="2528">
        <f>'Part VI-Pro Forma'!G26</f>
        <v>-55677.768952730781</v>
      </c>
      <c r="H733" s="2528">
        <f>'Part VI-Pro Forma'!H26</f>
        <v>-55677.768952730781</v>
      </c>
      <c r="I733" s="2528">
        <f>'Part VI-Pro Forma'!I26</f>
        <v>-55677.768952730781</v>
      </c>
      <c r="J733" s="2528">
        <f>'Part VI-Pro Forma'!J26</f>
        <v>-55677.768952730781</v>
      </c>
      <c r="K733" s="2528">
        <f>'Part VI-Pro Forma'!K26</f>
        <v>-55677.768952730781</v>
      </c>
    </row>
    <row r="734" spans="1:11">
      <c r="A734" s="357" t="s">
        <v>1487</v>
      </c>
      <c r="B734" s="2528">
        <f>'Part VI-Pro Forma'!B27</f>
        <v>0</v>
      </c>
      <c r="C734" s="2528">
        <f>'Part VI-Pro Forma'!C27</f>
        <v>0</v>
      </c>
      <c r="D734" s="2528">
        <f>'Part VI-Pro Forma'!D27</f>
        <v>0</v>
      </c>
      <c r="E734" s="2528">
        <f>'Part VI-Pro Forma'!E27</f>
        <v>0</v>
      </c>
      <c r="F734" s="2528">
        <f>'Part VI-Pro Forma'!F27</f>
        <v>0</v>
      </c>
      <c r="G734" s="2528">
        <f>'Part VI-Pro Forma'!G27</f>
        <v>0</v>
      </c>
      <c r="H734" s="2528">
        <f>'Part VI-Pro Forma'!H27</f>
        <v>0</v>
      </c>
      <c r="I734" s="2528">
        <f>'Part VI-Pro Forma'!I27</f>
        <v>0</v>
      </c>
      <c r="J734" s="2528">
        <f>'Part VI-Pro Forma'!J27</f>
        <v>0</v>
      </c>
      <c r="K734" s="2528">
        <f>'Part VI-Pro Forma'!K27</f>
        <v>0</v>
      </c>
    </row>
    <row r="735" spans="1:11">
      <c r="A735" s="357" t="s">
        <v>1488</v>
      </c>
      <c r="B735" s="2528">
        <f>'Part VI-Pro Forma'!B28</f>
        <v>0</v>
      </c>
      <c r="C735" s="2528">
        <f>'Part VI-Pro Forma'!C28</f>
        <v>0</v>
      </c>
      <c r="D735" s="2528">
        <f>'Part VI-Pro Forma'!D28</f>
        <v>0</v>
      </c>
      <c r="E735" s="2528">
        <f>'Part VI-Pro Forma'!E28</f>
        <v>0</v>
      </c>
      <c r="F735" s="2528">
        <f>'Part VI-Pro Forma'!F28</f>
        <v>0</v>
      </c>
      <c r="G735" s="2528">
        <f>'Part VI-Pro Forma'!G28</f>
        <v>0</v>
      </c>
      <c r="H735" s="2528">
        <f>'Part VI-Pro Forma'!H28</f>
        <v>0</v>
      </c>
      <c r="I735" s="2528">
        <f>'Part VI-Pro Forma'!I28</f>
        <v>0</v>
      </c>
      <c r="J735" s="2528">
        <f>'Part VI-Pro Forma'!J28</f>
        <v>0</v>
      </c>
      <c r="K735" s="2528">
        <f>'Part VI-Pro Forma'!K28</f>
        <v>0</v>
      </c>
    </row>
    <row r="736" spans="1:11">
      <c r="A736" s="357" t="s">
        <v>3285</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c r="A737" s="357" t="s">
        <v>711</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c r="A738" s="357" t="s">
        <v>1095</v>
      </c>
      <c r="B738" s="2528">
        <f>'Part VI-Pro Forma'!B31</f>
        <v>-3750</v>
      </c>
      <c r="C738" s="2528">
        <f>'Part VI-Pro Forma'!C31</f>
        <v>-3750</v>
      </c>
      <c r="D738" s="2528">
        <f>'Part VI-Pro Forma'!D31</f>
        <v>-3750</v>
      </c>
      <c r="E738" s="2528">
        <f>'Part VI-Pro Forma'!E31</f>
        <v>-3750</v>
      </c>
      <c r="F738" s="2528">
        <f>'Part VI-Pro Forma'!F31</f>
        <v>-3750</v>
      </c>
      <c r="G738" s="2528">
        <f>'Part VI-Pro Forma'!G31</f>
        <v>-3750</v>
      </c>
      <c r="H738" s="2528">
        <f>'Part VI-Pro Forma'!H31</f>
        <v>-3750</v>
      </c>
      <c r="I738" s="2528">
        <f>'Part VI-Pro Forma'!I31</f>
        <v>-3750</v>
      </c>
      <c r="J738" s="2528">
        <f>'Part VI-Pro Forma'!J31</f>
        <v>-3750</v>
      </c>
      <c r="K738" s="2528">
        <f>'Part VI-Pro Forma'!K31</f>
        <v>-3750</v>
      </c>
    </row>
    <row r="739" spans="1:11">
      <c r="A739" s="357" t="s">
        <v>3362</v>
      </c>
      <c r="B739" s="2528">
        <f>'Part VI-Pro Forma'!B32</f>
        <v>-2970</v>
      </c>
      <c r="C739" s="2528">
        <f>'Part VI-Pro Forma'!C32</f>
        <v>-2970</v>
      </c>
      <c r="D739" s="2528">
        <f>'Part VI-Pro Forma'!D32</f>
        <v>-2970</v>
      </c>
      <c r="E739" s="2528">
        <f>'Part VI-Pro Forma'!E32</f>
        <v>-2970</v>
      </c>
      <c r="F739" s="2528">
        <f>'Part VI-Pro Forma'!F32</f>
        <v>-2970</v>
      </c>
      <c r="G739" s="2528">
        <f>'Part VI-Pro Forma'!G32</f>
        <v>-2970</v>
      </c>
      <c r="H739" s="2528">
        <f>'Part VI-Pro Forma'!H32</f>
        <v>-2970</v>
      </c>
      <c r="I739" s="2528">
        <f>'Part VI-Pro Forma'!I32</f>
        <v>-2970</v>
      </c>
      <c r="J739" s="2528">
        <f>'Part VI-Pro Forma'!J32</f>
        <v>-2970</v>
      </c>
      <c r="K739" s="2528">
        <f>'Part VI-Pro Forma'!K32</f>
        <v>-2970</v>
      </c>
    </row>
    <row r="740" spans="1:11">
      <c r="A740" s="357" t="s">
        <v>1096</v>
      </c>
      <c r="B740" s="2528">
        <f t="shared" ref="B740:K740" si="378">SUM(B732:B739)</f>
        <v>14431.831047269196</v>
      </c>
      <c r="C740" s="2528">
        <f t="shared" si="378"/>
        <v>14051.753047269274</v>
      </c>
      <c r="D740" s="2528">
        <f t="shared" si="378"/>
        <v>13606.133387269219</v>
      </c>
      <c r="E740" s="2528">
        <f t="shared" si="378"/>
        <v>13092.981831069192</v>
      </c>
      <c r="F740" s="2528">
        <f t="shared" si="378"/>
        <v>12508.226955655191</v>
      </c>
      <c r="G740" s="2528">
        <f t="shared" si="378"/>
        <v>11849.713286000275</v>
      </c>
      <c r="H740" s="2528">
        <f t="shared" si="378"/>
        <v>11112.198335317516</v>
      </c>
      <c r="I740" s="2528">
        <f t="shared" si="378"/>
        <v>10294.349547757272</v>
      </c>
      <c r="J740" s="2528">
        <f t="shared" si="378"/>
        <v>9390.7411404463928</v>
      </c>
      <c r="K740" s="2528">
        <f t="shared" si="378"/>
        <v>8398.8508416695986</v>
      </c>
    </row>
    <row r="741" spans="1:11">
      <c r="A741" s="357" t="str">
        <f>IF('Part II-Sources of Funds'!$E$40 = "Neither", "", "DCR Mortgage A")</f>
        <v>DCR Mortgage A</v>
      </c>
      <c r="B741" s="2529">
        <f t="shared" ref="B741:K741" si="379">IF(B733=0,"",-B732/B733)</f>
        <v>1.3798972452582761</v>
      </c>
      <c r="C741" s="2529">
        <f t="shared" si="379"/>
        <v>1.3730708582253726</v>
      </c>
      <c r="D741" s="2529">
        <f t="shared" si="379"/>
        <v>1.3650673108781652</v>
      </c>
      <c r="E741" s="2529">
        <f t="shared" si="379"/>
        <v>1.3558508575997359</v>
      </c>
      <c r="F741" s="2529">
        <f t="shared" si="379"/>
        <v>1.3453483736386698</v>
      </c>
      <c r="G741" s="2529">
        <f t="shared" si="379"/>
        <v>1.333521145607784</v>
      </c>
      <c r="H741" s="2529">
        <f t="shared" si="379"/>
        <v>1.3202750158767436</v>
      </c>
      <c r="I741" s="2529">
        <f t="shared" si="379"/>
        <v>1.3055860510898361</v>
      </c>
      <c r="J741" s="2529">
        <f t="shared" si="379"/>
        <v>1.2893568015292434</v>
      </c>
      <c r="K741" s="2529">
        <f t="shared" si="379"/>
        <v>1.2715419659596126</v>
      </c>
    </row>
    <row r="742" spans="1:11">
      <c r="A742" s="357" t="str">
        <f>IF('Part II-Sources of Funds'!$E$40 = "Neither", "", "DCR Mortgage B")</f>
        <v>DCR Mortgage B</v>
      </c>
      <c r="B742" s="2529" t="str">
        <f t="shared" ref="B742:K742" si="380">IF(B734=0,"",-(B732+B733)/B734)</f>
        <v/>
      </c>
      <c r="C742" s="2529" t="str">
        <f t="shared" si="380"/>
        <v/>
      </c>
      <c r="D742" s="2529" t="str">
        <f t="shared" si="380"/>
        <v/>
      </c>
      <c r="E742" s="2529" t="str">
        <f t="shared" si="380"/>
        <v/>
      </c>
      <c r="F742" s="2529" t="str">
        <f t="shared" si="380"/>
        <v/>
      </c>
      <c r="G742" s="2529" t="str">
        <f t="shared" si="380"/>
        <v/>
      </c>
      <c r="H742" s="2529" t="str">
        <f t="shared" si="380"/>
        <v/>
      </c>
      <c r="I742" s="2529" t="str">
        <f t="shared" si="380"/>
        <v/>
      </c>
      <c r="J742" s="2529" t="str">
        <f t="shared" si="380"/>
        <v/>
      </c>
      <c r="K742" s="2529" t="str">
        <f t="shared" si="380"/>
        <v/>
      </c>
    </row>
    <row r="743" spans="1:11">
      <c r="A743" s="357" t="str">
        <f>IF('Part II-Sources of Funds'!$E$40 = "Neither", "DCR First Mortgage", "DCR Mortgage C")</f>
        <v>DCR Mortgage C</v>
      </c>
      <c r="B743" s="2529" t="str">
        <f t="shared" ref="B743:K743" si="381">IF(B735=0,"",-(B732+B733+B734)/B735)</f>
        <v/>
      </c>
      <c r="C743" s="2529" t="str">
        <f t="shared" si="381"/>
        <v/>
      </c>
      <c r="D743" s="2529" t="str">
        <f t="shared" si="381"/>
        <v/>
      </c>
      <c r="E743" s="2529" t="str">
        <f t="shared" si="381"/>
        <v/>
      </c>
      <c r="F743" s="2529" t="str">
        <f t="shared" si="381"/>
        <v/>
      </c>
      <c r="G743" s="2529" t="str">
        <f t="shared" si="381"/>
        <v/>
      </c>
      <c r="H743" s="2529" t="str">
        <f t="shared" si="381"/>
        <v/>
      </c>
      <c r="I743" s="2529" t="str">
        <f t="shared" si="381"/>
        <v/>
      </c>
      <c r="J743" s="2529" t="str">
        <f t="shared" si="381"/>
        <v/>
      </c>
      <c r="K743" s="2529" t="str">
        <f t="shared" si="381"/>
        <v/>
      </c>
    </row>
    <row r="744" spans="1:11">
      <c r="A744" s="357" t="s">
        <v>729</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c r="A745" s="357" t="s">
        <v>3213</v>
      </c>
      <c r="B745" s="2529">
        <f t="shared" ref="B745:K745" si="383">IF(AND(B733=0,B734=0,B735=0,B736=0),"",-B732/(B733+B734+B735+B736))</f>
        <v>1.3798972452582761</v>
      </c>
      <c r="C745" s="2529">
        <f t="shared" si="383"/>
        <v>1.3730708582253726</v>
      </c>
      <c r="D745" s="2529">
        <f t="shared" si="383"/>
        <v>1.3650673108781652</v>
      </c>
      <c r="E745" s="2529">
        <f t="shared" si="383"/>
        <v>1.3558508575997359</v>
      </c>
      <c r="F745" s="2529">
        <f t="shared" si="383"/>
        <v>1.3453483736386698</v>
      </c>
      <c r="G745" s="2529">
        <f t="shared" si="383"/>
        <v>1.333521145607784</v>
      </c>
      <c r="H745" s="2529">
        <f t="shared" si="383"/>
        <v>1.3202750158767436</v>
      </c>
      <c r="I745" s="2529">
        <f t="shared" si="383"/>
        <v>1.3055860510898361</v>
      </c>
      <c r="J745" s="2529">
        <f t="shared" si="383"/>
        <v>1.2893568015292434</v>
      </c>
      <c r="K745" s="2529">
        <f t="shared" si="383"/>
        <v>1.2715419659596126</v>
      </c>
    </row>
    <row r="746" spans="1:11">
      <c r="A746" s="357" t="s">
        <v>718</v>
      </c>
      <c r="B746" s="2530">
        <f t="shared" ref="B746:K746" si="384">IF(OR(B729="Choose mgt fee",B729="Choose One!"),"",(B722+B723+B724+B725+B726) / -(B728+B729+B730))</f>
        <v>1.4008493898271479</v>
      </c>
      <c r="C746" s="2530">
        <f t="shared" si="384"/>
        <v>1.3872489103142636</v>
      </c>
      <c r="D746" s="2530">
        <f t="shared" si="384"/>
        <v>1.3737775016178164</v>
      </c>
      <c r="E746" s="2530">
        <f t="shared" si="384"/>
        <v>1.3604409602242287</v>
      </c>
      <c r="F746" s="2530">
        <f t="shared" si="384"/>
        <v>1.3472317338800048</v>
      </c>
      <c r="G746" s="2530">
        <f t="shared" si="384"/>
        <v>1.3341554167935832</v>
      </c>
      <c r="H746" s="2530">
        <f t="shared" si="384"/>
        <v>1.3211994496470423</v>
      </c>
      <c r="I746" s="2530">
        <f t="shared" si="384"/>
        <v>1.3083753787440946</v>
      </c>
      <c r="J746" s="2530">
        <f t="shared" si="384"/>
        <v>1.2956716912439932</v>
      </c>
      <c r="K746" s="2530">
        <f t="shared" si="384"/>
        <v>1.2830939962576522</v>
      </c>
    </row>
    <row r="747" spans="1:11">
      <c r="A747" s="357" t="s">
        <v>2405</v>
      </c>
      <c r="B747" s="2528">
        <f>'Part VI-Pro Forma'!B40</f>
        <v>765110.87337037933</v>
      </c>
      <c r="C747" s="2528">
        <f>'Part VI-Pro Forma'!C40</f>
        <v>760950.95487847168</v>
      </c>
      <c r="D747" s="2528">
        <f>'Part VI-Pro Forma'!D40</f>
        <v>756501.38984566554</v>
      </c>
      <c r="E747" s="2528">
        <f>'Part VI-Pro Forma'!E40</f>
        <v>751742.01078098314</v>
      </c>
      <c r="F747" s="2528">
        <f>'Part VI-Pro Forma'!F40</f>
        <v>746651.24597266375</v>
      </c>
      <c r="G747" s="2528">
        <f>'Part VI-Pro Forma'!G40</f>
        <v>741206.02171516872</v>
      </c>
      <c r="H747" s="2528">
        <f>'Part VI-Pro Forma'!H40</f>
        <v>735381.65772845363</v>
      </c>
      <c r="I747" s="2528">
        <f>'Part VI-Pro Forma'!I40</f>
        <v>729151.75529550039</v>
      </c>
      <c r="J747" s="2528">
        <f>'Part VI-Pro Forma'!J40</f>
        <v>722488.0776110969</v>
      </c>
      <c r="K747" s="2528">
        <f>'Part VI-Pro Forma'!K40</f>
        <v>715360.42179954879</v>
      </c>
    </row>
    <row r="748" spans="1:11">
      <c r="A748" s="357" t="s">
        <v>2406</v>
      </c>
      <c r="B748" s="2528">
        <f>'Part VI-Pro Forma'!B41</f>
        <v>1039091.8525844133</v>
      </c>
      <c r="C748" s="2528">
        <f>'Part VI-Pro Forma'!C41</f>
        <v>1049530.5286936644</v>
      </c>
      <c r="D748" s="2528">
        <f>'Part VI-Pro Forma'!D41</f>
        <v>1060074.0713348228</v>
      </c>
      <c r="E748" s="2528">
        <f>'Part VI-Pro Forma'!E41</f>
        <v>1070723.5339929666</v>
      </c>
      <c r="F748" s="2528">
        <f>'Part VI-Pro Forma'!F41</f>
        <v>1081479.9807364438</v>
      </c>
      <c r="G748" s="2528">
        <f>'Part VI-Pro Forma'!G41</f>
        <v>1092344.4863231909</v>
      </c>
      <c r="H748" s="2528">
        <f>'Part VI-Pro Forma'!H41</f>
        <v>1103318.136308121</v>
      </c>
      <c r="I748" s="2528">
        <f>'Part VI-Pro Forma'!I41</f>
        <v>1114402.0271515893</v>
      </c>
      <c r="J748" s="2528">
        <f>'Part VI-Pro Forma'!J41</f>
        <v>1125597.2663289488</v>
      </c>
      <c r="K748" s="2528">
        <f>'Part VI-Pro Forma'!K41</f>
        <v>1136904.9724412067</v>
      </c>
    </row>
    <row r="749" spans="1:11">
      <c r="A749" s="357" t="s">
        <v>2407</v>
      </c>
      <c r="B749" s="2528" t="str">
        <f>'Part VI-Pro Forma'!B42</f>
        <v/>
      </c>
      <c r="C749" s="2528" t="str">
        <f>'Part VI-Pro Forma'!C42</f>
        <v/>
      </c>
      <c r="D749" s="2528" t="str">
        <f>'Part VI-Pro Forma'!D42</f>
        <v/>
      </c>
      <c r="E749" s="2528" t="str">
        <f>'Part VI-Pro Forma'!E42</f>
        <v/>
      </c>
      <c r="F749" s="2528" t="str">
        <f>'Part VI-Pro Forma'!F42</f>
        <v/>
      </c>
      <c r="G749" s="2528" t="str">
        <f>'Part VI-Pro Forma'!G42</f>
        <v/>
      </c>
      <c r="H749" s="2528" t="str">
        <f>'Part VI-Pro Forma'!H42</f>
        <v/>
      </c>
      <c r="I749" s="2528" t="str">
        <f>'Part VI-Pro Forma'!I42</f>
        <v/>
      </c>
      <c r="J749" s="2528" t="str">
        <f>'Part VI-Pro Forma'!J42</f>
        <v/>
      </c>
      <c r="K749" s="2528" t="str">
        <f>'Part VI-Pro Forma'!K42</f>
        <v/>
      </c>
    </row>
    <row r="750" spans="1:11">
      <c r="A750" s="357" t="s">
        <v>730</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c r="A751" s="357" t="s">
        <v>3363</v>
      </c>
      <c r="B751" s="2528">
        <f>'Part VI-Pro Forma'!B44</f>
        <v>32451</v>
      </c>
      <c r="C751" s="2528">
        <f>'Part VI-Pro Forma'!C44</f>
        <v>29481</v>
      </c>
      <c r="D751" s="2528">
        <f>'Part VI-Pro Forma'!D44</f>
        <v>26511</v>
      </c>
      <c r="E751" s="2528">
        <f>'Part VI-Pro Forma'!E44</f>
        <v>23541</v>
      </c>
      <c r="F751" s="2528">
        <f>'Part VI-Pro Forma'!F44</f>
        <v>20571</v>
      </c>
      <c r="G751" s="2528">
        <f>'Part VI-Pro Forma'!G44</f>
        <v>17601</v>
      </c>
      <c r="H751" s="2528">
        <f>'Part VI-Pro Forma'!H44</f>
        <v>14631</v>
      </c>
      <c r="I751" s="2528">
        <f>'Part VI-Pro Forma'!I44</f>
        <v>11661</v>
      </c>
      <c r="J751" s="2528">
        <f>'Part VI-Pro Forma'!J44</f>
        <v>8691</v>
      </c>
      <c r="K751" s="2528">
        <f>'Part VI-Pro Forma'!K44</f>
        <v>5721</v>
      </c>
    </row>
    <row r="752" spans="1:11">
      <c r="B752" s="2528"/>
      <c r="C752" s="2528"/>
      <c r="D752" s="2528"/>
      <c r="E752" s="2528"/>
      <c r="F752" s="2528"/>
      <c r="G752" s="2528"/>
      <c r="H752" s="2528"/>
      <c r="I752" s="2528"/>
      <c r="J752" s="2528"/>
      <c r="K752" s="2528"/>
    </row>
    <row r="753" spans="1:11">
      <c r="A753" s="361" t="s">
        <v>2284</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c r="A754" s="357" t="s">
        <v>2215</v>
      </c>
      <c r="B754" s="2528">
        <f>'Part VI-Pro Forma'!B47</f>
        <v>343434.61191164289</v>
      </c>
      <c r="C754" s="2528">
        <f>'Part VI-Pro Forma'!C47</f>
        <v>350303.30414987571</v>
      </c>
      <c r="D754" s="2528">
        <f>'Part VI-Pro Forma'!D47</f>
        <v>357309.37023287325</v>
      </c>
      <c r="E754" s="2528">
        <f>'Part VI-Pro Forma'!E47</f>
        <v>364455.55763753067</v>
      </c>
      <c r="F754" s="2528">
        <f>'Part VI-Pro Forma'!F47</f>
        <v>371744.66879028134</v>
      </c>
      <c r="G754" s="2528">
        <f>'Part VI-Pro Forma'!G47</f>
        <v>379179.56216608686</v>
      </c>
      <c r="H754" s="2528">
        <f>'Part VI-Pro Forma'!H47</f>
        <v>386763.1534094087</v>
      </c>
      <c r="I754" s="2528">
        <f>'Part VI-Pro Forma'!I47</f>
        <v>394498.41647759685</v>
      </c>
      <c r="J754" s="2528">
        <f>'Part VI-Pro Forma'!J47</f>
        <v>402388.38480714877</v>
      </c>
      <c r="K754" s="2528">
        <f>'Part VI-Pro Forma'!K47</f>
        <v>410436.15250329173</v>
      </c>
    </row>
    <row r="755" spans="1:11">
      <c r="A755" s="357" t="s">
        <v>952</v>
      </c>
      <c r="B755" s="2528">
        <f>'Part VI-Pro Forma'!B48</f>
        <v>1087.3430226353235</v>
      </c>
      <c r="C755" s="2528">
        <f>'Part VI-Pro Forma'!C48</f>
        <v>1109.0898830880296</v>
      </c>
      <c r="D755" s="2528">
        <f>'Part VI-Pro Forma'!D48</f>
        <v>1131.2716807497904</v>
      </c>
      <c r="E755" s="2528">
        <f>'Part VI-Pro Forma'!E48</f>
        <v>1153.8971143647861</v>
      </c>
      <c r="F755" s="2528">
        <f>'Part VI-Pro Forma'!F48</f>
        <v>1176.975056652082</v>
      </c>
      <c r="G755" s="2528">
        <f>'Part VI-Pro Forma'!G48</f>
        <v>1200.5145577851233</v>
      </c>
      <c r="H755" s="2528">
        <f>'Part VI-Pro Forma'!H48</f>
        <v>1224.5248489408259</v>
      </c>
      <c r="I755" s="2528">
        <f>'Part VI-Pro Forma'!I48</f>
        <v>1249.0153459196426</v>
      </c>
      <c r="J755" s="2528">
        <f>'Part VI-Pro Forma'!J48</f>
        <v>1273.9956528380353</v>
      </c>
      <c r="K755" s="2528">
        <f>'Part VI-Pro Forma'!K48</f>
        <v>1299.4755658947959</v>
      </c>
    </row>
    <row r="756" spans="1:11">
      <c r="A756" s="357" t="s">
        <v>2216</v>
      </c>
      <c r="B756" s="2528">
        <f>'Part VI-Pro Forma'!B49</f>
        <v>-17226.097746713913</v>
      </c>
      <c r="C756" s="2528">
        <f>'Part VI-Pro Forma'!C49</f>
        <v>-17570.619701648186</v>
      </c>
      <c r="D756" s="2528">
        <f>'Part VI-Pro Forma'!D49</f>
        <v>-17922.032095681152</v>
      </c>
      <c r="E756" s="2528">
        <f>'Part VI-Pro Forma'!E49</f>
        <v>-18280.472737594773</v>
      </c>
      <c r="F756" s="2528">
        <f>'Part VI-Pro Forma'!F49</f>
        <v>-18646.082192346672</v>
      </c>
      <c r="G756" s="2528">
        <f>'Part VI-Pro Forma'!G49</f>
        <v>-19019.003836193599</v>
      </c>
      <c r="H756" s="2528">
        <f>'Part VI-Pro Forma'!H49</f>
        <v>-19399.383912917478</v>
      </c>
      <c r="I756" s="2528">
        <f>'Part VI-Pro Forma'!I49</f>
        <v>-19787.371591175826</v>
      </c>
      <c r="J756" s="2528">
        <f>'Part VI-Pro Forma'!J49</f>
        <v>-20183.119022999341</v>
      </c>
      <c r="K756" s="2528">
        <f>'Part VI-Pro Forma'!K49</f>
        <v>-20586.781403459328</v>
      </c>
    </row>
    <row r="757" spans="1:11">
      <c r="A757" s="357" t="s">
        <v>47</v>
      </c>
      <c r="B757" s="2528">
        <f>'Part VI-Pro Forma'!B50</f>
        <v>0</v>
      </c>
      <c r="C757" s="2528">
        <f>'Part VI-Pro Forma'!C50</f>
        <v>0</v>
      </c>
      <c r="D757" s="2528">
        <f>'Part VI-Pro Forma'!D50</f>
        <v>0</v>
      </c>
      <c r="E757" s="2528">
        <f>'Part VI-Pro Forma'!E50</f>
        <v>0</v>
      </c>
      <c r="F757" s="2528">
        <f>'Part VI-Pro Forma'!F50</f>
        <v>0</v>
      </c>
      <c r="G757" s="2528">
        <f>'Part VI-Pro Forma'!G50</f>
        <v>0</v>
      </c>
      <c r="H757" s="2528">
        <f>'Part VI-Pro Forma'!H50</f>
        <v>0</v>
      </c>
      <c r="I757" s="2528">
        <f>'Part VI-Pro Forma'!I50</f>
        <v>0</v>
      </c>
      <c r="J757" s="2528">
        <f>'Part VI-Pro Forma'!J50</f>
        <v>0</v>
      </c>
      <c r="K757" s="2528">
        <f>'Part VI-Pro Forma'!K50</f>
        <v>0</v>
      </c>
    </row>
    <row r="758" spans="1:11">
      <c r="A758" s="357" t="s">
        <v>48</v>
      </c>
      <c r="B758" s="2528">
        <f>'Part VI-Pro Forma'!B51</f>
        <v>0</v>
      </c>
      <c r="C758" s="2528">
        <f>'Part VI-Pro Forma'!C51</f>
        <v>0</v>
      </c>
      <c r="D758" s="2528">
        <f>'Part VI-Pro Forma'!D51</f>
        <v>0</v>
      </c>
      <c r="E758" s="2528">
        <f>'Part VI-Pro Forma'!E51</f>
        <v>0</v>
      </c>
      <c r="F758" s="2528">
        <f>'Part VI-Pro Forma'!F51</f>
        <v>0</v>
      </c>
      <c r="G758" s="2528">
        <f>'Part VI-Pro Forma'!G51</f>
        <v>0</v>
      </c>
      <c r="H758" s="2528">
        <f>'Part VI-Pro Forma'!H51</f>
        <v>0</v>
      </c>
      <c r="I758" s="2528">
        <f>'Part VI-Pro Forma'!I51</f>
        <v>0</v>
      </c>
      <c r="J758" s="2528">
        <f>'Part VI-Pro Forma'!J51</f>
        <v>0</v>
      </c>
      <c r="K758" s="2528">
        <f>'Part VI-Pro Forma'!K51</f>
        <v>0</v>
      </c>
    </row>
    <row r="759" spans="1:11">
      <c r="A759" s="357" t="s">
        <v>3838</v>
      </c>
      <c r="B759" s="2528">
        <f>'Part VI-Pro Forma'!B52</f>
        <v>327295.85718756431</v>
      </c>
      <c r="C759" s="2528">
        <f>'Part VI-Pro Forma'!C52</f>
        <v>333841.77433131554</v>
      </c>
      <c r="D759" s="2528">
        <f>'Part VI-Pro Forma'!D52</f>
        <v>340518.60981794185</v>
      </c>
      <c r="E759" s="2528">
        <f>'Part VI-Pro Forma'!E52</f>
        <v>347328.98201430065</v>
      </c>
      <c r="F759" s="2528">
        <f>'Part VI-Pro Forma'!F52</f>
        <v>354275.56165458675</v>
      </c>
      <c r="G759" s="2528">
        <f>'Part VI-Pro Forma'!G52</f>
        <v>361361.0728876784</v>
      </c>
      <c r="H759" s="2528">
        <f>'Part VI-Pro Forma'!H52</f>
        <v>368588.29434543208</v>
      </c>
      <c r="I759" s="2528">
        <f>'Part VI-Pro Forma'!I52</f>
        <v>375960.06023234065</v>
      </c>
      <c r="J759" s="2528">
        <f>'Part VI-Pro Forma'!J52</f>
        <v>383479.26143698744</v>
      </c>
      <c r="K759" s="2528">
        <f>'Part VI-Pro Forma'!K52</f>
        <v>391148.84666572721</v>
      </c>
    </row>
    <row r="760" spans="1:11">
      <c r="A760" s="357" t="s">
        <v>572</v>
      </c>
      <c r="B760" s="2528">
        <f>'Part VI-Pro Forma'!B53</f>
        <v>-173724.03860867658</v>
      </c>
      <c r="C760" s="2528">
        <f>'Part VI-Pro Forma'!C53</f>
        <v>-178935.75976693688</v>
      </c>
      <c r="D760" s="2528">
        <f>'Part VI-Pro Forma'!D53</f>
        <v>-184303.83255994497</v>
      </c>
      <c r="E760" s="2528">
        <f>'Part VI-Pro Forma'!E53</f>
        <v>-189832.9475367433</v>
      </c>
      <c r="F760" s="2528">
        <f>'Part VI-Pro Forma'!F53</f>
        <v>-195527.93596284563</v>
      </c>
      <c r="G760" s="2528">
        <f>'Part VI-Pro Forma'!G53</f>
        <v>-201393.77404173103</v>
      </c>
      <c r="H760" s="2528">
        <f>'Part VI-Pro Forma'!H53</f>
        <v>-207435.58726298291</v>
      </c>
      <c r="I760" s="2528">
        <f>'Part VI-Pro Forma'!I53</f>
        <v>-213658.6548808724</v>
      </c>
      <c r="J760" s="2528">
        <f>'Part VI-Pro Forma'!J53</f>
        <v>-220068.41452729856</v>
      </c>
      <c r="K760" s="2528">
        <f>'Part VI-Pro Forma'!K53</f>
        <v>-226670.46696311753</v>
      </c>
    </row>
    <row r="761" spans="1:11">
      <c r="A761" s="357" t="s">
        <v>1050</v>
      </c>
      <c r="B761" s="2528">
        <f>'Part VI-Pro Forma'!B54</f>
        <v>-51606</v>
      </c>
      <c r="C761" s="2528">
        <f>'Part VI-Pro Forma'!C54</f>
        <v>-53155</v>
      </c>
      <c r="D761" s="2528">
        <f>'Part VI-Pro Forma'!D54</f>
        <v>-54749</v>
      </c>
      <c r="E761" s="2528">
        <f>'Part VI-Pro Forma'!E54</f>
        <v>-56392</v>
      </c>
      <c r="F761" s="2528">
        <f>'Part VI-Pro Forma'!F54</f>
        <v>-58083</v>
      </c>
      <c r="G761" s="2528">
        <f>'Part VI-Pro Forma'!G54</f>
        <v>-59826</v>
      </c>
      <c r="H761" s="2528">
        <f>'Part VI-Pro Forma'!H54</f>
        <v>-61621</v>
      </c>
      <c r="I761" s="2528">
        <f>'Part VI-Pro Forma'!I54</f>
        <v>-63469</v>
      </c>
      <c r="J761" s="2528">
        <f>'Part VI-Pro Forma'!J54</f>
        <v>-65373</v>
      </c>
      <c r="K761" s="2528">
        <f>'Part VI-Pro Forma'!K54</f>
        <v>-67335</v>
      </c>
    </row>
    <row r="762" spans="1:11">
      <c r="A762" s="357" t="s">
        <v>1128</v>
      </c>
      <c r="B762" s="2528">
        <f>'Part VI-Pro Forma'!B55</f>
        <v>-32253.993104258923</v>
      </c>
      <c r="C762" s="2528">
        <f>'Part VI-Pro Forma'!C55</f>
        <v>-33221.612897386694</v>
      </c>
      <c r="D762" s="2528">
        <f>'Part VI-Pro Forma'!D55</f>
        <v>-34218.26128430829</v>
      </c>
      <c r="E762" s="2528">
        <f>'Part VI-Pro Forma'!E55</f>
        <v>-35244.809122837534</v>
      </c>
      <c r="F762" s="2528">
        <f>'Part VI-Pro Forma'!F55</f>
        <v>-36302.153396522663</v>
      </c>
      <c r="G762" s="2528">
        <f>'Part VI-Pro Forma'!G55</f>
        <v>-37391.217998418346</v>
      </c>
      <c r="H762" s="2528">
        <f>'Part VI-Pro Forma'!H55</f>
        <v>-38512.95453837089</v>
      </c>
      <c r="I762" s="2528">
        <f>'Part VI-Pro Forma'!I55</f>
        <v>-39668.343174522015</v>
      </c>
      <c r="J762" s="2528">
        <f>'Part VI-Pro Forma'!J55</f>
        <v>-40858.393469757677</v>
      </c>
      <c r="K762" s="2528">
        <f>'Part VI-Pro Forma'!K55</f>
        <v>-42084.145273850409</v>
      </c>
    </row>
    <row r="763" spans="1:11">
      <c r="A763" s="357" t="s">
        <v>3837</v>
      </c>
      <c r="B763" s="2528">
        <f>IF(B753&lt;=+'Part V-Revenues &amp; Expenses'!$N$251,-'Part V-Revenues &amp; Expenses'!$K$251,0)</f>
        <v>0</v>
      </c>
      <c r="C763" s="2528">
        <f>IF(C753&lt;=+'Part V-Revenues &amp; Expenses'!$N$251,-'Part V-Revenues &amp; Expenses'!$K$251,0)</f>
        <v>0</v>
      </c>
      <c r="D763" s="2528">
        <f>IF(D753&lt;=+'Part V-Revenues &amp; Expenses'!$N$251,-'Part V-Revenues &amp; Expenses'!$K$251,0)</f>
        <v>0</v>
      </c>
      <c r="E763" s="2528">
        <f>IF(E753&lt;=+'Part V-Revenues &amp; Expenses'!$N$251,-'Part V-Revenues &amp; Expenses'!$K$251,0)</f>
        <v>0</v>
      </c>
      <c r="F763" s="2528">
        <f>IF(F753&lt;=+'Part V-Revenues &amp; Expenses'!$N$251,-'Part V-Revenues &amp; Expenses'!$K$251,0)</f>
        <v>0</v>
      </c>
      <c r="G763" s="2528">
        <f>IF(G753&lt;=+'Part V-Revenues &amp; Expenses'!$N$251,-'Part V-Revenues &amp; Expenses'!$K$251,0)</f>
        <v>0</v>
      </c>
      <c r="H763" s="2528">
        <f>IF(H753&lt;=+'Part V-Revenues &amp; Expenses'!$N$251,-'Part V-Revenues &amp; Expenses'!$K$251,0)</f>
        <v>0</v>
      </c>
      <c r="I763" s="2528">
        <f>IF(I753&lt;=+'Part V-Revenues &amp; Expenses'!$N$251,-'Part V-Revenues &amp; Expenses'!$K$251,0)</f>
        <v>0</v>
      </c>
      <c r="J763" s="2528">
        <f>IF(J753&lt;=+'Part V-Revenues &amp; Expenses'!$N$251,-'Part V-Revenues &amp; Expenses'!$K$251,0)</f>
        <v>0</v>
      </c>
      <c r="K763" s="2528">
        <f>IF(K753&lt;=+'Part V-Revenues &amp; Expenses'!$N$251,-'Part V-Revenues &amp; Expenses'!$K$251,0)</f>
        <v>0</v>
      </c>
    </row>
    <row r="764" spans="1:11">
      <c r="A764" s="357" t="s">
        <v>1129</v>
      </c>
      <c r="B764" s="2528">
        <f t="shared" ref="B764:K764" si="386">SUM(B759:B763)</f>
        <v>69711.8254746288</v>
      </c>
      <c r="C764" s="2528">
        <f t="shared" si="386"/>
        <v>68529.401666991966</v>
      </c>
      <c r="D764" s="2528">
        <f t="shared" si="386"/>
        <v>67247.515973688583</v>
      </c>
      <c r="E764" s="2528">
        <f t="shared" si="386"/>
        <v>65859.22535471982</v>
      </c>
      <c r="F764" s="2528">
        <f t="shared" si="386"/>
        <v>64362.47229521846</v>
      </c>
      <c r="G764" s="2528">
        <f t="shared" si="386"/>
        <v>62750.080847529025</v>
      </c>
      <c r="H764" s="2528">
        <f t="shared" si="386"/>
        <v>61018.752544078277</v>
      </c>
      <c r="I764" s="2528">
        <f t="shared" si="386"/>
        <v>59164.06217694623</v>
      </c>
      <c r="J764" s="2528">
        <f t="shared" si="386"/>
        <v>57179.453439931196</v>
      </c>
      <c r="K764" s="2528">
        <f t="shared" si="386"/>
        <v>55059.234428759264</v>
      </c>
    </row>
    <row r="765" spans="1:11">
      <c r="A765" s="357" t="str">
        <f>$A733</f>
        <v>Mortgage A</v>
      </c>
      <c r="B765" s="2528">
        <f>'Part VI-Pro Forma'!B58</f>
        <v>-55677.768952730781</v>
      </c>
      <c r="C765" s="2528">
        <f>'Part VI-Pro Forma'!C58</f>
        <v>-55677.768952730781</v>
      </c>
      <c r="D765" s="2528">
        <f>'Part VI-Pro Forma'!D58</f>
        <v>-55677.768952730781</v>
      </c>
      <c r="E765" s="2528">
        <f>'Part VI-Pro Forma'!E58</f>
        <v>-55677.768952730781</v>
      </c>
      <c r="F765" s="2528">
        <f>'Part VI-Pro Forma'!F58</f>
        <v>-55677.768952730781</v>
      </c>
      <c r="G765" s="2528">
        <f>'Part VI-Pro Forma'!G58</f>
        <v>-55677.768952730781</v>
      </c>
      <c r="H765" s="2528">
        <f>'Part VI-Pro Forma'!H58</f>
        <v>-55677.768952730781</v>
      </c>
      <c r="I765" s="2528">
        <f>'Part VI-Pro Forma'!I58</f>
        <v>-55677.768952730781</v>
      </c>
      <c r="J765" s="2528">
        <f>'Part VI-Pro Forma'!J58</f>
        <v>-55677.768952730781</v>
      </c>
      <c r="K765" s="2528">
        <f>'Part VI-Pro Forma'!K58</f>
        <v>-55677.768952730781</v>
      </c>
    </row>
    <row r="766" spans="1:11">
      <c r="A766" s="357" t="str">
        <f>$A734</f>
        <v>Mortgage B</v>
      </c>
      <c r="B766" s="2528">
        <f>'Part VI-Pro Forma'!B59</f>
        <v>0</v>
      </c>
      <c r="C766" s="2528">
        <f>'Part VI-Pro Forma'!C59</f>
        <v>0</v>
      </c>
      <c r="D766" s="2528">
        <f>'Part VI-Pro Forma'!D59</f>
        <v>0</v>
      </c>
      <c r="E766" s="2528">
        <f>'Part VI-Pro Forma'!E59</f>
        <v>0</v>
      </c>
      <c r="F766" s="2528">
        <f>'Part VI-Pro Forma'!F59</f>
        <v>0</v>
      </c>
      <c r="G766" s="2528">
        <f>'Part VI-Pro Forma'!G59</f>
        <v>0</v>
      </c>
      <c r="H766" s="2528">
        <f>'Part VI-Pro Forma'!H59</f>
        <v>0</v>
      </c>
      <c r="I766" s="2528">
        <f>'Part VI-Pro Forma'!I59</f>
        <v>0</v>
      </c>
      <c r="J766" s="2528">
        <f>'Part VI-Pro Forma'!J59</f>
        <v>0</v>
      </c>
      <c r="K766" s="2528">
        <f>'Part VI-Pro Forma'!K59</f>
        <v>0</v>
      </c>
    </row>
    <row r="767" spans="1:11">
      <c r="A767" s="357" t="str">
        <f>$A735</f>
        <v>Mortgage C</v>
      </c>
      <c r="B767" s="2528">
        <f>'Part VI-Pro Forma'!B60</f>
        <v>0</v>
      </c>
      <c r="C767" s="2528">
        <f>'Part VI-Pro Forma'!C60</f>
        <v>0</v>
      </c>
      <c r="D767" s="2528">
        <f>'Part VI-Pro Forma'!D60</f>
        <v>0</v>
      </c>
      <c r="E767" s="2528">
        <f>'Part VI-Pro Forma'!E60</f>
        <v>0</v>
      </c>
      <c r="F767" s="2528">
        <f>'Part VI-Pro Forma'!F60</f>
        <v>0</v>
      </c>
      <c r="G767" s="2528">
        <f>'Part VI-Pro Forma'!G60</f>
        <v>0</v>
      </c>
      <c r="H767" s="2528">
        <f>'Part VI-Pro Forma'!H60</f>
        <v>0</v>
      </c>
      <c r="I767" s="2528">
        <f>'Part VI-Pro Forma'!I60</f>
        <v>0</v>
      </c>
      <c r="J767" s="2528">
        <f>'Part VI-Pro Forma'!J60</f>
        <v>0</v>
      </c>
      <c r="K767" s="2528">
        <f>'Part VI-Pro Forma'!K60</f>
        <v>0</v>
      </c>
    </row>
    <row r="768" spans="1:11">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c r="A769" s="357" t="s">
        <v>711</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c r="A770" s="357" t="s">
        <v>1095</v>
      </c>
      <c r="B770" s="2528">
        <f>'Part VI-Pro Forma'!B63</f>
        <v>-3750</v>
      </c>
      <c r="C770" s="2528">
        <f>'Part VI-Pro Forma'!C63</f>
        <v>-3750</v>
      </c>
      <c r="D770" s="2528">
        <f>'Part VI-Pro Forma'!D63</f>
        <v>-3750</v>
      </c>
      <c r="E770" s="2528">
        <f>'Part VI-Pro Forma'!E63</f>
        <v>-3750</v>
      </c>
      <c r="F770" s="2528">
        <f>'Part VI-Pro Forma'!F63</f>
        <v>-3750</v>
      </c>
      <c r="G770" s="2528">
        <f>'Part VI-Pro Forma'!G63</f>
        <v>-3750</v>
      </c>
      <c r="H770" s="2528">
        <f>'Part VI-Pro Forma'!H63</f>
        <v>-3750</v>
      </c>
      <c r="I770" s="2528">
        <f>'Part VI-Pro Forma'!I63</f>
        <v>-3750</v>
      </c>
      <c r="J770" s="2528">
        <f>'Part VI-Pro Forma'!J63</f>
        <v>-3750</v>
      </c>
      <c r="K770" s="2528">
        <f>'Part VI-Pro Forma'!K63</f>
        <v>-3750</v>
      </c>
    </row>
    <row r="771" spans="1:11">
      <c r="A771" s="357" t="s">
        <v>3362</v>
      </c>
      <c r="B771" s="2528">
        <f>'Part VI-Pro Forma'!B64</f>
        <v>-2970</v>
      </c>
      <c r="C771" s="2528">
        <f>'Part VI-Pro Forma'!C64</f>
        <v>-2751</v>
      </c>
      <c r="D771" s="2528">
        <f>'Part VI-Pro Forma'!D64</f>
        <v>0</v>
      </c>
      <c r="E771" s="2528">
        <f>'Part VI-Pro Forma'!E64</f>
        <v>0</v>
      </c>
      <c r="F771" s="2528">
        <f>'Part VI-Pro Forma'!F64</f>
        <v>0</v>
      </c>
      <c r="G771" s="2528">
        <f>'Part VI-Pro Forma'!G64</f>
        <v>0</v>
      </c>
      <c r="H771" s="2528">
        <f>'Part VI-Pro Forma'!H64</f>
        <v>0</v>
      </c>
      <c r="I771" s="2528">
        <f>'Part VI-Pro Forma'!I64</f>
        <v>0</v>
      </c>
      <c r="J771" s="2528">
        <f>'Part VI-Pro Forma'!J64</f>
        <v>0</v>
      </c>
      <c r="K771" s="2528">
        <f>'Part VI-Pro Forma'!K64</f>
        <v>0</v>
      </c>
    </row>
    <row r="772" spans="1:11">
      <c r="A772" s="357" t="s">
        <v>1096</v>
      </c>
      <c r="B772" s="2528">
        <f t="shared" ref="B772:K772" si="387">SUM(B764:B771)</f>
        <v>7314.0565218980191</v>
      </c>
      <c r="C772" s="2528">
        <f t="shared" si="387"/>
        <v>6350.6327142611844</v>
      </c>
      <c r="D772" s="2528">
        <f t="shared" si="387"/>
        <v>7819.7470209578023</v>
      </c>
      <c r="E772" s="2528">
        <f t="shared" si="387"/>
        <v>6431.4564019890386</v>
      </c>
      <c r="F772" s="2528">
        <f t="shared" si="387"/>
        <v>4934.703342487679</v>
      </c>
      <c r="G772" s="2528">
        <f t="shared" si="387"/>
        <v>3322.3118947982439</v>
      </c>
      <c r="H772" s="2528">
        <f t="shared" si="387"/>
        <v>1590.9835913474963</v>
      </c>
      <c r="I772" s="2528">
        <f t="shared" si="387"/>
        <v>-263.7067757845507</v>
      </c>
      <c r="J772" s="2528">
        <f t="shared" si="387"/>
        <v>-2248.3155127995851</v>
      </c>
      <c r="K772" s="2528">
        <f t="shared" si="387"/>
        <v>-4368.534523971517</v>
      </c>
    </row>
    <row r="773" spans="1:11">
      <c r="A773" s="357" t="str">
        <f>$A741</f>
        <v>DCR Mortgage A</v>
      </c>
      <c r="B773" s="2529">
        <f t="shared" ref="B773:K773" si="388">IF(B765=0,"",-B764/B765)</f>
        <v>1.252058528670799</v>
      </c>
      <c r="C773" s="2529">
        <f t="shared" si="388"/>
        <v>1.2308216179633911</v>
      </c>
      <c r="D773" s="2529">
        <f t="shared" si="388"/>
        <v>1.2077983230754139</v>
      </c>
      <c r="E773" s="2529">
        <f t="shared" si="388"/>
        <v>1.1828639436079573</v>
      </c>
      <c r="F773" s="2529">
        <f t="shared" si="388"/>
        <v>1.1559815255862858</v>
      </c>
      <c r="G773" s="2529">
        <f t="shared" si="388"/>
        <v>1.127022185475903</v>
      </c>
      <c r="H773" s="2529">
        <f t="shared" si="388"/>
        <v>1.0959266811836852</v>
      </c>
      <c r="I773" s="2529">
        <f t="shared" si="388"/>
        <v>1.062615533808031</v>
      </c>
      <c r="J773" s="2529">
        <f t="shared" si="388"/>
        <v>1.0269709888784393</v>
      </c>
      <c r="K773" s="2529">
        <f t="shared" si="388"/>
        <v>0.98889081700639547</v>
      </c>
    </row>
    <row r="774" spans="1:11">
      <c r="A774" s="357" t="str">
        <f>$A742</f>
        <v>DCR Mortgage B</v>
      </c>
      <c r="B774" s="2529" t="str">
        <f t="shared" ref="B774:K774" si="389">IF(B766=0,"",-(B764+B765)/B766)</f>
        <v/>
      </c>
      <c r="C774" s="2529" t="str">
        <f t="shared" si="389"/>
        <v/>
      </c>
      <c r="D774" s="2529" t="str">
        <f t="shared" si="389"/>
        <v/>
      </c>
      <c r="E774" s="2529" t="str">
        <f t="shared" si="389"/>
        <v/>
      </c>
      <c r="F774" s="2529" t="str">
        <f t="shared" si="389"/>
        <v/>
      </c>
      <c r="G774" s="2529" t="str">
        <f t="shared" si="389"/>
        <v/>
      </c>
      <c r="H774" s="2529" t="str">
        <f t="shared" si="389"/>
        <v/>
      </c>
      <c r="I774" s="2529" t="str">
        <f t="shared" si="389"/>
        <v/>
      </c>
      <c r="J774" s="2529" t="str">
        <f t="shared" si="389"/>
        <v/>
      </c>
      <c r="K774" s="2529" t="str">
        <f t="shared" si="389"/>
        <v/>
      </c>
    </row>
    <row r="775" spans="1:11">
      <c r="A775" s="357" t="str">
        <f>$A743</f>
        <v>DCR Mortgage C</v>
      </c>
      <c r="B775" s="2529" t="str">
        <f t="shared" ref="B775:K775" si="390">IF(B767=0,"",-(B764+B765+B766)/B767)</f>
        <v/>
      </c>
      <c r="C775" s="2529" t="str">
        <f t="shared" si="390"/>
        <v/>
      </c>
      <c r="D775" s="2529" t="str">
        <f t="shared" si="390"/>
        <v/>
      </c>
      <c r="E775" s="2529" t="str">
        <f t="shared" si="390"/>
        <v/>
      </c>
      <c r="F775" s="2529" t="str">
        <f t="shared" si="390"/>
        <v/>
      </c>
      <c r="G775" s="2529" t="str">
        <f t="shared" si="390"/>
        <v/>
      </c>
      <c r="H775" s="2529" t="str">
        <f t="shared" si="390"/>
        <v/>
      </c>
      <c r="I775" s="2529" t="str">
        <f t="shared" si="390"/>
        <v/>
      </c>
      <c r="J775" s="2529" t="str">
        <f t="shared" si="390"/>
        <v/>
      </c>
      <c r="K775" s="2529" t="str">
        <f t="shared" si="390"/>
        <v/>
      </c>
    </row>
    <row r="776" spans="1:11">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c r="A777" s="357" t="s">
        <v>3213</v>
      </c>
      <c r="B777" s="2529">
        <f t="shared" ref="B777:K777" si="392">IF(AND(B765=0,B766=0,B767=0,B768=0),"",-B764/(B765+B766+B767+B768))</f>
        <v>1.252058528670799</v>
      </c>
      <c r="C777" s="2529">
        <f t="shared" si="392"/>
        <v>1.2308216179633911</v>
      </c>
      <c r="D777" s="2529">
        <f t="shared" si="392"/>
        <v>1.2077983230754139</v>
      </c>
      <c r="E777" s="2529">
        <f t="shared" si="392"/>
        <v>1.1828639436079573</v>
      </c>
      <c r="F777" s="2529">
        <f t="shared" si="392"/>
        <v>1.1559815255862858</v>
      </c>
      <c r="G777" s="2529">
        <f t="shared" si="392"/>
        <v>1.127022185475903</v>
      </c>
      <c r="H777" s="2529">
        <f t="shared" si="392"/>
        <v>1.0959266811836852</v>
      </c>
      <c r="I777" s="2529">
        <f t="shared" si="392"/>
        <v>1.062615533808031</v>
      </c>
      <c r="J777" s="2529">
        <f t="shared" si="392"/>
        <v>1.0269709888784393</v>
      </c>
      <c r="K777" s="2529">
        <f t="shared" si="392"/>
        <v>0.98889081700639547</v>
      </c>
    </row>
    <row r="778" spans="1:11">
      <c r="A778" s="357" t="s">
        <v>718</v>
      </c>
      <c r="B778" s="2530">
        <f t="shared" ref="B778:K778" si="393">IF(OR(B761="Choose mgt fee",B761="Choose One!"),"",(B754+B755+B756+B757+B758) / -(B760+B761+B762))</f>
        <v>1.2706372169541904</v>
      </c>
      <c r="C778" s="2530">
        <f t="shared" si="393"/>
        <v>1.2582970442682526</v>
      </c>
      <c r="D778" s="2530">
        <f t="shared" si="393"/>
        <v>1.2460835320255836</v>
      </c>
      <c r="E778" s="2530">
        <f t="shared" si="393"/>
        <v>1.2339833100945625</v>
      </c>
      <c r="F778" s="2530">
        <f t="shared" si="393"/>
        <v>1.2220060930585872</v>
      </c>
      <c r="G778" s="2530">
        <f t="shared" si="393"/>
        <v>1.2101398894220612</v>
      </c>
      <c r="H778" s="2530">
        <f t="shared" si="393"/>
        <v>1.1983901012652538</v>
      </c>
      <c r="I778" s="2530">
        <f t="shared" si="393"/>
        <v>1.1867576059676137</v>
      </c>
      <c r="J778" s="2530">
        <f t="shared" si="393"/>
        <v>1.1752359395824317</v>
      </c>
      <c r="K778" s="2530">
        <f t="shared" si="393"/>
        <v>1.1638230770129796</v>
      </c>
    </row>
    <row r="779" spans="1:11">
      <c r="A779" s="357" t="s">
        <v>2405</v>
      </c>
      <c r="B779" s="2528">
        <f>'Part VI-Pro Forma'!B72</f>
        <v>707736.48202124855</v>
      </c>
      <c r="C779" s="2528">
        <f>'Part VI-Pro Forma'!C72</f>
        <v>699581.70304763748</v>
      </c>
      <c r="D779" s="2528">
        <f>'Part VI-Pro Forma'!D72</f>
        <v>690859.12364089477</v>
      </c>
      <c r="E779" s="2528">
        <f>'Part VI-Pro Forma'!E72</f>
        <v>681529.20902847673</v>
      </c>
      <c r="F779" s="2528">
        <f>'Part VI-Pro Forma'!F72</f>
        <v>671549.67171320494</v>
      </c>
      <c r="G779" s="2528">
        <f>'Part VI-Pro Forma'!G72</f>
        <v>660875.27980672941</v>
      </c>
      <c r="H779" s="2528">
        <f>'Part VI-Pro Forma'!H72</f>
        <v>649457.65201764717</v>
      </c>
      <c r="I779" s="2528">
        <f>'Part VI-Pro Forma'!I72</f>
        <v>637245.03836506617</v>
      </c>
      <c r="J779" s="2528">
        <f>'Part VI-Pro Forma'!J72</f>
        <v>624182.08562370727</v>
      </c>
      <c r="K779" s="2528">
        <f>'Part VI-Pro Forma'!K72</f>
        <v>610209.58643743244</v>
      </c>
    </row>
    <row r="780" spans="1:11">
      <c r="A780" s="357" t="s">
        <v>2406</v>
      </c>
      <c r="B780" s="2528">
        <f>'Part VI-Pro Forma'!B73</f>
        <v>1148326.2753267922</v>
      </c>
      <c r="C780" s="2528">
        <f>'Part VI-Pro Forma'!C73</f>
        <v>1159862.3161744468</v>
      </c>
      <c r="D780" s="2528">
        <f>'Part VI-Pro Forma'!D73</f>
        <v>1171514.24763725</v>
      </c>
      <c r="E780" s="2528">
        <f>'Part VI-Pro Forma'!E73</f>
        <v>1183283.2339477886</v>
      </c>
      <c r="F780" s="2528">
        <f>'Part VI-Pro Forma'!F73</f>
        <v>1195170.4510344847</v>
      </c>
      <c r="G780" s="2528">
        <f>'Part VI-Pro Forma'!G73</f>
        <v>1207177.0866390911</v>
      </c>
      <c r="H780" s="2528">
        <f>'Part VI-Pro Forma'!H73</f>
        <v>1219304.340435368</v>
      </c>
      <c r="I780" s="2528">
        <f>'Part VI-Pro Forma'!I73</f>
        <v>1231553.4241489512</v>
      </c>
      <c r="J780" s="2528">
        <f>'Part VI-Pro Forma'!J73</f>
        <v>1243925.5616784249</v>
      </c>
      <c r="K780" s="2528">
        <f>'Part VI-Pro Forma'!K73</f>
        <v>1256421.9892176106</v>
      </c>
    </row>
    <row r="781" spans="1:11">
      <c r="A781" s="357" t="s">
        <v>2407</v>
      </c>
      <c r="B781" s="2528" t="str">
        <f>'Part VI-Pro Forma'!B74</f>
        <v/>
      </c>
      <c r="C781" s="2528" t="str">
        <f>'Part VI-Pro Forma'!C74</f>
        <v/>
      </c>
      <c r="D781" s="2528" t="str">
        <f>'Part VI-Pro Forma'!D74</f>
        <v/>
      </c>
      <c r="E781" s="2528" t="str">
        <f>'Part VI-Pro Forma'!E74</f>
        <v/>
      </c>
      <c r="F781" s="2528" t="str">
        <f>'Part VI-Pro Forma'!F74</f>
        <v/>
      </c>
      <c r="G781" s="2528" t="str">
        <f>'Part VI-Pro Forma'!G74</f>
        <v/>
      </c>
      <c r="H781" s="2528" t="str">
        <f>'Part VI-Pro Forma'!H74</f>
        <v/>
      </c>
      <c r="I781" s="2528" t="str">
        <f>'Part VI-Pro Forma'!I74</f>
        <v/>
      </c>
      <c r="J781" s="2528" t="str">
        <f>'Part VI-Pro Forma'!J74</f>
        <v/>
      </c>
      <c r="K781" s="2528" t="str">
        <f>'Part VI-Pro Forma'!K74</f>
        <v/>
      </c>
    </row>
    <row r="782" spans="1:11">
      <c r="A782" s="357" t="s">
        <v>730</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c r="A783" s="357" t="s">
        <v>3363</v>
      </c>
      <c r="B783" s="2528">
        <f>'Part VI-Pro Forma'!B76</f>
        <v>2751</v>
      </c>
      <c r="C783" s="2528">
        <f>'Part VI-Pro Forma'!C76</f>
        <v>0</v>
      </c>
      <c r="D783" s="2528">
        <f>'Part VI-Pro Forma'!D76</f>
        <v>0</v>
      </c>
      <c r="E783" s="2528">
        <f>'Part VI-Pro Forma'!E76</f>
        <v>0</v>
      </c>
      <c r="F783" s="2528">
        <f>'Part VI-Pro Forma'!F76</f>
        <v>0</v>
      </c>
      <c r="G783" s="2528">
        <f>'Part VI-Pro Forma'!G76</f>
        <v>0</v>
      </c>
      <c r="H783" s="2528" t="str">
        <f>'Part VI-Pro Forma'!H76</f>
        <v/>
      </c>
      <c r="I783" s="2528" t="str">
        <f>'Part VI-Pro Forma'!I76</f>
        <v/>
      </c>
      <c r="J783" s="2528" t="str">
        <f>'Part VI-Pro Forma'!J76</f>
        <v/>
      </c>
      <c r="K783" s="2528" t="str">
        <f>'Part VI-Pro Forma'!K76</f>
        <v/>
      </c>
    </row>
    <row r="784" spans="1:11">
      <c r="B784" s="2528"/>
      <c r="C784" s="2528"/>
      <c r="D784" s="2528"/>
      <c r="E784" s="2528"/>
      <c r="F784" s="2528"/>
      <c r="G784" s="2528"/>
      <c r="H784" s="2528"/>
      <c r="I784" s="2528"/>
      <c r="J784" s="2528"/>
      <c r="K784" s="2528"/>
    </row>
    <row r="785" spans="1:11">
      <c r="A785" s="361" t="s">
        <v>2284</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c r="A786" s="357" t="s">
        <v>2215</v>
      </c>
      <c r="B786" s="2528">
        <f>'Part VI-Pro Forma'!B79</f>
        <v>418644.87555335759</v>
      </c>
      <c r="C786" s="2528">
        <f>'Part VI-Pro Forma'!C79</f>
        <v>427017.77306442475</v>
      </c>
      <c r="D786" s="2528">
        <f>'Part VI-Pro Forma'!D79</f>
        <v>435558.12852571323</v>
      </c>
      <c r="E786" s="2528">
        <f>'Part VI-Pro Forma'!E79</f>
        <v>444269.29109622742</v>
      </c>
      <c r="F786" s="2528">
        <f>'Part VI-Pro Forma'!F79</f>
        <v>453154.67691815202</v>
      </c>
      <c r="G786" s="2528">
        <f>'Part VI-Pro Forma'!G79</f>
        <v>462217.77045651502</v>
      </c>
      <c r="H786" s="2528">
        <f>'Part VI-Pro Forma'!H79</f>
        <v>471462.12586564542</v>
      </c>
      <c r="I786" s="2528">
        <f>'Part VI-Pro Forma'!I79</f>
        <v>480891.36838295823</v>
      </c>
      <c r="J786" s="2528">
        <f>'Part VI-Pro Forma'!J79</f>
        <v>490509.19575061748</v>
      </c>
      <c r="K786" s="2528">
        <f>'Part VI-Pro Forma'!K79</f>
        <v>500319.37966562976</v>
      </c>
    </row>
    <row r="787" spans="1:11">
      <c r="A787" s="357" t="s">
        <v>952</v>
      </c>
      <c r="B787" s="2528">
        <f>'Part VI-Pro Forma'!B80</f>
        <v>1325.465077212692</v>
      </c>
      <c r="C787" s="2528">
        <f>'Part VI-Pro Forma'!C80</f>
        <v>1351.9743787569457</v>
      </c>
      <c r="D787" s="2528">
        <f>'Part VI-Pro Forma'!D80</f>
        <v>1379.0138663320847</v>
      </c>
      <c r="E787" s="2528">
        <f>'Part VI-Pro Forma'!E80</f>
        <v>1406.5941436587261</v>
      </c>
      <c r="F787" s="2528">
        <f>'Part VI-Pro Forma'!F80</f>
        <v>1434.7260265319007</v>
      </c>
      <c r="G787" s="2528">
        <f>'Part VI-Pro Forma'!G80</f>
        <v>1463.4205470625388</v>
      </c>
      <c r="H787" s="2528">
        <f>'Part VI-Pro Forma'!H80</f>
        <v>1492.6889580037896</v>
      </c>
      <c r="I787" s="2528">
        <f>'Part VI-Pro Forma'!I80</f>
        <v>1522.5427371638652</v>
      </c>
      <c r="J787" s="2528">
        <f>'Part VI-Pro Forma'!J80</f>
        <v>1552.9935919071429</v>
      </c>
      <c r="K787" s="2528">
        <f>'Part VI-Pro Forma'!K80</f>
        <v>1584.0534637452854</v>
      </c>
    </row>
    <row r="788" spans="1:11">
      <c r="A788" s="357" t="s">
        <v>2216</v>
      </c>
      <c r="B788" s="2528">
        <f>'Part VI-Pro Forma'!B81</f>
        <v>-20998.517031528518</v>
      </c>
      <c r="C788" s="2528">
        <f>'Part VI-Pro Forma'!C81</f>
        <v>-21418.487372159085</v>
      </c>
      <c r="D788" s="2528">
        <f>'Part VI-Pro Forma'!D81</f>
        <v>-21846.857119602268</v>
      </c>
      <c r="E788" s="2528">
        <f>'Part VI-Pro Forma'!E81</f>
        <v>-22283.794261994306</v>
      </c>
      <c r="F788" s="2528">
        <f>'Part VI-Pro Forma'!F81</f>
        <v>-22729.470147234199</v>
      </c>
      <c r="G788" s="2528">
        <f>'Part VI-Pro Forma'!G81</f>
        <v>-23184.059550178878</v>
      </c>
      <c r="H788" s="2528">
        <f>'Part VI-Pro Forma'!H81</f>
        <v>-23647.740741182461</v>
      </c>
      <c r="I788" s="2528">
        <f>'Part VI-Pro Forma'!I81</f>
        <v>-24120.695556006103</v>
      </c>
      <c r="J788" s="2528">
        <f>'Part VI-Pro Forma'!J81</f>
        <v>-24603.109467126233</v>
      </c>
      <c r="K788" s="2528">
        <f>'Part VI-Pro Forma'!K81</f>
        <v>-25095.171656468752</v>
      </c>
    </row>
    <row r="789" spans="1:11">
      <c r="A789" s="357" t="s">
        <v>47</v>
      </c>
      <c r="B789" s="2528">
        <f>'Part VI-Pro Forma'!B82</f>
        <v>0</v>
      </c>
      <c r="C789" s="2528">
        <f>'Part VI-Pro Forma'!C82</f>
        <v>0</v>
      </c>
      <c r="D789" s="2528">
        <f>'Part VI-Pro Forma'!D82</f>
        <v>0</v>
      </c>
      <c r="E789" s="2528">
        <f>'Part VI-Pro Forma'!E82</f>
        <v>0</v>
      </c>
      <c r="F789" s="2528">
        <f>'Part VI-Pro Forma'!F82</f>
        <v>0</v>
      </c>
      <c r="G789" s="2528">
        <f>'Part VI-Pro Forma'!G82</f>
        <v>0</v>
      </c>
      <c r="H789" s="2528">
        <f>'Part VI-Pro Forma'!H82</f>
        <v>0</v>
      </c>
      <c r="I789" s="2528">
        <f>'Part VI-Pro Forma'!I82</f>
        <v>0</v>
      </c>
      <c r="J789" s="2528">
        <f>'Part VI-Pro Forma'!J82</f>
        <v>0</v>
      </c>
      <c r="K789" s="2528">
        <f>'Part VI-Pro Forma'!K82</f>
        <v>0</v>
      </c>
    </row>
    <row r="790" spans="1:11">
      <c r="A790" s="357" t="s">
        <v>48</v>
      </c>
      <c r="B790" s="2528">
        <f>'Part VI-Pro Forma'!B83</f>
        <v>0</v>
      </c>
      <c r="C790" s="2528">
        <f>'Part VI-Pro Forma'!C83</f>
        <v>0</v>
      </c>
      <c r="D790" s="2528">
        <f>'Part VI-Pro Forma'!D83</f>
        <v>0</v>
      </c>
      <c r="E790" s="2528">
        <f>'Part VI-Pro Forma'!E83</f>
        <v>0</v>
      </c>
      <c r="F790" s="2528">
        <f>'Part VI-Pro Forma'!F83</f>
        <v>0</v>
      </c>
      <c r="G790" s="2528">
        <f>'Part VI-Pro Forma'!G83</f>
        <v>0</v>
      </c>
      <c r="H790" s="2528">
        <f>'Part VI-Pro Forma'!H83</f>
        <v>0</v>
      </c>
      <c r="I790" s="2528">
        <f>'Part VI-Pro Forma'!I83</f>
        <v>0</v>
      </c>
      <c r="J790" s="2528">
        <f>'Part VI-Pro Forma'!J83</f>
        <v>0</v>
      </c>
      <c r="K790" s="2528">
        <f>'Part VI-Pro Forma'!K83</f>
        <v>0</v>
      </c>
    </row>
    <row r="791" spans="1:11">
      <c r="A791" s="357" t="s">
        <v>3838</v>
      </c>
      <c r="B791" s="2528">
        <f>'Part VI-Pro Forma'!B84</f>
        <v>398971.82359904179</v>
      </c>
      <c r="C791" s="2528">
        <f>'Part VI-Pro Forma'!C84</f>
        <v>406951.26007102261</v>
      </c>
      <c r="D791" s="2528">
        <f>'Part VI-Pro Forma'!D84</f>
        <v>415090.28527244303</v>
      </c>
      <c r="E791" s="2528">
        <f>'Part VI-Pro Forma'!E84</f>
        <v>423392.09097789181</v>
      </c>
      <c r="F791" s="2528">
        <f>'Part VI-Pro Forma'!F84</f>
        <v>431859.9327974497</v>
      </c>
      <c r="G791" s="2528">
        <f>'Part VI-Pro Forma'!G84</f>
        <v>440497.13145339867</v>
      </c>
      <c r="H791" s="2528">
        <f>'Part VI-Pro Forma'!H84</f>
        <v>449307.07408246672</v>
      </c>
      <c r="I791" s="2528">
        <f>'Part VI-Pro Forma'!I84</f>
        <v>458293.21556411596</v>
      </c>
      <c r="J791" s="2528">
        <f>'Part VI-Pro Forma'!J84</f>
        <v>467459.07987539837</v>
      </c>
      <c r="K791" s="2528">
        <f>'Part VI-Pro Forma'!K84</f>
        <v>476808.26147290628</v>
      </c>
    </row>
    <row r="792" spans="1:11">
      <c r="A792" s="357" t="s">
        <v>572</v>
      </c>
      <c r="B792" s="2528">
        <f>'Part VI-Pro Forma'!B85</f>
        <v>-233470.58097201106</v>
      </c>
      <c r="C792" s="2528">
        <f>'Part VI-Pro Forma'!C85</f>
        <v>-240474.69840117134</v>
      </c>
      <c r="D792" s="2528">
        <f>'Part VI-Pro Forma'!D85</f>
        <v>-247688.93935320652</v>
      </c>
      <c r="E792" s="2528">
        <f>'Part VI-Pro Forma'!E85</f>
        <v>-255119.60753380271</v>
      </c>
      <c r="F792" s="2528">
        <f>'Part VI-Pro Forma'!F85</f>
        <v>-262773.19575981674</v>
      </c>
      <c r="G792" s="2528">
        <f>'Part VI-Pro Forma'!G85</f>
        <v>-270656.39163261128</v>
      </c>
      <c r="H792" s="2528">
        <f>'Part VI-Pro Forma'!H85</f>
        <v>-278776.08338158962</v>
      </c>
      <c r="I792" s="2528">
        <f>'Part VI-Pro Forma'!I85</f>
        <v>-287139.36588303727</v>
      </c>
      <c r="J792" s="2528">
        <f>'Part VI-Pro Forma'!J85</f>
        <v>-295753.5468595284</v>
      </c>
      <c r="K792" s="2528">
        <f>'Part VI-Pro Forma'!K85</f>
        <v>-304626.15326531423</v>
      </c>
    </row>
    <row r="793" spans="1:11">
      <c r="A793" s="357" t="s">
        <v>1050</v>
      </c>
      <c r="B793" s="2528">
        <f>'Part VI-Pro Forma'!B86</f>
        <v>-69355</v>
      </c>
      <c r="C793" s="2528">
        <f>'Part VI-Pro Forma'!C86</f>
        <v>-71435</v>
      </c>
      <c r="D793" s="2528">
        <f>'Part VI-Pro Forma'!D86</f>
        <v>-73578</v>
      </c>
      <c r="E793" s="2528">
        <f>'Part VI-Pro Forma'!E86</f>
        <v>-75786</v>
      </c>
      <c r="F793" s="2528">
        <f>'Part VI-Pro Forma'!F86</f>
        <v>-78059</v>
      </c>
      <c r="G793" s="2528">
        <f>'Part VI-Pro Forma'!G86</f>
        <v>-80401</v>
      </c>
      <c r="H793" s="2528">
        <f>'Part VI-Pro Forma'!H86</f>
        <v>-82813</v>
      </c>
      <c r="I793" s="2528">
        <f>'Part VI-Pro Forma'!I86</f>
        <v>-85297</v>
      </c>
      <c r="J793" s="2528">
        <f>'Part VI-Pro Forma'!J86</f>
        <v>-87856</v>
      </c>
      <c r="K793" s="2528">
        <f>'Part VI-Pro Forma'!K86</f>
        <v>-90492</v>
      </c>
    </row>
    <row r="794" spans="1:11">
      <c r="A794" s="357" t="s">
        <v>1128</v>
      </c>
      <c r="B794" s="2528">
        <f>'Part VI-Pro Forma'!B87</f>
        <v>-43346.669632065918</v>
      </c>
      <c r="C794" s="2528">
        <f>'Part VI-Pro Forma'!C87</f>
        <v>-44647.069721027889</v>
      </c>
      <c r="D794" s="2528">
        <f>'Part VI-Pro Forma'!D87</f>
        <v>-45986.481812658734</v>
      </c>
      <c r="E794" s="2528">
        <f>'Part VI-Pro Forma'!E87</f>
        <v>-47366.076267038494</v>
      </c>
      <c r="F794" s="2528">
        <f>'Part VI-Pro Forma'!F87</f>
        <v>-48787.058555049647</v>
      </c>
      <c r="G794" s="2528">
        <f>'Part VI-Pro Forma'!G87</f>
        <v>-50250.670311701135</v>
      </c>
      <c r="H794" s="2528">
        <f>'Part VI-Pro Forma'!H87</f>
        <v>-51758.190421052175</v>
      </c>
      <c r="I794" s="2528">
        <f>'Part VI-Pro Forma'!I87</f>
        <v>-53310.936133683732</v>
      </c>
      <c r="J794" s="2528">
        <f>'Part VI-Pro Forma'!J87</f>
        <v>-54910.264217694246</v>
      </c>
      <c r="K794" s="2528">
        <f>'Part VI-Pro Forma'!K87</f>
        <v>-56557.572144225065</v>
      </c>
    </row>
    <row r="795" spans="1:11">
      <c r="A795" s="357" t="s">
        <v>3837</v>
      </c>
      <c r="B795" s="2528">
        <f>IF(B785&lt;=+'Part V-Revenues &amp; Expenses'!$N$251,-'Part V-Revenues &amp; Expenses'!$K$251,0)</f>
        <v>0</v>
      </c>
      <c r="C795" s="2528">
        <f>IF(C785&lt;=+'Part V-Revenues &amp; Expenses'!$N$251,-'Part V-Revenues &amp; Expenses'!$K$251,0)</f>
        <v>0</v>
      </c>
      <c r="D795" s="2528">
        <f>IF(D785&lt;=+'Part V-Revenues &amp; Expenses'!$N$251,-'Part V-Revenues &amp; Expenses'!$K$251,0)</f>
        <v>0</v>
      </c>
      <c r="E795" s="2528">
        <f>IF(E785&lt;=+'Part V-Revenues &amp; Expenses'!$N$251,-'Part V-Revenues &amp; Expenses'!$K$251,0)</f>
        <v>0</v>
      </c>
      <c r="F795" s="2528">
        <f>IF(F785&lt;=+'Part V-Revenues &amp; Expenses'!$N$251,-'Part V-Revenues &amp; Expenses'!$K$251,0)</f>
        <v>0</v>
      </c>
      <c r="G795" s="2528">
        <f>IF(G785&lt;=+'Part V-Revenues &amp; Expenses'!$N$251,-'Part V-Revenues &amp; Expenses'!$K$251,0)</f>
        <v>0</v>
      </c>
      <c r="H795" s="2528">
        <f>IF(H785&lt;=+'Part V-Revenues &amp; Expenses'!$N$251,-'Part V-Revenues &amp; Expenses'!$K$251,0)</f>
        <v>0</v>
      </c>
      <c r="I795" s="2528">
        <f>IF(I785&lt;=+'Part V-Revenues &amp; Expenses'!$N$251,-'Part V-Revenues &amp; Expenses'!$K$251,0)</f>
        <v>0</v>
      </c>
      <c r="J795" s="2528">
        <f>IF(J785&lt;=+'Part V-Revenues &amp; Expenses'!$N$251,-'Part V-Revenues &amp; Expenses'!$K$251,0)</f>
        <v>0</v>
      </c>
      <c r="K795" s="2528">
        <f>IF(K785&lt;=+'Part V-Revenues &amp; Expenses'!$N$251,-'Part V-Revenues &amp; Expenses'!$K$251,0)</f>
        <v>0</v>
      </c>
    </row>
    <row r="796" spans="1:11">
      <c r="A796" s="357" t="s">
        <v>1129</v>
      </c>
      <c r="B796" s="2528">
        <f t="shared" ref="B796:K796" si="395">SUM(B791:B795)</f>
        <v>52799.572994964816</v>
      </c>
      <c r="C796" s="2528">
        <f t="shared" si="395"/>
        <v>50394.491948823386</v>
      </c>
      <c r="D796" s="2528">
        <f t="shared" si="395"/>
        <v>47836.864106577777</v>
      </c>
      <c r="E796" s="2528">
        <f t="shared" si="395"/>
        <v>45120.407177050605</v>
      </c>
      <c r="F796" s="2528">
        <f t="shared" si="395"/>
        <v>42240.678482583317</v>
      </c>
      <c r="G796" s="2528">
        <f t="shared" si="395"/>
        <v>39189.069509086257</v>
      </c>
      <c r="H796" s="2528">
        <f t="shared" si="395"/>
        <v>35959.800279824922</v>
      </c>
      <c r="I796" s="2528">
        <f t="shared" si="395"/>
        <v>32545.913547394957</v>
      </c>
      <c r="J796" s="2528">
        <f t="shared" si="395"/>
        <v>28939.268798175719</v>
      </c>
      <c r="K796" s="2528">
        <f t="shared" si="395"/>
        <v>25132.536063366977</v>
      </c>
    </row>
    <row r="797" spans="1:11">
      <c r="A797" s="357" t="str">
        <f>$A765</f>
        <v>Mortgage A</v>
      </c>
      <c r="B797" s="2528">
        <f>'Part VI-Pro Forma'!B90</f>
        <v>-55677.768952730781</v>
      </c>
      <c r="C797" s="2528">
        <f>'Part VI-Pro Forma'!C90</f>
        <v>-55677.768952730781</v>
      </c>
      <c r="D797" s="2528">
        <f>'Part VI-Pro Forma'!D90</f>
        <v>-55677.768952730781</v>
      </c>
      <c r="E797" s="2528">
        <f>'Part VI-Pro Forma'!E90</f>
        <v>-55677.768952730781</v>
      </c>
      <c r="F797" s="2528">
        <f>'Part VI-Pro Forma'!F90</f>
        <v>-55677.768952730781</v>
      </c>
      <c r="G797" s="2528">
        <f>'Part VI-Pro Forma'!G90</f>
        <v>-55677.768952730781</v>
      </c>
      <c r="H797" s="2528">
        <f>'Part VI-Pro Forma'!H90</f>
        <v>-55677.768952730781</v>
      </c>
      <c r="I797" s="2528">
        <f>'Part VI-Pro Forma'!I90</f>
        <v>-55677.768952730781</v>
      </c>
      <c r="J797" s="2528">
        <f>'Part VI-Pro Forma'!J90</f>
        <v>-55677.768952730781</v>
      </c>
      <c r="K797" s="2528">
        <f>'Part VI-Pro Forma'!K90</f>
        <v>-55677.768952730781</v>
      </c>
    </row>
    <row r="798" spans="1:11">
      <c r="A798" s="357" t="str">
        <f>$A766</f>
        <v>Mortgage B</v>
      </c>
      <c r="B798" s="2528">
        <f>'Part VI-Pro Forma'!B91</f>
        <v>0</v>
      </c>
      <c r="C798" s="2528">
        <f>'Part VI-Pro Forma'!C91</f>
        <v>0</v>
      </c>
      <c r="D798" s="2528">
        <f>'Part VI-Pro Forma'!D91</f>
        <v>0</v>
      </c>
      <c r="E798" s="2528">
        <f>'Part VI-Pro Forma'!E91</f>
        <v>0</v>
      </c>
      <c r="F798" s="2528">
        <f>'Part VI-Pro Forma'!F91</f>
        <v>0</v>
      </c>
      <c r="G798" s="2528">
        <f>'Part VI-Pro Forma'!G91</f>
        <v>0</v>
      </c>
      <c r="H798" s="2528">
        <f>'Part VI-Pro Forma'!H91</f>
        <v>0</v>
      </c>
      <c r="I798" s="2528">
        <f>'Part VI-Pro Forma'!I91</f>
        <v>0</v>
      </c>
      <c r="J798" s="2528">
        <f>'Part VI-Pro Forma'!J91</f>
        <v>0</v>
      </c>
      <c r="K798" s="2528">
        <f>'Part VI-Pro Forma'!K91</f>
        <v>0</v>
      </c>
    </row>
    <row r="799" spans="1:11">
      <c r="A799" s="357" t="str">
        <f>$A767</f>
        <v>Mortgage C</v>
      </c>
      <c r="B799" s="2528">
        <f>'Part VI-Pro Forma'!B92</f>
        <v>0</v>
      </c>
      <c r="C799" s="2528">
        <f>'Part VI-Pro Forma'!C92</f>
        <v>0</v>
      </c>
      <c r="D799" s="2528">
        <f>'Part VI-Pro Forma'!D92</f>
        <v>0</v>
      </c>
      <c r="E799" s="2528">
        <f>'Part VI-Pro Forma'!E92</f>
        <v>0</v>
      </c>
      <c r="F799" s="2528">
        <f>'Part VI-Pro Forma'!F92</f>
        <v>0</v>
      </c>
      <c r="G799" s="2528">
        <f>'Part VI-Pro Forma'!G92</f>
        <v>0</v>
      </c>
      <c r="H799" s="2528">
        <f>'Part VI-Pro Forma'!H92</f>
        <v>0</v>
      </c>
      <c r="I799" s="2528">
        <f>'Part VI-Pro Forma'!I92</f>
        <v>0</v>
      </c>
      <c r="J799" s="2528">
        <f>'Part VI-Pro Forma'!J92</f>
        <v>0</v>
      </c>
      <c r="K799" s="2528">
        <f>'Part VI-Pro Forma'!K92</f>
        <v>0</v>
      </c>
    </row>
    <row r="800" spans="1:11">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c r="A801" s="357" t="s">
        <v>711</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c r="A802" s="357" t="s">
        <v>1095</v>
      </c>
      <c r="B802" s="2528">
        <f>'Part VI-Pro Forma'!B95</f>
        <v>-3750</v>
      </c>
      <c r="C802" s="2528">
        <f>'Part VI-Pro Forma'!C95</f>
        <v>-3750</v>
      </c>
      <c r="D802" s="2528">
        <f>'Part VI-Pro Forma'!D95</f>
        <v>-3750</v>
      </c>
      <c r="E802" s="2528">
        <f>'Part VI-Pro Forma'!E95</f>
        <v>-3750</v>
      </c>
      <c r="F802" s="2528">
        <f>'Part VI-Pro Forma'!F95</f>
        <v>-3750</v>
      </c>
      <c r="G802" s="2528">
        <f>'Part VI-Pro Forma'!G95</f>
        <v>-3750</v>
      </c>
      <c r="H802" s="2528">
        <f>'Part VI-Pro Forma'!H95</f>
        <v>-3750</v>
      </c>
      <c r="I802" s="2528">
        <f>'Part VI-Pro Forma'!I95</f>
        <v>-3750</v>
      </c>
      <c r="J802" s="2528">
        <f>'Part VI-Pro Forma'!J95</f>
        <v>-3750</v>
      </c>
      <c r="K802" s="2528">
        <f>'Part VI-Pro Forma'!K95</f>
        <v>-3750</v>
      </c>
    </row>
    <row r="803" spans="1:11">
      <c r="A803" s="357" t="s">
        <v>1096</v>
      </c>
      <c r="B803" s="2528">
        <f t="shared" ref="B803:K803" si="396">SUM(B796:B802)</f>
        <v>-6628.1959577659654</v>
      </c>
      <c r="C803" s="2528">
        <f t="shared" si="396"/>
        <v>-9033.2770039073948</v>
      </c>
      <c r="D803" s="2528">
        <f t="shared" si="396"/>
        <v>-11590.904846153004</v>
      </c>
      <c r="E803" s="2528">
        <f t="shared" si="396"/>
        <v>-14307.361775680176</v>
      </c>
      <c r="F803" s="2528">
        <f t="shared" si="396"/>
        <v>-17187.090470147465</v>
      </c>
      <c r="G803" s="2528">
        <f t="shared" si="396"/>
        <v>-20238.699443644524</v>
      </c>
      <c r="H803" s="2528">
        <f t="shared" si="396"/>
        <v>-23467.968672905859</v>
      </c>
      <c r="I803" s="2528">
        <f t="shared" si="396"/>
        <v>-26881.855405335824</v>
      </c>
      <c r="J803" s="2528">
        <f t="shared" si="396"/>
        <v>-30488.500154555062</v>
      </c>
      <c r="K803" s="2528">
        <f t="shared" si="396"/>
        <v>-34295.232889363804</v>
      </c>
    </row>
    <row r="804" spans="1:11">
      <c r="A804" s="357" t="str">
        <f>$A773</f>
        <v>DCR Mortgage A</v>
      </c>
      <c r="B804" s="2529">
        <f t="shared" ref="B804:K804" si="397">IF(B797=0,"",-B796/B797)</f>
        <v>0.9483061909285645</v>
      </c>
      <c r="C804" s="2529">
        <f t="shared" si="397"/>
        <v>0.90510975739001354</v>
      </c>
      <c r="D804" s="2529">
        <f t="shared" si="397"/>
        <v>0.85917350867974318</v>
      </c>
      <c r="E804" s="2529">
        <f t="shared" si="397"/>
        <v>0.81038461177129517</v>
      </c>
      <c r="F804" s="2529">
        <f t="shared" si="397"/>
        <v>0.75866327399800693</v>
      </c>
      <c r="G804" s="2529">
        <f t="shared" si="397"/>
        <v>0.70385488223058879</v>
      </c>
      <c r="H804" s="2529">
        <f t="shared" si="397"/>
        <v>0.64585562525599782</v>
      </c>
      <c r="I804" s="2529">
        <f t="shared" si="397"/>
        <v>0.58454054750336226</v>
      </c>
      <c r="J804" s="2529">
        <f t="shared" si="397"/>
        <v>0.51976344136103103</v>
      </c>
      <c r="K804" s="2529">
        <f t="shared" si="397"/>
        <v>0.45139265699931252</v>
      </c>
    </row>
    <row r="805" spans="1:11">
      <c r="A805" s="357" t="str">
        <f>$A774</f>
        <v>DCR Mortgage B</v>
      </c>
      <c r="B805" s="2529" t="str">
        <f t="shared" ref="B805:K805" si="398">IF(B798=0,"",-(B796+B797)/B798)</f>
        <v/>
      </c>
      <c r="C805" s="2529" t="str">
        <f t="shared" si="398"/>
        <v/>
      </c>
      <c r="D805" s="2529" t="str">
        <f t="shared" si="398"/>
        <v/>
      </c>
      <c r="E805" s="2529" t="str">
        <f t="shared" si="398"/>
        <v/>
      </c>
      <c r="F805" s="2529" t="str">
        <f t="shared" si="398"/>
        <v/>
      </c>
      <c r="G805" s="2529" t="str">
        <f t="shared" si="398"/>
        <v/>
      </c>
      <c r="H805" s="2529" t="str">
        <f t="shared" si="398"/>
        <v/>
      </c>
      <c r="I805" s="2529" t="str">
        <f t="shared" si="398"/>
        <v/>
      </c>
      <c r="J805" s="2529" t="str">
        <f t="shared" si="398"/>
        <v/>
      </c>
      <c r="K805" s="2529" t="str">
        <f t="shared" si="398"/>
        <v/>
      </c>
    </row>
    <row r="806" spans="1:11">
      <c r="A806" s="357" t="str">
        <f>$A775</f>
        <v>DCR Mortgage C</v>
      </c>
      <c r="B806" s="2529" t="str">
        <f t="shared" ref="B806:K806" si="399">IF(B799=0,"",-(B796+B797+B798)/B799)</f>
        <v/>
      </c>
      <c r="C806" s="2529" t="str">
        <f t="shared" si="399"/>
        <v/>
      </c>
      <c r="D806" s="2529" t="str">
        <f t="shared" si="399"/>
        <v/>
      </c>
      <c r="E806" s="2529" t="str">
        <f t="shared" si="399"/>
        <v/>
      </c>
      <c r="F806" s="2529" t="str">
        <f t="shared" si="399"/>
        <v/>
      </c>
      <c r="G806" s="2529" t="str">
        <f t="shared" si="399"/>
        <v/>
      </c>
      <c r="H806" s="2529" t="str">
        <f t="shared" si="399"/>
        <v/>
      </c>
      <c r="I806" s="2529" t="str">
        <f t="shared" si="399"/>
        <v/>
      </c>
      <c r="J806" s="2529" t="str">
        <f t="shared" si="399"/>
        <v/>
      </c>
      <c r="K806" s="2529" t="str">
        <f t="shared" si="399"/>
        <v/>
      </c>
    </row>
    <row r="807" spans="1:11">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c r="A808" s="357" t="s">
        <v>3213</v>
      </c>
      <c r="B808" s="2529">
        <f t="shared" ref="B808:K808" si="401">IF(AND(B797=0,B798=0,B799=0,B800=0),"",-B796/(B797+B798+B799+B800))</f>
        <v>0.9483061909285645</v>
      </c>
      <c r="C808" s="2529">
        <f t="shared" si="401"/>
        <v>0.90510975739001354</v>
      </c>
      <c r="D808" s="2529">
        <f t="shared" si="401"/>
        <v>0.85917350867974318</v>
      </c>
      <c r="E808" s="2529">
        <f t="shared" si="401"/>
        <v>0.81038461177129517</v>
      </c>
      <c r="F808" s="2529">
        <f t="shared" si="401"/>
        <v>0.75866327399800693</v>
      </c>
      <c r="G808" s="2529">
        <f t="shared" si="401"/>
        <v>0.70385488223058879</v>
      </c>
      <c r="H808" s="2529">
        <f t="shared" si="401"/>
        <v>0.64585562525599782</v>
      </c>
      <c r="I808" s="2529">
        <f t="shared" si="401"/>
        <v>0.58454054750336226</v>
      </c>
      <c r="J808" s="2529">
        <f t="shared" si="401"/>
        <v>0.51976344136103103</v>
      </c>
      <c r="K808" s="2529">
        <f t="shared" si="401"/>
        <v>0.45139265699931252</v>
      </c>
    </row>
    <row r="809" spans="1:11">
      <c r="A809" s="357" t="s">
        <v>718</v>
      </c>
      <c r="B809" s="2530">
        <f>IF(OR(B793="Choose mgt fee",B793="Choose One!"),"",(B786+B787+B788+B789+B790) / -(B792+B793+B794))</f>
        <v>1.1525239903049089</v>
      </c>
      <c r="C809" s="2530">
        <f t="shared" ref="C809:K809" si="402">IF(OR(C793="Choose mgt fee",C793="Choose One!"),"",(C786+C787+C788+C789+C790) / -(C792+C793+C794))</f>
        <v>1.1413365176440913</v>
      </c>
      <c r="D809" s="2530">
        <f t="shared" si="402"/>
        <v>1.1302557344591022</v>
      </c>
      <c r="E809" s="2530">
        <f t="shared" si="402"/>
        <v>1.1192804249149306</v>
      </c>
      <c r="F809" s="2530">
        <f t="shared" si="402"/>
        <v>1.1084152746939118</v>
      </c>
      <c r="G809" s="2530">
        <f t="shared" si="402"/>
        <v>1.0976533322535751</v>
      </c>
      <c r="H809" s="2530">
        <f t="shared" si="402"/>
        <v>1.0869965826773407</v>
      </c>
      <c r="I809" s="2530">
        <f t="shared" si="402"/>
        <v>1.0764442038580828</v>
      </c>
      <c r="J809" s="2530">
        <f t="shared" si="402"/>
        <v>1.0659930704774467</v>
      </c>
      <c r="K809" s="2530">
        <f t="shared" si="402"/>
        <v>1.0556428752963845</v>
      </c>
    </row>
    <row r="810" spans="1:11">
      <c r="A810" s="357" t="s">
        <v>2405</v>
      </c>
      <c r="B810" s="2528">
        <f>'Part VI-Pro Forma'!B103</f>
        <v>595264.21096406609</v>
      </c>
      <c r="C810" s="2528">
        <f>'Part VI-Pro Forma'!C103</f>
        <v>579278.21983519825</v>
      </c>
      <c r="D810" s="2528">
        <f>'Part VI-Pro Forma'!D103</f>
        <v>562179.15712997213</v>
      </c>
      <c r="E810" s="2528">
        <f>'Part VI-Pro Forma'!E103</f>
        <v>543889.52197126916</v>
      </c>
      <c r="F810" s="2528">
        <f>'Part VI-Pro Forma'!F103</f>
        <v>524326.41725581454</v>
      </c>
      <c r="G810" s="2528">
        <f>'Part VI-Pro Forma'!G103</f>
        <v>503401.17392608454</v>
      </c>
      <c r="H810" s="2528">
        <f>'Part VI-Pro Forma'!H103</f>
        <v>481018.94908104243</v>
      </c>
      <c r="I810" s="2528">
        <f>'Part VI-Pro Forma'!I103</f>
        <v>457078.29610415385</v>
      </c>
      <c r="J810" s="2528">
        <f>'Part VI-Pro Forma'!J103</f>
        <v>431470.70486030279</v>
      </c>
      <c r="K810" s="2528">
        <f>'Part VI-Pro Forma'!K103</f>
        <v>404080.10987756803</v>
      </c>
    </row>
    <row r="811" spans="1:11">
      <c r="A811" s="357" t="s">
        <v>2406</v>
      </c>
      <c r="B811" s="2528">
        <f>'Part VI-Pro Forma'!B104</f>
        <v>1269043.9553790842</v>
      </c>
      <c r="C811" s="2528">
        <f>'Part VI-Pro Forma'!C104</f>
        <v>1281792.7213189355</v>
      </c>
      <c r="D811" s="2528">
        <f>'Part VI-Pro Forma'!D104</f>
        <v>1294669.5608627782</v>
      </c>
      <c r="E811" s="2528">
        <f>'Part VI-Pro Forma'!E104</f>
        <v>1307675.760633029</v>
      </c>
      <c r="F811" s="2528">
        <f>'Part VI-Pro Forma'!F104</f>
        <v>1320812.6201774625</v>
      </c>
      <c r="G811" s="2528">
        <f>'Part VI-Pro Forma'!G104</f>
        <v>1334081.4520990597</v>
      </c>
      <c r="H811" s="2528">
        <f>'Part VI-Pro Forma'!H104</f>
        <v>1347483.5821871599</v>
      </c>
      <c r="I811" s="2528">
        <f>'Part VI-Pro Forma'!I104</f>
        <v>1361020.3495499301</v>
      </c>
      <c r="J811" s="2528">
        <f>'Part VI-Pro Forma'!J104</f>
        <v>1374693.1067481656</v>
      </c>
      <c r="K811" s="2528">
        <f>'Part VI-Pro Forma'!K104</f>
        <v>1388503.2199304344</v>
      </c>
    </row>
    <row r="812" spans="1:11">
      <c r="A812" s="357" t="s">
        <v>2407</v>
      </c>
      <c r="B812" s="2528" t="str">
        <f>'Part VI-Pro Forma'!B105</f>
        <v/>
      </c>
      <c r="C812" s="2528" t="str">
        <f>'Part VI-Pro Forma'!C105</f>
        <v/>
      </c>
      <c r="D812" s="2528" t="str">
        <f>'Part VI-Pro Forma'!D105</f>
        <v/>
      </c>
      <c r="E812" s="2528" t="str">
        <f>'Part VI-Pro Forma'!E105</f>
        <v/>
      </c>
      <c r="F812" s="2528" t="str">
        <f>'Part VI-Pro Forma'!F105</f>
        <v/>
      </c>
      <c r="G812" s="2528" t="str">
        <f>'Part VI-Pro Forma'!G105</f>
        <v/>
      </c>
      <c r="H812" s="2528" t="str">
        <f>'Part VI-Pro Forma'!H105</f>
        <v/>
      </c>
      <c r="I812" s="2528" t="str">
        <f>'Part VI-Pro Forma'!I105</f>
        <v/>
      </c>
      <c r="J812" s="2528" t="str">
        <f>'Part VI-Pro Forma'!J105</f>
        <v/>
      </c>
      <c r="K812" s="2528" t="str">
        <f>'Part VI-Pro Forma'!K105</f>
        <v/>
      </c>
    </row>
    <row r="813" spans="1:11">
      <c r="A813" s="357" t="s">
        <v>730</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c r="B814" s="2528"/>
      <c r="C814" s="2528"/>
      <c r="D814" s="2528"/>
      <c r="E814" s="2528"/>
      <c r="F814" s="2528"/>
      <c r="G814" s="2528"/>
      <c r="H814" s="2528"/>
      <c r="I814" s="2528"/>
      <c r="J814" s="2528"/>
      <c r="K814" s="2528"/>
    </row>
    <row r="815" spans="1:11">
      <c r="A815" s="361" t="s">
        <v>2284</v>
      </c>
      <c r="B815" s="2531">
        <f>K785+1</f>
        <v>31</v>
      </c>
      <c r="C815" s="2531">
        <f>B815+1</f>
        <v>32</v>
      </c>
      <c r="D815" s="2531">
        <f>C815+1</f>
        <v>33</v>
      </c>
      <c r="E815" s="2531">
        <f>D815+1</f>
        <v>34</v>
      </c>
      <c r="F815" s="2531">
        <f>E815+1</f>
        <v>35</v>
      </c>
      <c r="G815" s="2528"/>
      <c r="H815" s="2528"/>
      <c r="I815" s="2528"/>
      <c r="J815" s="2528"/>
      <c r="K815" s="2528"/>
    </row>
    <row r="816" spans="1:11">
      <c r="A816" s="357" t="s">
        <v>2215</v>
      </c>
      <c r="B816" s="2528">
        <f>'Part VI-Pro Forma'!B109</f>
        <v>510325.76725894242</v>
      </c>
      <c r="C816" s="2528">
        <f>'Part VI-Pro Forma'!C109</f>
        <v>520532.28260412114</v>
      </c>
      <c r="D816" s="2528">
        <f>'Part VI-Pro Forma'!D109</f>
        <v>530942.92825620365</v>
      </c>
      <c r="E816" s="2528">
        <f>'Part VI-Pro Forma'!E109</f>
        <v>541561.78682132775</v>
      </c>
      <c r="F816" s="2528">
        <f>'Part VI-Pro Forma'!F109</f>
        <v>552393.0225577543</v>
      </c>
      <c r="G816" s="2528"/>
      <c r="H816" s="2528"/>
      <c r="I816" s="2528"/>
      <c r="J816" s="2528"/>
      <c r="K816" s="2528"/>
    </row>
    <row r="817" spans="1:11">
      <c r="A817" s="357" t="s">
        <v>952</v>
      </c>
      <c r="B817" s="2528">
        <f>'Part VI-Pro Forma'!B110</f>
        <v>1615.7345330201913</v>
      </c>
      <c r="C817" s="2528">
        <f>'Part VI-Pro Forma'!C110</f>
        <v>1648.0492236805947</v>
      </c>
      <c r="D817" s="2528">
        <f>'Part VI-Pro Forma'!D110</f>
        <v>1681.010208154207</v>
      </c>
      <c r="E817" s="2528">
        <f>'Part VI-Pro Forma'!E110</f>
        <v>1714.6304123172913</v>
      </c>
      <c r="F817" s="2528">
        <f>'Part VI-Pro Forma'!F110</f>
        <v>1748.923020563637</v>
      </c>
      <c r="G817" s="2528"/>
      <c r="H817" s="2528"/>
      <c r="I817" s="2528"/>
      <c r="J817" s="2528"/>
      <c r="K817" s="2528"/>
    </row>
    <row r="818" spans="1:11">
      <c r="A818" s="357" t="s">
        <v>2216</v>
      </c>
      <c r="B818" s="2528">
        <f>'Part VI-Pro Forma'!B111</f>
        <v>-25597.075089598133</v>
      </c>
      <c r="C818" s="2528">
        <f>'Part VI-Pro Forma'!C111</f>
        <v>-26109.016591390086</v>
      </c>
      <c r="D818" s="2528">
        <f>'Part VI-Pro Forma'!D111</f>
        <v>-26631.196923217896</v>
      </c>
      <c r="E818" s="2528">
        <f>'Part VI-Pro Forma'!E111</f>
        <v>-27163.820861682256</v>
      </c>
      <c r="F818" s="2528">
        <f>'Part VI-Pro Forma'!F111</f>
        <v>-27707.097278915899</v>
      </c>
      <c r="G818" s="2528"/>
      <c r="H818" s="2528"/>
      <c r="I818" s="2528"/>
      <c r="J818" s="2528"/>
      <c r="K818" s="2528"/>
    </row>
    <row r="819" spans="1:11">
      <c r="A819" s="357" t="s">
        <v>47</v>
      </c>
      <c r="B819" s="2528">
        <f>'Part VI-Pro Forma'!B112</f>
        <v>0</v>
      </c>
      <c r="C819" s="2528">
        <f>'Part VI-Pro Forma'!C112</f>
        <v>0</v>
      </c>
      <c r="D819" s="2528">
        <f>'Part VI-Pro Forma'!D112</f>
        <v>0</v>
      </c>
      <c r="E819" s="2528">
        <f>'Part VI-Pro Forma'!E112</f>
        <v>0</v>
      </c>
      <c r="F819" s="2528">
        <f>'Part VI-Pro Forma'!F112</f>
        <v>0</v>
      </c>
      <c r="G819" s="2528"/>
      <c r="H819" s="2528"/>
      <c r="I819" s="2528"/>
      <c r="J819" s="2528"/>
      <c r="K819" s="2528"/>
    </row>
    <row r="820" spans="1:11">
      <c r="A820" s="357" t="s">
        <v>48</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c r="A821" s="357" t="s">
        <v>3838</v>
      </c>
      <c r="B821" s="2528">
        <f>'Part VI-Pro Forma'!B114</f>
        <v>486344.42670236446</v>
      </c>
      <c r="C821" s="2528">
        <f>'Part VI-Pro Forma'!C114</f>
        <v>496071.31523641164</v>
      </c>
      <c r="D821" s="2528">
        <f>'Part VI-Pro Forma'!D114</f>
        <v>505992.74154113996</v>
      </c>
      <c r="E821" s="2528">
        <f>'Part VI-Pro Forma'!E114</f>
        <v>516112.59637196286</v>
      </c>
      <c r="F821" s="2528">
        <f>'Part VI-Pro Forma'!F114</f>
        <v>526434.84829940205</v>
      </c>
      <c r="G821" s="2528"/>
      <c r="H821" s="2528"/>
      <c r="I821" s="2528"/>
      <c r="J821" s="2528"/>
      <c r="K821" s="2528"/>
    </row>
    <row r="822" spans="1:11">
      <c r="A822" s="357" t="s">
        <v>572</v>
      </c>
      <c r="B822" s="2528">
        <f>'Part VI-Pro Forma'!B115</f>
        <v>-313764.93786327366</v>
      </c>
      <c r="C822" s="2528">
        <f>'Part VI-Pro Forma'!C115</f>
        <v>-323177.88599917194</v>
      </c>
      <c r="D822" s="2528">
        <f>'Part VI-Pro Forma'!D115</f>
        <v>-332873.22257914703</v>
      </c>
      <c r="E822" s="2528">
        <f>'Part VI-Pro Forma'!E115</f>
        <v>-342859.41925652145</v>
      </c>
      <c r="F822" s="2528">
        <f>'Part VI-Pro Forma'!F115</f>
        <v>-353145.201834217</v>
      </c>
      <c r="G822" s="2528"/>
      <c r="H822" s="2528"/>
      <c r="I822" s="2528"/>
      <c r="J822" s="2528"/>
      <c r="K822" s="2528"/>
    </row>
    <row r="823" spans="1:11">
      <c r="A823" s="357" t="s">
        <v>1050</v>
      </c>
      <c r="B823" s="2528">
        <f>'Part VI-Pro Forma'!B116</f>
        <v>-93207</v>
      </c>
      <c r="C823" s="2528">
        <f>'Part VI-Pro Forma'!C116</f>
        <v>-96003</v>
      </c>
      <c r="D823" s="2528">
        <f>'Part VI-Pro Forma'!D116</f>
        <v>-98883</v>
      </c>
      <c r="E823" s="2528">
        <f>'Part VI-Pro Forma'!E116</f>
        <v>-101850</v>
      </c>
      <c r="F823" s="2528">
        <f>'Part VI-Pro Forma'!F116</f>
        <v>-104905</v>
      </c>
      <c r="G823" s="2528"/>
      <c r="H823" s="2528"/>
      <c r="I823" s="2528"/>
      <c r="J823" s="2528"/>
      <c r="K823" s="2528"/>
    </row>
    <row r="824" spans="1:11">
      <c r="A824" s="357" t="s">
        <v>1128</v>
      </c>
      <c r="B824" s="2528">
        <f>'Part VI-Pro Forma'!B117</f>
        <v>-58254.299308551817</v>
      </c>
      <c r="C824" s="2528">
        <f>'Part VI-Pro Forma'!C117</f>
        <v>-60001.928287808383</v>
      </c>
      <c r="D824" s="2528">
        <f>'Part VI-Pro Forma'!D117</f>
        <v>-61801.986136442625</v>
      </c>
      <c r="E824" s="2528">
        <f>'Part VI-Pro Forma'!E117</f>
        <v>-63656.045720535905</v>
      </c>
      <c r="F824" s="2528">
        <f>'Part VI-Pro Forma'!F117</f>
        <v>-65565.727092151967</v>
      </c>
      <c r="G824" s="2528"/>
      <c r="H824" s="2528"/>
      <c r="I824" s="2528"/>
      <c r="J824" s="2528"/>
      <c r="K824" s="2528"/>
    </row>
    <row r="825" spans="1:11">
      <c r="A825" s="357" t="s">
        <v>3837</v>
      </c>
      <c r="B825" s="2528">
        <f>IF(B815&lt;=+'Part V-Revenues &amp; Expenses'!$N$251,-'Part V-Revenues &amp; Expenses'!$K$251,0)</f>
        <v>0</v>
      </c>
      <c r="C825" s="2528">
        <f>IF(C815&lt;=+'Part V-Revenues &amp; Expenses'!$N$251,-'Part V-Revenues &amp; Expenses'!$K$251,0)</f>
        <v>0</v>
      </c>
      <c r="D825" s="2528">
        <f>IF(D815&lt;=+'Part V-Revenues &amp; Expenses'!$N$251,-'Part V-Revenues &amp; Expenses'!$K$251,0)</f>
        <v>0</v>
      </c>
      <c r="E825" s="2528">
        <f>IF(E815&lt;=+'Part V-Revenues &amp; Expenses'!$N$251,-'Part V-Revenues &amp; Expenses'!$K$251,0)</f>
        <v>0</v>
      </c>
      <c r="F825" s="2528">
        <f>IF(F815&lt;=+'Part V-Revenues &amp; Expenses'!$N$251,-'Part V-Revenues &amp; Expenses'!$K$251,0)</f>
        <v>0</v>
      </c>
      <c r="G825" s="2528"/>
      <c r="H825" s="2528"/>
      <c r="I825" s="2528"/>
      <c r="J825" s="2528"/>
      <c r="K825" s="2528"/>
    </row>
    <row r="826" spans="1:11">
      <c r="A826" s="357" t="s">
        <v>1129</v>
      </c>
      <c r="B826" s="2528">
        <f>SUM(B821:B825)</f>
        <v>21118.189530538984</v>
      </c>
      <c r="C826" s="2528">
        <f>SUM(C821:C825)</f>
        <v>16888.50094943132</v>
      </c>
      <c r="D826" s="2528">
        <f>SUM(D821:D825)</f>
        <v>12434.532825550305</v>
      </c>
      <c r="E826" s="2528">
        <f>SUM(E821:E825)</f>
        <v>7747.1313949055111</v>
      </c>
      <c r="F826" s="2528">
        <f>SUM(F821:F825)</f>
        <v>2818.9193730330735</v>
      </c>
      <c r="G826" s="2528"/>
      <c r="H826" s="2528"/>
      <c r="I826" s="2528"/>
      <c r="J826" s="2528"/>
      <c r="K826" s="2528"/>
    </row>
    <row r="827" spans="1:11">
      <c r="A827" s="357" t="str">
        <f>$A797</f>
        <v>Mortgage A</v>
      </c>
      <c r="B827" s="2528">
        <f>'Part VI-Pro Forma'!B120</f>
        <v>-55677.768952730781</v>
      </c>
      <c r="C827" s="2528">
        <f>'Part VI-Pro Forma'!C120</f>
        <v>-55677.768952730781</v>
      </c>
      <c r="D827" s="2528">
        <f>'Part VI-Pro Forma'!D120</f>
        <v>-55677.768952730781</v>
      </c>
      <c r="E827" s="2528">
        <f>'Part VI-Pro Forma'!E120</f>
        <v>-55677.768952730781</v>
      </c>
      <c r="F827" s="2528">
        <f>'Part VI-Pro Forma'!F120</f>
        <v>-55677.768952730781</v>
      </c>
      <c r="G827" s="2528"/>
      <c r="H827" s="2528"/>
      <c r="I827" s="2528"/>
      <c r="J827" s="2528"/>
      <c r="K827" s="2528"/>
    </row>
    <row r="828" spans="1:11">
      <c r="A828" s="357" t="str">
        <f>$A798</f>
        <v>Mortgage B</v>
      </c>
      <c r="B828" s="2528">
        <f>'Part VI-Pro Forma'!B121</f>
        <v>0</v>
      </c>
      <c r="C828" s="2528">
        <f>'Part VI-Pro Forma'!C121</f>
        <v>0</v>
      </c>
      <c r="D828" s="2528">
        <f>'Part VI-Pro Forma'!D121</f>
        <v>0</v>
      </c>
      <c r="E828" s="2528">
        <f>'Part VI-Pro Forma'!E121</f>
        <v>0</v>
      </c>
      <c r="F828" s="2528">
        <f>'Part VI-Pro Forma'!F121</f>
        <v>0</v>
      </c>
      <c r="G828" s="2528"/>
      <c r="H828" s="2528"/>
      <c r="I828" s="2528"/>
      <c r="J828" s="2528"/>
      <c r="K828" s="2528"/>
    </row>
    <row r="829" spans="1:11">
      <c r="A829" s="357" t="str">
        <f>$A799</f>
        <v>Mortgage C</v>
      </c>
      <c r="B829" s="2528">
        <f>'Part VI-Pro Forma'!B122</f>
        <v>0</v>
      </c>
      <c r="C829" s="2528">
        <f>'Part VI-Pro Forma'!C122</f>
        <v>0</v>
      </c>
      <c r="D829" s="2528">
        <f>'Part VI-Pro Forma'!D122</f>
        <v>0</v>
      </c>
      <c r="E829" s="2528">
        <f>'Part VI-Pro Forma'!E122</f>
        <v>0</v>
      </c>
      <c r="F829" s="2528">
        <f>'Part VI-Pro Forma'!F122</f>
        <v>0</v>
      </c>
      <c r="G829" s="2528"/>
      <c r="H829" s="2528"/>
      <c r="I829" s="2528"/>
      <c r="J829" s="2528"/>
      <c r="K829" s="2528"/>
    </row>
    <row r="830" spans="1:11">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c r="A831" s="357" t="s">
        <v>711</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c r="A832" s="357" t="s">
        <v>1095</v>
      </c>
      <c r="B832" s="2528">
        <f>'Part VI-Pro Forma'!B125</f>
        <v>-3750</v>
      </c>
      <c r="C832" s="2528">
        <f>'Part VI-Pro Forma'!C125</f>
        <v>-3750</v>
      </c>
      <c r="D832" s="2528">
        <f>'Part VI-Pro Forma'!D125</f>
        <v>-3750</v>
      </c>
      <c r="E832" s="2528">
        <f>'Part VI-Pro Forma'!E125</f>
        <v>-3750</v>
      </c>
      <c r="F832" s="2528">
        <f>'Part VI-Pro Forma'!F125</f>
        <v>-3750</v>
      </c>
      <c r="G832" s="2528"/>
      <c r="H832" s="2528"/>
      <c r="I832" s="2528"/>
      <c r="J832" s="2528"/>
      <c r="K832" s="2528"/>
    </row>
    <row r="833" spans="1:11">
      <c r="A833" s="357" t="s">
        <v>1096</v>
      </c>
      <c r="B833" s="2528">
        <f>SUM(B826:B832)</f>
        <v>-38309.579422191797</v>
      </c>
      <c r="C833" s="2528">
        <f>SUM(C826:C832)</f>
        <v>-42539.268003299461</v>
      </c>
      <c r="D833" s="2528">
        <f>SUM(D826:D832)</f>
        <v>-46993.236127180477</v>
      </c>
      <c r="E833" s="2528">
        <f>SUM(E826:E832)</f>
        <v>-51680.63755782527</v>
      </c>
      <c r="F833" s="2528">
        <f>SUM(F826:F832)</f>
        <v>-56608.849579697708</v>
      </c>
      <c r="G833" s="2528"/>
      <c r="H833" s="2528"/>
      <c r="I833" s="2528"/>
      <c r="J833" s="2528"/>
      <c r="K833" s="2528"/>
    </row>
    <row r="834" spans="1:11">
      <c r="A834" s="357" t="str">
        <f>$A804</f>
        <v>DCR Mortgage A</v>
      </c>
      <c r="B834" s="2529">
        <f>IF(B827=0,"",-B826/B827)</f>
        <v>0.37929302714100971</v>
      </c>
      <c r="C834" s="2529">
        <f>IF(C827=0,"",-C826/C827)</f>
        <v>0.3033257486263376</v>
      </c>
      <c r="D834" s="2529">
        <f>IF(D827=0,"",-D826/D827)</f>
        <v>0.2233302996768235</v>
      </c>
      <c r="E834" s="2529">
        <f>IF(E827=0,"",-E826/E827)</f>
        <v>0.13914227420790976</v>
      </c>
      <c r="F834" s="2529">
        <f>IF(F827=0,"",-F826/F827)</f>
        <v>5.062917257741191E-2</v>
      </c>
      <c r="G834" s="2528"/>
      <c r="H834" s="2528"/>
      <c r="I834" s="2528"/>
      <c r="J834" s="2528"/>
      <c r="K834" s="2528"/>
    </row>
    <row r="835" spans="1:11">
      <c r="A835" s="357" t="str">
        <f>$A805</f>
        <v>DCR Mortgage B</v>
      </c>
      <c r="B835" s="2529" t="str">
        <f>IF(B828=0,"",-(B826+B827)/B828)</f>
        <v/>
      </c>
      <c r="C835" s="2529" t="str">
        <f>IF(C828=0,"",-(C826+C827)/C828)</f>
        <v/>
      </c>
      <c r="D835" s="2529" t="str">
        <f>IF(D828=0,"",-(D826+D827)/D828)</f>
        <v/>
      </c>
      <c r="E835" s="2529" t="str">
        <f>IF(E828=0,"",-(E826+E827)/E828)</f>
        <v/>
      </c>
      <c r="F835" s="2529" t="str">
        <f>IF(F828=0,"",-(F826+F827)/F828)</f>
        <v/>
      </c>
      <c r="G835" s="2528"/>
      <c r="H835" s="2528"/>
      <c r="I835" s="2528"/>
      <c r="J835" s="2528"/>
      <c r="K835" s="2528"/>
    </row>
    <row r="836" spans="1:11">
      <c r="A836" s="357" t="str">
        <f>$A806</f>
        <v>DCR Mortgage C</v>
      </c>
      <c r="B836" s="2529" t="str">
        <f>IF(B829=0,"",-(B826+B827+B828)/B829)</f>
        <v/>
      </c>
      <c r="C836" s="2529" t="str">
        <f>IF(C829=0,"",-(C826+C827+C828)/C829)</f>
        <v/>
      </c>
      <c r="D836" s="2529" t="str">
        <f>IF(D829=0,"",-(D826+D827+D828)/D829)</f>
        <v/>
      </c>
      <c r="E836" s="2529" t="str">
        <f>IF(E829=0,"",-(E826+E827+E828)/E829)</f>
        <v/>
      </c>
      <c r="F836" s="2529" t="str">
        <f>IF(F829=0,"",-(F826+F827+F828)/F829)</f>
        <v/>
      </c>
      <c r="G836" s="2528"/>
      <c r="H836" s="2528"/>
      <c r="I836" s="2528"/>
      <c r="J836" s="2528"/>
      <c r="K836" s="2528"/>
    </row>
    <row r="837" spans="1:11">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c r="A838" s="357" t="s">
        <v>3213</v>
      </c>
      <c r="B838" s="2529">
        <f>IF(AND(B827=0,B828=0,B829=0,B830=0),"",-B826/(B827+B828+B829+B830))</f>
        <v>0.37929302714100971</v>
      </c>
      <c r="C838" s="2529">
        <f>IF(AND(C827=0,C828=0,C829=0,C830=0),"",-C826/(C827+C828+C829+C830))</f>
        <v>0.3033257486263376</v>
      </c>
      <c r="D838" s="2529">
        <f>IF(AND(D827=0,D828=0,D829=0,D830=0),"",-D826/(D827+D828+D829+D830))</f>
        <v>0.2233302996768235</v>
      </c>
      <c r="E838" s="2529">
        <f>IF(AND(E827=0,E828=0,E829=0,E830=0),"",-E826/(E827+E828+E829+E830))</f>
        <v>0.13914227420790976</v>
      </c>
      <c r="F838" s="2529">
        <f>IF(AND(F827=0,F828=0,F829=0,F830=0),"",-F826/(F827+F828+F829+F830))</f>
        <v>5.062917257741191E-2</v>
      </c>
      <c r="G838" s="2528"/>
      <c r="H838" s="2528"/>
      <c r="I838" s="2528"/>
      <c r="J838" s="2528"/>
      <c r="K838" s="2528"/>
    </row>
    <row r="839" spans="1:11">
      <c r="A839" s="357" t="s">
        <v>718</v>
      </c>
      <c r="B839" s="2530">
        <f>IF(OR(B823="Choose mgt fee",B823="Choose One!"),"",(B816+B817+B818+B819+B820) / -(B822+B823+B824))</f>
        <v>1.0453933760462852</v>
      </c>
      <c r="C839" s="2530">
        <f>IF(OR(C823="Choose mgt fee",C823="Choose One!"),"",(C816+C817+C818+C819+C820) / -(C822+C823+C824))</f>
        <v>1.0352443794850223</v>
      </c>
      <c r="D839" s="2530">
        <f>IF(OR(D823="Choose mgt fee",D823="Choose One!"),"",(D816+D817+D818+D819+D820) / -(D822+D823+D824))</f>
        <v>1.0251936501226659</v>
      </c>
      <c r="E839" s="2530">
        <f>IF(OR(E823="Choose mgt fee",E823="Choose One!"),"",(E816+E817+E818+E819+E820) / -(E822+E823+E824))</f>
        <v>1.0152392952091172</v>
      </c>
      <c r="F839" s="2530">
        <f>IF(OR(F823="Choose mgt fee",F823="Choose One!"),"",(F816+F817+F818+F819+F820) / -(F822+F823+F824))</f>
        <v>1.0053835630608356</v>
      </c>
      <c r="G839" s="2528"/>
      <c r="H839" s="2528"/>
      <c r="I839" s="2528"/>
      <c r="J839" s="2528"/>
      <c r="K839" s="2528"/>
    </row>
    <row r="840" spans="1:11">
      <c r="A840" s="357" t="s">
        <v>2405</v>
      </c>
      <c r="B840" s="2528">
        <f>'Part VI-Pro Forma'!B133</f>
        <v>374782.36428471131</v>
      </c>
      <c r="C840" s="2528">
        <f>'Part VI-Pro Forma'!C133</f>
        <v>343444.67712001823</v>
      </c>
      <c r="D840" s="2528">
        <f>'Part VI-Pro Forma'!D133</f>
        <v>309925.01146111469</v>
      </c>
      <c r="E840" s="2528">
        <f>'Part VI-Pro Forma'!E133</f>
        <v>274071.44064780482</v>
      </c>
      <c r="F840" s="2528">
        <f>'Part VI-Pro Forma'!F133</f>
        <v>235721.45968003297</v>
      </c>
      <c r="G840" s="2528"/>
      <c r="H840" s="2528"/>
      <c r="I840" s="2528"/>
      <c r="J840" s="2528"/>
      <c r="K840" s="2528"/>
    </row>
    <row r="841" spans="1:11">
      <c r="A841" s="357" t="s">
        <v>2406</v>
      </c>
      <c r="B841" s="2528">
        <f>'Part VI-Pro Forma'!B134</f>
        <v>1402452.0689695799</v>
      </c>
      <c r="C841" s="2528">
        <f>'Part VI-Pro Forma'!C134</f>
        <v>1416541.0476005937</v>
      </c>
      <c r="D841" s="2528">
        <f>'Part VI-Pro Forma'!D134</f>
        <v>1430771.5635598749</v>
      </c>
      <c r="E841" s="2528">
        <f>'Part VI-Pro Forma'!E134</f>
        <v>1445145.0387258877</v>
      </c>
      <c r="F841" s="2528">
        <f>'Part VI-Pro Forma'!F134</f>
        <v>1459662.9092612311</v>
      </c>
      <c r="G841" s="2528"/>
      <c r="H841" s="2528"/>
      <c r="I841" s="2528"/>
      <c r="J841" s="2528"/>
      <c r="K841" s="2528"/>
    </row>
    <row r="842" spans="1:11">
      <c r="A842" s="357" t="s">
        <v>2407</v>
      </c>
      <c r="B842" s="2528" t="str">
        <f>'Part VI-Pro Forma'!B135</f>
        <v/>
      </c>
      <c r="C842" s="2528" t="str">
        <f>'Part VI-Pro Forma'!C135</f>
        <v/>
      </c>
      <c r="D842" s="2528" t="str">
        <f>'Part VI-Pro Forma'!D135</f>
        <v/>
      </c>
      <c r="E842" s="2528" t="str">
        <f>'Part VI-Pro Forma'!E135</f>
        <v/>
      </c>
      <c r="F842" s="2528" t="str">
        <f>'Part VI-Pro Forma'!F135</f>
        <v/>
      </c>
      <c r="G842" s="2528"/>
      <c r="H842" s="2528"/>
      <c r="I842" s="2528"/>
      <c r="J842" s="2528"/>
      <c r="K842" s="2528"/>
    </row>
    <row r="843" spans="1:11">
      <c r="A843" s="357" t="s">
        <v>730</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c r="A845" s="361" t="s">
        <v>529</v>
      </c>
      <c r="B845" s="361"/>
      <c r="G845" s="361" t="s">
        <v>967</v>
      </c>
    </row>
    <row r="846" spans="1:11">
      <c r="B846" s="361"/>
    </row>
    <row r="847" spans="1:11" ht="13.5" customHeight="1">
      <c r="A847" s="2561" t="str">
        <f>'Part VI-Pro Forma'!A140</f>
        <v>This project was awarded debt deferral under the Multi-family Housing Preservation and Revialization Restructuring Demonstration Program 2022. The assumed 515 mortgage debt service will be deferred for 20 years. A refinance event will take place when deferral ends in year 20.
Vacancy has been underwritten to 5% based upon historical performance at the property. A waiver will be requested at pre-application.
DSCR: A waiver of the 1.25 DSCR requirement will be requested with the pre-application from DCA to match the USDA 538/515 Loan program requirements of 1.15 (year 1) and 1.0 (year 15).</v>
      </c>
      <c r="B847" s="2561"/>
      <c r="C847" s="2561"/>
      <c r="D847" s="2561"/>
      <c r="E847" s="2561"/>
      <c r="F847" s="2561"/>
      <c r="G847" s="2561">
        <f>'Part VI-Pro Forma'!G140</f>
        <v>0</v>
      </c>
      <c r="H847" s="2561"/>
      <c r="I847" s="2561"/>
      <c r="J847" s="2561"/>
      <c r="K847" s="2561"/>
    </row>
    <row r="852" spans="1:17">
      <c r="A852" s="2769" t="str">
        <f>CONCATENATE("PART SEVEN - THRESHOLD CRITERIA","  -  ",'Part I-Project Identification'!$O$7," ",'Part I-Project Identification'!$F$25,", ",'Part I-Project Identification'!F881,", ",'Part I-Project Identification'!J881," County")</f>
        <v>PART SEVEN - THRESHOLD CRITERIA  -  2023-5 Brightwood Lane Apartments, ,  County</v>
      </c>
      <c r="B852" s="2769"/>
      <c r="C852" s="2769"/>
      <c r="D852" s="2769"/>
      <c r="E852" s="2769"/>
      <c r="F852" s="2769"/>
      <c r="G852" s="2769"/>
      <c r="H852" s="2769"/>
      <c r="I852" s="2769"/>
      <c r="J852" s="2769"/>
      <c r="K852" s="2769"/>
      <c r="L852" s="2769"/>
      <c r="M852" s="2769"/>
      <c r="N852" s="2769"/>
      <c r="O852" s="2769"/>
      <c r="P852" s="2769"/>
      <c r="Q852" s="2769"/>
    </row>
    <row r="853" spans="1:17">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6771</v>
      </c>
      <c r="Q854" s="2772" t="s">
        <v>6531</v>
      </c>
    </row>
    <row r="855" spans="1:17">
      <c r="A855" s="2773"/>
      <c r="B855" s="2771"/>
      <c r="C855" s="2771"/>
      <c r="D855" s="2771"/>
      <c r="E855" s="2773"/>
      <c r="F855" s="2773"/>
      <c r="G855" s="2773"/>
      <c r="H855" s="2773"/>
      <c r="I855" s="2770"/>
      <c r="J855" s="2769"/>
      <c r="K855" s="2773"/>
      <c r="L855" s="2773"/>
      <c r="M855" s="2773"/>
      <c r="N855" s="2773"/>
      <c r="O855" s="2770"/>
      <c r="P855" s="2772"/>
      <c r="Q855" s="2772"/>
    </row>
    <row r="856" spans="1:17">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c r="A858" s="2778" t="s">
        <v>6772</v>
      </c>
      <c r="B858" s="2778"/>
      <c r="C858" s="2778"/>
      <c r="D858" s="2778"/>
      <c r="E858" s="2778"/>
      <c r="F858" s="2778"/>
      <c r="G858" s="2778"/>
      <c r="H858" s="2778"/>
      <c r="I858" s="2778"/>
      <c r="J858" s="2778"/>
      <c r="K858" s="2778"/>
      <c r="L858" s="2778"/>
      <c r="M858" s="2778"/>
      <c r="N858" s="2778"/>
      <c r="O858" s="2778"/>
      <c r="P858" s="2778"/>
      <c r="Q858" s="2778"/>
    </row>
    <row r="859" spans="1:17">
      <c r="A859" s="2770"/>
      <c r="B859" s="2770"/>
      <c r="C859" s="2770"/>
      <c r="D859" s="2770"/>
      <c r="E859" s="2775"/>
      <c r="F859" s="2775"/>
      <c r="G859" s="2775"/>
      <c r="H859" s="2775"/>
      <c r="I859" s="2775"/>
      <c r="J859" s="2769"/>
      <c r="K859" s="2770"/>
      <c r="L859" s="2776"/>
      <c r="M859" s="2769"/>
      <c r="N859" s="2773"/>
      <c r="O859" s="2770"/>
      <c r="P859" s="2777"/>
      <c r="Q859" s="2777"/>
    </row>
    <row r="860" spans="1:17" ht="13.8">
      <c r="A860" s="2779" t="s">
        <v>6995</v>
      </c>
      <c r="B860" s="2780"/>
      <c r="C860" s="2780"/>
      <c r="D860" s="2780"/>
      <c r="E860" s="2780"/>
      <c r="F860" s="2780"/>
      <c r="G860" s="2780"/>
      <c r="H860" s="2780"/>
      <c r="I860" s="2781"/>
      <c r="J860" s="2781"/>
      <c r="K860" s="2782"/>
      <c r="L860" s="2782"/>
      <c r="M860" s="2782"/>
      <c r="N860" s="2782"/>
      <c r="O860" s="2782"/>
      <c r="P860" s="2781"/>
      <c r="Q860" s="2781"/>
    </row>
    <row r="861" spans="1:17" ht="14.4">
      <c r="A861" s="2783" t="s">
        <v>3066</v>
      </c>
      <c r="B861" s="2780"/>
      <c r="C861" s="2780"/>
      <c r="D861" s="2780"/>
      <c r="E861" s="2780"/>
      <c r="F861" s="2780"/>
      <c r="G861" s="2780"/>
      <c r="H861" s="2105"/>
      <c r="I861" s="2781"/>
      <c r="J861" s="2781"/>
      <c r="K861" s="2105"/>
      <c r="L861" s="2105"/>
      <c r="M861" s="2108"/>
      <c r="N861" s="2108"/>
      <c r="O861" s="2780"/>
      <c r="P861" s="2780"/>
      <c r="Q861" s="2780"/>
    </row>
    <row r="862" spans="1:17" ht="13.8">
      <c r="A862" s="2784" t="s">
        <v>1329</v>
      </c>
      <c r="B862" s="2784"/>
      <c r="C862" s="2784"/>
      <c r="D862" s="2784"/>
      <c r="E862" s="2784"/>
      <c r="F862" s="2784"/>
      <c r="G862" s="2784"/>
      <c r="H862" s="2784"/>
      <c r="I862" s="2784"/>
      <c r="J862" s="2784"/>
      <c r="K862" s="2784"/>
      <c r="L862" s="2784"/>
      <c r="M862" s="2784"/>
      <c r="N862" s="2784"/>
      <c r="O862" s="2784"/>
      <c r="P862" s="2784"/>
      <c r="Q862" s="2784"/>
    </row>
    <row r="863" spans="1:17" ht="13.8">
      <c r="A863" s="2784" t="s">
        <v>218</v>
      </c>
      <c r="B863" s="2784"/>
      <c r="C863" s="2784"/>
      <c r="D863" s="2784"/>
      <c r="E863" s="2784"/>
      <c r="F863" s="2784"/>
      <c r="G863" s="2784"/>
      <c r="H863" s="2784"/>
      <c r="I863" s="2784"/>
      <c r="J863" s="2784"/>
      <c r="K863" s="2784"/>
      <c r="L863" s="2784"/>
      <c r="M863" s="2784"/>
      <c r="N863" s="2784"/>
      <c r="O863" s="2784"/>
      <c r="P863" s="2784"/>
      <c r="Q863" s="2784"/>
    </row>
    <row r="864" spans="1:17" ht="13.8">
      <c r="A864" s="2784" t="s">
        <v>1325</v>
      </c>
      <c r="B864" s="2784"/>
      <c r="C864" s="2784"/>
      <c r="D864" s="2784"/>
      <c r="E864" s="2784"/>
      <c r="F864" s="2784"/>
      <c r="G864" s="2784"/>
      <c r="H864" s="2784"/>
      <c r="I864" s="2784"/>
      <c r="J864" s="2784"/>
      <c r="K864" s="2784"/>
      <c r="L864" s="2784"/>
      <c r="M864" s="2784"/>
      <c r="N864" s="2784"/>
      <c r="O864" s="2784"/>
      <c r="P864" s="2784"/>
      <c r="Q864" s="2784"/>
    </row>
    <row r="865" spans="1:17" ht="13.8">
      <c r="A865" s="2784" t="s">
        <v>1326</v>
      </c>
      <c r="B865" s="2784"/>
      <c r="C865" s="2784"/>
      <c r="D865" s="2784"/>
      <c r="E865" s="2784"/>
      <c r="F865" s="2784"/>
      <c r="G865" s="2784"/>
      <c r="H865" s="2784"/>
      <c r="I865" s="2784"/>
      <c r="J865" s="2784"/>
      <c r="K865" s="2784"/>
      <c r="L865" s="2784"/>
      <c r="M865" s="2784"/>
      <c r="N865" s="2784"/>
      <c r="O865" s="2784"/>
      <c r="P865" s="2784"/>
      <c r="Q865" s="2784"/>
    </row>
    <row r="866" spans="1:17" ht="13.8">
      <c r="A866" s="2784" t="s">
        <v>1327</v>
      </c>
      <c r="B866" s="2784"/>
      <c r="C866" s="2784"/>
      <c r="D866" s="2784"/>
      <c r="E866" s="2784"/>
      <c r="F866" s="2784"/>
      <c r="G866" s="2784"/>
      <c r="H866" s="2784"/>
      <c r="I866" s="2784"/>
      <c r="J866" s="2784"/>
      <c r="K866" s="2784"/>
      <c r="L866" s="2784"/>
      <c r="M866" s="2784"/>
      <c r="N866" s="2784"/>
      <c r="O866" s="2784"/>
      <c r="P866" s="2784"/>
      <c r="Q866" s="2784"/>
    </row>
    <row r="867" spans="1:17" ht="13.8">
      <c r="A867" s="2784" t="s">
        <v>1328</v>
      </c>
      <c r="B867" s="2784"/>
      <c r="C867" s="2784"/>
      <c r="D867" s="2784"/>
      <c r="E867" s="2784"/>
      <c r="F867" s="2784"/>
      <c r="G867" s="2784"/>
      <c r="H867" s="2784"/>
      <c r="I867" s="2784"/>
      <c r="J867" s="2784"/>
      <c r="K867" s="2784"/>
      <c r="L867" s="2784"/>
      <c r="M867" s="2784"/>
      <c r="N867" s="2784"/>
      <c r="O867" s="2784"/>
      <c r="P867" s="2784"/>
      <c r="Q867" s="2784"/>
    </row>
    <row r="868" spans="1:17" ht="13.8">
      <c r="A868" s="2784" t="s">
        <v>1330</v>
      </c>
      <c r="B868" s="2784"/>
      <c r="C868" s="2784"/>
      <c r="D868" s="2784"/>
      <c r="E868" s="2784"/>
      <c r="F868" s="2784"/>
      <c r="G868" s="2784"/>
      <c r="H868" s="2784"/>
      <c r="I868" s="2784"/>
      <c r="J868" s="2784"/>
      <c r="K868" s="2784"/>
      <c r="L868" s="2784"/>
      <c r="M868" s="2784"/>
      <c r="N868" s="2784"/>
      <c r="O868" s="2784"/>
      <c r="P868" s="2784"/>
      <c r="Q868" s="2784"/>
    </row>
    <row r="869" spans="1:17" ht="13.8">
      <c r="A869" s="2784" t="s">
        <v>1872</v>
      </c>
      <c r="B869" s="2784"/>
      <c r="C869" s="2784"/>
      <c r="D869" s="2784"/>
      <c r="E869" s="2784"/>
      <c r="F869" s="2784"/>
      <c r="G869" s="2784"/>
      <c r="H869" s="2784"/>
      <c r="I869" s="2784"/>
      <c r="J869" s="2784"/>
      <c r="K869" s="2784"/>
      <c r="L869" s="2784"/>
      <c r="M869" s="2784"/>
      <c r="N869" s="2784"/>
      <c r="O869" s="2784"/>
      <c r="P869" s="2784"/>
      <c r="Q869" s="2784"/>
    </row>
    <row r="870" spans="1:17" ht="13.8">
      <c r="A870" s="2784" t="s">
        <v>1873</v>
      </c>
      <c r="B870" s="2784"/>
      <c r="C870" s="2784"/>
      <c r="D870" s="2784"/>
      <c r="E870" s="2784"/>
      <c r="F870" s="2784"/>
      <c r="G870" s="2784"/>
      <c r="H870" s="2784"/>
      <c r="I870" s="2784"/>
      <c r="J870" s="2784"/>
      <c r="K870" s="2784"/>
      <c r="L870" s="2784"/>
      <c r="M870" s="2784"/>
      <c r="N870" s="2784"/>
      <c r="O870" s="2784"/>
      <c r="P870" s="2784"/>
      <c r="Q870" s="2784"/>
    </row>
    <row r="871" spans="1:17" ht="13.8">
      <c r="A871" s="2784" t="s">
        <v>1874</v>
      </c>
      <c r="B871" s="2784"/>
      <c r="C871" s="2784"/>
      <c r="D871" s="2784"/>
      <c r="E871" s="2784"/>
      <c r="F871" s="2784"/>
      <c r="G871" s="2784"/>
      <c r="H871" s="2784"/>
      <c r="I871" s="2784"/>
      <c r="J871" s="2784"/>
      <c r="K871" s="2784"/>
      <c r="L871" s="2784"/>
      <c r="M871" s="2784"/>
      <c r="N871" s="2784"/>
      <c r="O871" s="2784"/>
      <c r="P871" s="2784"/>
      <c r="Q871" s="2784"/>
    </row>
    <row r="872" spans="1:17" ht="13.8">
      <c r="A872" s="2784" t="s">
        <v>1875</v>
      </c>
      <c r="B872" s="2784"/>
      <c r="C872" s="2784"/>
      <c r="D872" s="2784"/>
      <c r="E872" s="2784"/>
      <c r="F872" s="2784"/>
      <c r="G872" s="2784"/>
      <c r="H872" s="2784"/>
      <c r="I872" s="2784"/>
      <c r="J872" s="2784"/>
      <c r="K872" s="2784"/>
      <c r="L872" s="2784"/>
      <c r="M872" s="2784"/>
      <c r="N872" s="2784"/>
      <c r="O872" s="2784"/>
      <c r="P872" s="2784"/>
      <c r="Q872" s="2784"/>
    </row>
    <row r="873" spans="1:17" ht="13.8">
      <c r="A873" s="2784" t="s">
        <v>1876</v>
      </c>
      <c r="B873" s="2784"/>
      <c r="C873" s="2784"/>
      <c r="D873" s="2784"/>
      <c r="E873" s="2784"/>
      <c r="F873" s="2784"/>
      <c r="G873" s="2784"/>
      <c r="H873" s="2784"/>
      <c r="I873" s="2784"/>
      <c r="J873" s="2784"/>
      <c r="K873" s="2784"/>
      <c r="L873" s="2784"/>
      <c r="M873" s="2784"/>
      <c r="N873" s="2784"/>
      <c r="O873" s="2784"/>
      <c r="P873" s="2784"/>
      <c r="Q873" s="2784"/>
    </row>
    <row r="874" spans="1:17" ht="13.8">
      <c r="A874" s="2784" t="s">
        <v>1877</v>
      </c>
      <c r="B874" s="2784"/>
      <c r="C874" s="2784"/>
      <c r="D874" s="2784"/>
      <c r="E874" s="2784"/>
      <c r="F874" s="2784"/>
      <c r="G874" s="2784"/>
      <c r="H874" s="2784"/>
      <c r="I874" s="2784"/>
      <c r="J874" s="2784"/>
      <c r="K874" s="2784"/>
      <c r="L874" s="2784"/>
      <c r="M874" s="2784"/>
      <c r="N874" s="2784"/>
      <c r="O874" s="2784"/>
      <c r="P874" s="2784"/>
      <c r="Q874" s="2784"/>
    </row>
    <row r="875" spans="1:17" ht="13.8">
      <c r="A875" s="2784" t="s">
        <v>1878</v>
      </c>
      <c r="B875" s="2784"/>
      <c r="C875" s="2784"/>
      <c r="D875" s="2784"/>
      <c r="E875" s="2784"/>
      <c r="F875" s="2784"/>
      <c r="G875" s="2784"/>
      <c r="H875" s="2784"/>
      <c r="I875" s="2784"/>
      <c r="J875" s="2784"/>
      <c r="K875" s="2784"/>
      <c r="L875" s="2784"/>
      <c r="M875" s="2784"/>
      <c r="N875" s="2784"/>
      <c r="O875" s="2784"/>
      <c r="P875" s="2784"/>
      <c r="Q875" s="2784"/>
    </row>
    <row r="876" spans="1:17" ht="13.8">
      <c r="A876" s="2784" t="s">
        <v>1879</v>
      </c>
      <c r="B876" s="2784"/>
      <c r="C876" s="2784"/>
      <c r="D876" s="2784"/>
      <c r="E876" s="2784"/>
      <c r="F876" s="2784"/>
      <c r="G876" s="2784"/>
      <c r="H876" s="2784"/>
      <c r="I876" s="2784"/>
      <c r="J876" s="2784"/>
      <c r="K876" s="2784"/>
      <c r="L876" s="2784"/>
      <c r="M876" s="2784"/>
      <c r="N876" s="2784"/>
      <c r="O876" s="2784"/>
      <c r="P876" s="2784"/>
      <c r="Q876" s="2784"/>
    </row>
    <row r="877" spans="1:17" ht="13.8">
      <c r="A877" s="2784" t="s">
        <v>1880</v>
      </c>
      <c r="B877" s="2784"/>
      <c r="C877" s="2784"/>
      <c r="D877" s="2784"/>
      <c r="E877" s="2784"/>
      <c r="F877" s="2784"/>
      <c r="G877" s="2784"/>
      <c r="H877" s="2784"/>
      <c r="I877" s="2784"/>
      <c r="J877" s="2784"/>
      <c r="K877" s="2784"/>
      <c r="L877" s="2784"/>
      <c r="M877" s="2784"/>
      <c r="N877" s="2784"/>
      <c r="O877" s="2784"/>
      <c r="P877" s="2784"/>
      <c r="Q877" s="2784"/>
    </row>
    <row r="878" spans="1:17" ht="13.8">
      <c r="A878" s="2784" t="s">
        <v>1881</v>
      </c>
      <c r="B878" s="2784"/>
      <c r="C878" s="2784"/>
      <c r="D878" s="2784"/>
      <c r="E878" s="2784"/>
      <c r="F878" s="2784"/>
      <c r="G878" s="2784"/>
      <c r="H878" s="2784"/>
      <c r="I878" s="2784"/>
      <c r="J878" s="2784"/>
      <c r="K878" s="2784"/>
      <c r="L878" s="2784"/>
      <c r="M878" s="2784"/>
      <c r="N878" s="2784"/>
      <c r="O878" s="2784"/>
      <c r="P878" s="2784"/>
      <c r="Q878" s="2784"/>
    </row>
    <row r="879" spans="1:17" ht="13.8">
      <c r="A879" s="2784" t="s">
        <v>1882</v>
      </c>
      <c r="B879" s="2784"/>
      <c r="C879" s="2784"/>
      <c r="D879" s="2784"/>
      <c r="E879" s="2784"/>
      <c r="F879" s="2784"/>
      <c r="G879" s="2784"/>
      <c r="H879" s="2784"/>
      <c r="I879" s="2784"/>
      <c r="J879" s="2784"/>
      <c r="K879" s="2784"/>
      <c r="L879" s="2784"/>
      <c r="M879" s="2784"/>
      <c r="N879" s="2784"/>
      <c r="O879" s="2784"/>
      <c r="P879" s="2784"/>
      <c r="Q879" s="2784"/>
    </row>
    <row r="880" spans="1:17" ht="13.8">
      <c r="A880" s="2780"/>
      <c r="B880" s="2780"/>
      <c r="C880" s="2780"/>
      <c r="D880" s="2780"/>
      <c r="E880" s="2780"/>
      <c r="F880" s="2780"/>
      <c r="G880" s="2780"/>
      <c r="H880" s="2780"/>
      <c r="I880" s="2780"/>
      <c r="J880" s="2780"/>
      <c r="K880" s="2780"/>
      <c r="L880" s="2780"/>
      <c r="M880" s="2780"/>
      <c r="N880" s="2780"/>
      <c r="O880" s="2780"/>
      <c r="P880" s="2780"/>
      <c r="Q880" s="2780"/>
    </row>
    <row r="881" spans="1:17" ht="13.8">
      <c r="A881" s="2780"/>
      <c r="B881" s="2780"/>
      <c r="C881" s="2780"/>
      <c r="D881" s="2780"/>
      <c r="E881" s="2780"/>
      <c r="F881" s="2780"/>
      <c r="G881" s="2780"/>
      <c r="H881" s="2780"/>
      <c r="I881" s="2780"/>
      <c r="J881" s="2780"/>
      <c r="K881" s="2780"/>
      <c r="L881" s="2780"/>
      <c r="M881" s="2780"/>
      <c r="N881" s="2780"/>
      <c r="O881" s="2780"/>
      <c r="P881" s="2780"/>
      <c r="Q881" s="2780"/>
    </row>
    <row r="882" spans="1:17" ht="13.8">
      <c r="A882" s="2785" t="s">
        <v>689</v>
      </c>
      <c r="B882" s="2781" t="s">
        <v>6633</v>
      </c>
      <c r="C882" s="2781"/>
      <c r="D882" s="2781"/>
      <c r="E882" s="2781"/>
      <c r="F882" s="2781"/>
      <c r="G882" s="2781"/>
      <c r="H882" s="2105"/>
      <c r="I882" s="2107"/>
      <c r="J882" s="2107"/>
      <c r="K882" s="2107"/>
      <c r="L882" s="2108"/>
      <c r="M882" s="2108"/>
      <c r="N882" s="2105"/>
      <c r="O882" s="2786" t="s">
        <v>1731</v>
      </c>
      <c r="P882" s="2781"/>
      <c r="Q882" s="2781"/>
    </row>
    <row r="883" spans="1:17" ht="14.4">
      <c r="A883" s="2105"/>
      <c r="B883" s="2787" t="s">
        <v>6774</v>
      </c>
      <c r="C883" s="2787"/>
      <c r="D883" s="2787"/>
      <c r="E883" s="2787"/>
      <c r="F883" s="2787"/>
      <c r="G883" s="2107"/>
      <c r="H883" s="2107"/>
      <c r="I883" s="2107"/>
      <c r="J883" s="2107"/>
      <c r="K883" s="2108"/>
      <c r="L883" s="2108"/>
      <c r="M883" s="2108"/>
      <c r="N883" s="2108"/>
      <c r="O883" s="2108"/>
      <c r="P883" s="2108"/>
      <c r="Q883" s="2105"/>
    </row>
    <row r="884" spans="1:17" ht="409.6">
      <c r="A884" s="2782" t="str">
        <f>'Part VII-Threshold Criteria'!A33</f>
        <v>Applicant certifies that we have disclosed all federal, state, and local subsidies and all other sources of funds and development costs for the project in the application submission. We also certify all financing sources are reflected in the proforma.</v>
      </c>
      <c r="B884" s="2782"/>
      <c r="C884" s="2782"/>
      <c r="D884" s="2782"/>
      <c r="E884" s="2782"/>
      <c r="F884" s="2782"/>
      <c r="G884" s="2782"/>
      <c r="H884" s="2782"/>
      <c r="I884" s="2782"/>
      <c r="J884" s="2782"/>
      <c r="K884" s="2782"/>
      <c r="L884" s="2782"/>
      <c r="M884" s="2782"/>
      <c r="N884" s="2782"/>
      <c r="O884" s="2782"/>
      <c r="P884" s="2782"/>
      <c r="Q884" s="2782"/>
    </row>
    <row r="885" spans="1:17" ht="14.4">
      <c r="A885" s="2105"/>
      <c r="B885" s="2787" t="s">
        <v>1730</v>
      </c>
      <c r="C885" s="2788"/>
      <c r="D885" s="2789"/>
      <c r="E885" s="2789"/>
      <c r="F885" s="2789"/>
      <c r="G885" s="2789"/>
      <c r="H885" s="2789"/>
      <c r="I885" s="2789"/>
      <c r="J885" s="2789"/>
      <c r="K885" s="2789"/>
      <c r="L885" s="2789"/>
      <c r="M885" s="2789"/>
      <c r="N885" s="2789"/>
      <c r="O885" s="2789"/>
      <c r="P885" s="2789"/>
      <c r="Q885" s="2105"/>
    </row>
    <row r="886" spans="1:17" ht="13.8">
      <c r="A886" s="2782"/>
      <c r="B886" s="2782"/>
      <c r="C886" s="2782"/>
      <c r="D886" s="2782"/>
      <c r="E886" s="2782"/>
      <c r="F886" s="2782"/>
      <c r="G886" s="2782"/>
      <c r="H886" s="2782"/>
      <c r="I886" s="2782"/>
      <c r="J886" s="2782"/>
      <c r="K886" s="2782"/>
      <c r="L886" s="2782"/>
      <c r="M886" s="2782"/>
      <c r="N886" s="2782"/>
      <c r="O886" s="2782"/>
      <c r="P886" s="2782"/>
      <c r="Q886" s="2782"/>
    </row>
    <row r="887" spans="1:17" ht="13.8">
      <c r="A887" s="2105"/>
      <c r="B887" s="2107"/>
      <c r="C887" s="2789"/>
      <c r="D887" s="2789"/>
      <c r="E887" s="2789"/>
      <c r="F887" s="2789"/>
      <c r="G887" s="2789"/>
      <c r="H887" s="2789"/>
      <c r="I887" s="2789"/>
      <c r="J887" s="2789"/>
      <c r="K887" s="2789"/>
      <c r="L887" s="2789"/>
      <c r="M887" s="2789"/>
      <c r="N887" s="2789"/>
      <c r="O887" s="2789"/>
      <c r="P887" s="2789"/>
      <c r="Q887" s="2108"/>
    </row>
    <row r="888" spans="1:17" ht="13.8">
      <c r="A888" s="2105"/>
      <c r="B888" s="2107"/>
      <c r="C888" s="2789"/>
      <c r="D888" s="2789"/>
      <c r="E888" s="2789"/>
      <c r="F888" s="2789"/>
      <c r="G888" s="2789"/>
      <c r="H888" s="2789"/>
      <c r="I888" s="2789"/>
      <c r="J888" s="2789"/>
      <c r="K888" s="2789"/>
      <c r="L888" s="2789"/>
      <c r="M888" s="2789"/>
      <c r="N888" s="2789"/>
      <c r="O888" s="2789"/>
      <c r="P888" s="2789"/>
      <c r="Q888" s="2108"/>
    </row>
    <row r="889" spans="1:17" ht="13.8">
      <c r="A889" s="2785" t="s">
        <v>691</v>
      </c>
      <c r="B889" s="2781" t="s">
        <v>1118</v>
      </c>
      <c r="C889" s="2781"/>
      <c r="D889" s="2781"/>
      <c r="E889" s="2789"/>
      <c r="F889" s="2789"/>
      <c r="G889" s="2106"/>
      <c r="H889" s="2105"/>
      <c r="I889" s="2105"/>
      <c r="J889" s="2105"/>
      <c r="K889" s="2105"/>
      <c r="L889" s="2105"/>
      <c r="M889" s="2105"/>
      <c r="N889" s="2105"/>
      <c r="O889" s="2786" t="s">
        <v>1731</v>
      </c>
      <c r="P889" s="2781"/>
      <c r="Q889" s="2781"/>
    </row>
    <row r="890" spans="1:17" ht="13.8">
      <c r="A890" s="2785"/>
      <c r="B890" s="2105" t="s">
        <v>6996</v>
      </c>
      <c r="C890" s="2105"/>
      <c r="D890" s="2105"/>
      <c r="E890" s="2105"/>
      <c r="F890" s="2105"/>
      <c r="G890" s="2105"/>
      <c r="H890" s="2105"/>
      <c r="I890" s="2105"/>
      <c r="J890" s="2105"/>
      <c r="K890" s="2105"/>
      <c r="L890" s="2105"/>
      <c r="M890" s="2105"/>
      <c r="N890" s="2105"/>
      <c r="O890" s="2105"/>
      <c r="P890" s="2781" t="str">
        <f>'Part VII-Threshold Criteria'!P39</f>
        <v>Yes</v>
      </c>
      <c r="Q890" s="2781"/>
    </row>
    <row r="891" spans="1:17" ht="14.4">
      <c r="A891" s="2105"/>
      <c r="B891" s="2790" t="s">
        <v>3240</v>
      </c>
      <c r="C891" s="2105"/>
      <c r="D891" s="2790"/>
      <c r="E891" s="2790"/>
      <c r="F891" s="2790"/>
      <c r="G891" s="2790"/>
      <c r="H891" s="2106"/>
      <c r="I891" s="2107"/>
      <c r="J891" s="2107"/>
      <c r="K891" s="2105"/>
      <c r="L891" s="2105"/>
      <c r="M891" s="2105"/>
      <c r="N891" s="2105"/>
      <c r="O891" s="2105"/>
      <c r="P891" s="2105"/>
      <c r="Q891" s="2105"/>
    </row>
    <row r="892" spans="1:17" ht="409.6">
      <c r="A892" s="2782" t="str">
        <f>'Part VII-Threshold Criteria'!A41</f>
        <v>The development is currently categorized as a "mixed" development by USDA with some units designated as family and others designated as elderly (62 and over) and disabled. The development will continue to serve this same tenant population and offer one-, two-, and three-bedroom unit types.</v>
      </c>
      <c r="B892" s="2782"/>
      <c r="C892" s="2782"/>
      <c r="D892" s="2782"/>
      <c r="E892" s="2782"/>
      <c r="F892" s="2782"/>
      <c r="G892" s="2782"/>
      <c r="H892" s="2782"/>
      <c r="I892" s="2782"/>
      <c r="J892" s="2782"/>
      <c r="K892" s="2782"/>
      <c r="L892" s="2782"/>
      <c r="M892" s="2782"/>
      <c r="N892" s="2782"/>
      <c r="O892" s="2782"/>
      <c r="P892" s="2782"/>
      <c r="Q892" s="2782"/>
    </row>
    <row r="893" spans="1:17" ht="14.4">
      <c r="A893" s="2108"/>
      <c r="B893" s="2787" t="s">
        <v>1730</v>
      </c>
      <c r="C893" s="2108"/>
      <c r="D893" s="2108"/>
      <c r="E893" s="2108"/>
      <c r="F893" s="2108"/>
      <c r="G893" s="2108"/>
      <c r="H893" s="2108"/>
      <c r="I893" s="2789"/>
      <c r="J893" s="2789"/>
      <c r="K893" s="2789"/>
      <c r="L893" s="2789"/>
      <c r="M893" s="2789"/>
      <c r="N893" s="2789"/>
      <c r="O893" s="2789"/>
      <c r="P893" s="2789"/>
      <c r="Q893" s="2108"/>
    </row>
    <row r="894" spans="1:17" ht="13.8">
      <c r="A894" s="2782"/>
      <c r="B894" s="2782"/>
      <c r="C894" s="2782"/>
      <c r="D894" s="2782"/>
      <c r="E894" s="2782"/>
      <c r="F894" s="2782"/>
      <c r="G894" s="2782"/>
      <c r="H894" s="2782"/>
      <c r="I894" s="2782"/>
      <c r="J894" s="2782"/>
      <c r="K894" s="2782"/>
      <c r="L894" s="2782"/>
      <c r="M894" s="2782"/>
      <c r="N894" s="2782"/>
      <c r="O894" s="2782"/>
      <c r="P894" s="2782"/>
      <c r="Q894" s="2782"/>
    </row>
    <row r="895" spans="1:17" ht="13.8">
      <c r="A895" s="2108"/>
      <c r="B895" s="2789"/>
      <c r="C895" s="2789"/>
      <c r="D895" s="2789"/>
      <c r="E895" s="2789"/>
      <c r="F895" s="2789"/>
      <c r="G895" s="2789"/>
      <c r="H895" s="2789"/>
      <c r="I895" s="2789"/>
      <c r="J895" s="2789"/>
      <c r="K895" s="2789"/>
      <c r="L895" s="2789"/>
      <c r="M895" s="2789"/>
      <c r="N895" s="2789"/>
      <c r="O895" s="2789"/>
      <c r="P895" s="2789"/>
      <c r="Q895" s="2108"/>
    </row>
    <row r="896" spans="1:17" ht="13.8">
      <c r="A896" s="2105"/>
      <c r="B896" s="2107"/>
      <c r="C896" s="2789"/>
      <c r="D896" s="2789"/>
      <c r="E896" s="2789"/>
      <c r="F896" s="2789"/>
      <c r="G896" s="2789"/>
      <c r="H896" s="2789"/>
      <c r="I896" s="2789"/>
      <c r="J896" s="2789"/>
      <c r="K896" s="2789"/>
      <c r="L896" s="2789"/>
      <c r="M896" s="2789"/>
      <c r="N896" s="2789"/>
      <c r="O896" s="2789"/>
      <c r="P896" s="2789"/>
      <c r="Q896" s="2108"/>
    </row>
    <row r="897" spans="1:17" ht="13.8">
      <c r="A897" s="2785" t="s">
        <v>1666</v>
      </c>
      <c r="B897" s="2785" t="s">
        <v>2422</v>
      </c>
      <c r="C897" s="2785"/>
      <c r="D897" s="2789"/>
      <c r="E897" s="2789"/>
      <c r="F897" s="2789"/>
      <c r="G897" s="2789"/>
      <c r="H897" s="2789"/>
      <c r="I897" s="2789"/>
      <c r="J897" s="2789"/>
      <c r="K897" s="2105"/>
      <c r="L897" s="2791"/>
      <c r="M897" s="2792"/>
      <c r="N897" s="2105"/>
      <c r="O897" s="2786" t="s">
        <v>1731</v>
      </c>
      <c r="P897" s="2781"/>
      <c r="Q897" s="2781"/>
    </row>
    <row r="898" spans="1:17" ht="14.4">
      <c r="A898" s="2793"/>
      <c r="B898" s="2106" t="s">
        <v>6997</v>
      </c>
      <c r="C898" s="2785"/>
      <c r="D898" s="2789"/>
      <c r="E898" s="2789"/>
      <c r="F898" s="2789"/>
      <c r="G898" s="2789"/>
      <c r="H898" s="2789"/>
      <c r="I898" s="2789"/>
      <c r="J898" s="2789"/>
      <c r="K898" s="2105"/>
      <c r="L898" s="2791"/>
      <c r="M898" s="2792"/>
      <c r="N898" s="2105"/>
      <c r="O898" s="2786"/>
      <c r="P898" s="2781" t="str">
        <f>'Part VII-Threshold Criteria'!P47</f>
        <v>Yes</v>
      </c>
      <c r="Q898" s="2781"/>
    </row>
    <row r="899" spans="1:17" ht="14.4">
      <c r="A899" s="2105"/>
      <c r="B899" s="2790" t="s">
        <v>3240</v>
      </c>
      <c r="C899" s="2105"/>
      <c r="D899" s="2790"/>
      <c r="E899" s="2790"/>
      <c r="F899" s="2790"/>
      <c r="G899" s="2790"/>
      <c r="H899" s="2106"/>
      <c r="I899" s="2107"/>
      <c r="J899" s="2107"/>
      <c r="K899" s="2787" t="s">
        <v>1730</v>
      </c>
      <c r="L899" s="2108"/>
      <c r="M899" s="2108"/>
      <c r="N899" s="2108"/>
      <c r="O899" s="2108"/>
      <c r="P899" s="2108"/>
      <c r="Q899" s="2108"/>
    </row>
    <row r="900" spans="1:17" ht="220.8">
      <c r="A900" s="2782" t="str">
        <f>'Part VII-Threshold Criteria'!A49</f>
        <v>Applicant will provide a minimum of 4 basic services as required for this 40-unit mixed (family/senior) property.</v>
      </c>
      <c r="B900" s="2782"/>
      <c r="C900" s="2782"/>
      <c r="D900" s="2782"/>
      <c r="E900" s="2782"/>
      <c r="F900" s="2782"/>
      <c r="G900" s="2782"/>
      <c r="H900" s="2782"/>
      <c r="I900" s="2782"/>
      <c r="J900" s="2782"/>
      <c r="K900" s="2782"/>
      <c r="L900" s="2782"/>
      <c r="M900" s="2782"/>
      <c r="N900" s="2782"/>
      <c r="O900" s="2782"/>
      <c r="P900" s="2782"/>
      <c r="Q900" s="2782"/>
    </row>
    <row r="901" spans="1:17" ht="13.8">
      <c r="A901" s="2108"/>
      <c r="B901" s="2107"/>
      <c r="C901" s="2789"/>
      <c r="D901" s="2789"/>
      <c r="E901" s="2789"/>
      <c r="F901" s="2789"/>
      <c r="G901" s="2789"/>
      <c r="H901" s="2789"/>
      <c r="I901" s="2789"/>
      <c r="J901" s="2789"/>
      <c r="K901" s="2789"/>
      <c r="L901" s="2789"/>
      <c r="M901" s="2789"/>
      <c r="N901" s="2789"/>
      <c r="O901" s="2789"/>
      <c r="P901" s="2789"/>
      <c r="Q901" s="2108"/>
    </row>
    <row r="902" spans="1:17" ht="13.8">
      <c r="A902" s="2108"/>
      <c r="B902" s="2107"/>
      <c r="C902" s="2789"/>
      <c r="D902" s="2789"/>
      <c r="E902" s="2789"/>
      <c r="F902" s="2789"/>
      <c r="G902" s="2789"/>
      <c r="H902" s="2789"/>
      <c r="I902" s="2789"/>
      <c r="J902" s="2789"/>
      <c r="K902" s="2789"/>
      <c r="L902" s="2789"/>
      <c r="M902" s="2789"/>
      <c r="N902" s="2789"/>
      <c r="O902" s="2789"/>
      <c r="P902" s="2789"/>
      <c r="Q902" s="2108"/>
    </row>
    <row r="903" spans="1:17" ht="13.8">
      <c r="A903" s="2785" t="s">
        <v>1668</v>
      </c>
      <c r="B903" s="2785" t="s">
        <v>4019</v>
      </c>
      <c r="C903" s="2785"/>
      <c r="D903" s="2789"/>
      <c r="E903" s="2789"/>
      <c r="F903" s="2789"/>
      <c r="G903" s="2789"/>
      <c r="H903" s="2794"/>
      <c r="I903" s="2105"/>
      <c r="J903" s="2793"/>
      <c r="K903" s="2781"/>
      <c r="L903" s="2793"/>
      <c r="M903" s="2785"/>
      <c r="N903" s="2105"/>
      <c r="O903" s="2786" t="s">
        <v>1731</v>
      </c>
      <c r="P903" s="2781"/>
      <c r="Q903" s="2781"/>
    </row>
    <row r="904" spans="1:17" ht="15" customHeight="1">
      <c r="A904" s="2793"/>
      <c r="B904" s="2782" t="s">
        <v>2264</v>
      </c>
      <c r="C904" s="2782"/>
      <c r="D904" s="2782"/>
      <c r="E904" s="2782"/>
      <c r="F904" s="2782"/>
      <c r="G904" s="2782"/>
      <c r="H904" s="2782"/>
      <c r="I904" s="2784" t="str">
        <f>'Part VII-Threshold Criteria'!I53</f>
        <v>Bowen National Research</v>
      </c>
      <c r="J904" s="2784"/>
      <c r="K904" s="2784"/>
      <c r="L904" s="2784"/>
      <c r="M904" s="2784"/>
      <c r="N904" s="2784"/>
      <c r="O904" s="2784"/>
      <c r="P904" s="2784"/>
      <c r="Q904" s="2784"/>
    </row>
    <row r="905" spans="1:17" ht="13.8">
      <c r="A905" s="2793"/>
      <c r="B905" s="2105" t="s">
        <v>6777</v>
      </c>
      <c r="C905" s="2105"/>
      <c r="D905" s="2782"/>
      <c r="E905" s="2782"/>
      <c r="F905" s="2782"/>
      <c r="G905" s="2105"/>
      <c r="H905" s="2105"/>
      <c r="I905" s="2782">
        <f>'Part VII-Threshold Criteria'!I54</f>
        <v>0.78800000000000003</v>
      </c>
      <c r="J905" s="2782"/>
      <c r="K905" s="2782"/>
      <c r="L905" s="2795"/>
      <c r="M905" s="2796"/>
      <c r="N905" s="2796"/>
      <c r="O905" s="2796"/>
      <c r="P905" s="2796"/>
      <c r="Q905" s="2108"/>
    </row>
    <row r="906" spans="1:17" ht="13.8">
      <c r="A906" s="2793"/>
      <c r="B906" s="2105" t="s">
        <v>6778</v>
      </c>
      <c r="C906" s="2105"/>
      <c r="D906" s="2782"/>
      <c r="E906" s="2782"/>
      <c r="F906" s="2782"/>
      <c r="G906" s="2105"/>
      <c r="H906" s="2795" t="s">
        <v>6779</v>
      </c>
      <c r="I906" s="2782">
        <f>'Part VII-Threshold Criteria'!I55</f>
        <v>0.76200000000000001</v>
      </c>
      <c r="J906" s="2782"/>
      <c r="K906" s="2782"/>
      <c r="L906" s="2796"/>
      <c r="M906" s="2797" t="s">
        <v>6780</v>
      </c>
      <c r="N906" s="2782" t="str">
        <f>'Part VII-Threshold Criteria'!N55</f>
        <v>n/a</v>
      </c>
      <c r="O906" s="2782"/>
      <c r="P906" s="2105"/>
      <c r="Q906" s="2105"/>
    </row>
    <row r="907" spans="1:17" ht="14.4">
      <c r="A907" s="2105"/>
      <c r="B907" s="2790" t="s">
        <v>3240</v>
      </c>
      <c r="C907" s="2105"/>
      <c r="D907" s="2790"/>
      <c r="E907" s="2790"/>
      <c r="F907" s="2790"/>
      <c r="G907" s="2790"/>
      <c r="H907" s="2106"/>
      <c r="I907" s="2107"/>
      <c r="J907" s="2107"/>
      <c r="K907" s="2107"/>
      <c r="L907" s="2108"/>
      <c r="M907" s="2108"/>
      <c r="N907" s="2108"/>
      <c r="O907" s="2108"/>
      <c r="P907" s="2108"/>
      <c r="Q907" s="2108"/>
    </row>
    <row r="908" spans="1:17" ht="331.2">
      <c r="A908" s="2782" t="str">
        <f>'Part VII-Threshold Criteria'!A57</f>
        <v>There are no market rate units at the project, therefore the capture rate for the market units is not applicable. The Market Study is included in Tab 5 of the application.</v>
      </c>
      <c r="B908" s="2782"/>
      <c r="C908" s="2782"/>
      <c r="D908" s="2782"/>
      <c r="E908" s="2782"/>
      <c r="F908" s="2782"/>
      <c r="G908" s="2782"/>
      <c r="H908" s="2782"/>
      <c r="I908" s="2782"/>
      <c r="J908" s="2782"/>
      <c r="K908" s="2782"/>
      <c r="L908" s="2782"/>
      <c r="M908" s="2782"/>
      <c r="N908" s="2782"/>
      <c r="O908" s="2782"/>
      <c r="P908" s="2782"/>
      <c r="Q908" s="2782"/>
    </row>
    <row r="909" spans="1:17" ht="14.4">
      <c r="A909" s="2105"/>
      <c r="B909" s="2787" t="s">
        <v>1730</v>
      </c>
      <c r="C909" s="2788"/>
      <c r="D909" s="2789"/>
      <c r="E909" s="2789"/>
      <c r="F909" s="2789"/>
      <c r="G909" s="2789"/>
      <c r="H909" s="2789"/>
      <c r="I909" s="2789"/>
      <c r="J909" s="2789"/>
      <c r="K909" s="2789"/>
      <c r="L909" s="2789"/>
      <c r="M909" s="2789"/>
      <c r="N909" s="2789"/>
      <c r="O909" s="2789"/>
      <c r="P909" s="2789"/>
      <c r="Q909" s="2789"/>
    </row>
    <row r="910" spans="1:17" ht="13.8">
      <c r="A910" s="2782"/>
      <c r="B910" s="2782"/>
      <c r="C910" s="2782"/>
      <c r="D910" s="2782"/>
      <c r="E910" s="2782"/>
      <c r="F910" s="2782"/>
      <c r="G910" s="2782"/>
      <c r="H910" s="2782"/>
      <c r="I910" s="2782"/>
      <c r="J910" s="2782"/>
      <c r="K910" s="2782"/>
      <c r="L910" s="2782"/>
      <c r="M910" s="2782"/>
      <c r="N910" s="2782"/>
      <c r="O910" s="2782"/>
      <c r="P910" s="2782"/>
      <c r="Q910" s="2782"/>
    </row>
    <row r="911" spans="1:17" ht="13.8">
      <c r="A911" s="2789"/>
      <c r="B911" s="2789"/>
      <c r="C911" s="2789"/>
      <c r="D911" s="2789"/>
      <c r="E911" s="2789"/>
      <c r="F911" s="2789"/>
      <c r="G911" s="2789"/>
      <c r="H911" s="2789"/>
      <c r="I911" s="2789"/>
      <c r="J911" s="2789"/>
      <c r="K911" s="2789"/>
      <c r="L911" s="2789"/>
      <c r="M911" s="2789"/>
      <c r="N911" s="2789"/>
      <c r="O911" s="2789"/>
      <c r="P911" s="2789"/>
      <c r="Q911" s="2789"/>
    </row>
    <row r="912" spans="1:17" ht="13.8">
      <c r="A912" s="2789"/>
      <c r="B912" s="2789"/>
      <c r="C912" s="2789"/>
      <c r="D912" s="2789"/>
      <c r="E912" s="2789"/>
      <c r="F912" s="2789"/>
      <c r="G912" s="2789"/>
      <c r="H912" s="2789"/>
      <c r="I912" s="2789"/>
      <c r="J912" s="2789"/>
      <c r="K912" s="2789"/>
      <c r="L912" s="2789"/>
      <c r="M912" s="2789"/>
      <c r="N912" s="2789"/>
      <c r="O912" s="2789"/>
      <c r="P912" s="2789"/>
      <c r="Q912" s="2789"/>
    </row>
    <row r="913" spans="1:17" ht="13.8">
      <c r="A913" s="2785" t="s">
        <v>496</v>
      </c>
      <c r="B913" s="2785" t="s">
        <v>2423</v>
      </c>
      <c r="C913" s="2785"/>
      <c r="D913" s="2789"/>
      <c r="E913" s="2789"/>
      <c r="F913" s="2789"/>
      <c r="G913" s="2789"/>
      <c r="H913" s="2789"/>
      <c r="I913" s="2789"/>
      <c r="J913" s="2789"/>
      <c r="K913" s="2789"/>
      <c r="L913" s="2789"/>
      <c r="M913" s="2789"/>
      <c r="N913" s="2105"/>
      <c r="O913" s="2786" t="s">
        <v>1731</v>
      </c>
      <c r="P913" s="2781"/>
      <c r="Q913" s="2781"/>
    </row>
    <row r="914" spans="1:17" ht="13.8">
      <c r="A914" s="2793"/>
      <c r="B914" s="2105" t="s">
        <v>6781</v>
      </c>
      <c r="C914" s="2105"/>
      <c r="D914" s="2105"/>
      <c r="E914" s="2105"/>
      <c r="F914" s="2105"/>
      <c r="G914" s="2105"/>
      <c r="H914" s="2105"/>
      <c r="I914" s="2782"/>
      <c r="J914" s="2782" t="str">
        <f>'Part VII-Threshold Criteria'!J63</f>
        <v>TBD</v>
      </c>
      <c r="K914" s="2782"/>
      <c r="L914" s="2782"/>
      <c r="M914" s="2782"/>
      <c r="N914" s="2782"/>
      <c r="O914" s="2782"/>
      <c r="P914" s="2782"/>
      <c r="Q914" s="2782"/>
    </row>
    <row r="915" spans="1:17" ht="13.8">
      <c r="A915" s="2793"/>
      <c r="B915" s="2105" t="s">
        <v>3948</v>
      </c>
      <c r="C915" s="2105"/>
      <c r="D915" s="2105"/>
      <c r="E915" s="2105"/>
      <c r="F915" s="2105"/>
      <c r="G915" s="2105"/>
      <c r="H915" s="2105"/>
      <c r="I915" s="2105"/>
      <c r="J915" s="2105"/>
      <c r="K915" s="2105"/>
      <c r="L915" s="2105"/>
      <c r="M915" s="2105"/>
      <c r="N915" s="2105"/>
      <c r="O915" s="2795"/>
      <c r="P915" s="2108">
        <f>'Part VII-Threshold Criteria'!P64</f>
        <v>0</v>
      </c>
      <c r="Q915" s="2108"/>
    </row>
    <row r="916" spans="1:17" ht="15" customHeight="1">
      <c r="A916" s="2105"/>
      <c r="B916" s="2785"/>
      <c r="C916" s="2782" t="s">
        <v>6782</v>
      </c>
      <c r="D916" s="2782"/>
      <c r="E916" s="2782"/>
      <c r="F916" s="2782"/>
      <c r="G916" s="2782"/>
      <c r="H916" s="2782"/>
      <c r="I916" s="2782"/>
      <c r="J916" s="2782"/>
      <c r="K916" s="2782"/>
      <c r="L916" s="2782"/>
      <c r="M916" s="2782"/>
      <c r="N916" s="2782"/>
      <c r="O916" s="2782"/>
      <c r="P916" s="2108">
        <f>'Part VII-Threshold Criteria'!P65</f>
        <v>0</v>
      </c>
      <c r="Q916" s="2108"/>
    </row>
    <row r="917" spans="1:17" ht="15" customHeight="1">
      <c r="A917" s="2793"/>
      <c r="B917" s="2785"/>
      <c r="C917" s="2782" t="s">
        <v>6783</v>
      </c>
      <c r="D917" s="2782"/>
      <c r="E917" s="2782"/>
      <c r="F917" s="2782"/>
      <c r="G917" s="2782"/>
      <c r="H917" s="2782"/>
      <c r="I917" s="2782"/>
      <c r="J917" s="2782"/>
      <c r="K917" s="2782"/>
      <c r="L917" s="2782"/>
      <c r="M917" s="2782"/>
      <c r="N917" s="2782"/>
      <c r="O917" s="2782"/>
      <c r="P917" s="2108">
        <f>'Part VII-Threshold Criteria'!P66</f>
        <v>0</v>
      </c>
      <c r="Q917" s="2108"/>
    </row>
    <row r="918" spans="1:17" ht="14.4">
      <c r="A918" s="2105"/>
      <c r="B918" s="2790" t="s">
        <v>6774</v>
      </c>
      <c r="C918" s="2105"/>
      <c r="D918" s="2790"/>
      <c r="E918" s="2790"/>
      <c r="F918" s="2790"/>
      <c r="G918" s="2790"/>
      <c r="H918" s="2106"/>
      <c r="I918" s="2107"/>
      <c r="J918" s="2107"/>
      <c r="K918" s="2107"/>
      <c r="L918" s="2108"/>
      <c r="M918" s="2108"/>
      <c r="N918" s="2108"/>
      <c r="O918" s="2108"/>
      <c r="P918" s="2108"/>
      <c r="Q918" s="2108"/>
    </row>
    <row r="919" spans="1:17" ht="138">
      <c r="A919" s="2782" t="str">
        <f>'Part VII-Threshold Criteria'!A68</f>
        <v>The appraisal is not required at competitive review submission.</v>
      </c>
      <c r="B919" s="2782"/>
      <c r="C919" s="2782"/>
      <c r="D919" s="2782"/>
      <c r="E919" s="2782"/>
      <c r="F919" s="2782"/>
      <c r="G919" s="2782"/>
      <c r="H919" s="2782"/>
      <c r="I919" s="2782"/>
      <c r="J919" s="2782"/>
      <c r="K919" s="2782"/>
      <c r="L919" s="2782"/>
      <c r="M919" s="2782"/>
      <c r="N919" s="2782"/>
      <c r="O919" s="2782"/>
      <c r="P919" s="2782"/>
      <c r="Q919" s="2782"/>
    </row>
    <row r="920" spans="1:17" ht="14.4">
      <c r="A920" s="2105"/>
      <c r="B920" s="2787" t="s">
        <v>1730</v>
      </c>
      <c r="C920" s="2788"/>
      <c r="D920" s="2789"/>
      <c r="E920" s="2789"/>
      <c r="F920" s="2789"/>
      <c r="G920" s="2789"/>
      <c r="H920" s="2789"/>
      <c r="I920" s="2789"/>
      <c r="J920" s="2789"/>
      <c r="K920" s="2789"/>
      <c r="L920" s="2789"/>
      <c r="M920" s="2789"/>
      <c r="N920" s="2789"/>
      <c r="O920" s="2789"/>
      <c r="P920" s="2789"/>
      <c r="Q920" s="2789"/>
    </row>
    <row r="921" spans="1:17" ht="13.8">
      <c r="A921" s="2782"/>
      <c r="B921" s="2782"/>
      <c r="C921" s="2782"/>
      <c r="D921" s="2782"/>
      <c r="E921" s="2782"/>
      <c r="F921" s="2782"/>
      <c r="G921" s="2782"/>
      <c r="H921" s="2782"/>
      <c r="I921" s="2782"/>
      <c r="J921" s="2782"/>
      <c r="K921" s="2782"/>
      <c r="L921" s="2782"/>
      <c r="M921" s="2782"/>
      <c r="N921" s="2782"/>
      <c r="O921" s="2782"/>
      <c r="P921" s="2782"/>
      <c r="Q921" s="2782"/>
    </row>
    <row r="922" spans="1:17" ht="13.8">
      <c r="A922" s="2105"/>
      <c r="B922" s="2105"/>
      <c r="C922" s="2105"/>
      <c r="D922" s="2105"/>
      <c r="E922" s="2105"/>
      <c r="F922" s="2105"/>
      <c r="G922" s="2105"/>
      <c r="H922" s="2105"/>
      <c r="I922" s="2105"/>
      <c r="J922" s="2105"/>
      <c r="K922" s="2105"/>
      <c r="L922" s="2105"/>
      <c r="M922" s="2105"/>
      <c r="N922" s="2105"/>
      <c r="O922" s="2105"/>
      <c r="P922" s="2105"/>
      <c r="Q922" s="2105"/>
    </row>
    <row r="923" spans="1:17" ht="13.8">
      <c r="A923" s="2105"/>
      <c r="B923" s="2105"/>
      <c r="C923" s="2105"/>
      <c r="D923" s="2105"/>
      <c r="E923" s="2105"/>
      <c r="F923" s="2105"/>
      <c r="G923" s="2105"/>
      <c r="H923" s="2105"/>
      <c r="I923" s="2105"/>
      <c r="J923" s="2105"/>
      <c r="K923" s="2105"/>
      <c r="L923" s="2105"/>
      <c r="M923" s="2105"/>
      <c r="N923" s="2105"/>
      <c r="O923" s="2105"/>
      <c r="P923" s="2105"/>
      <c r="Q923" s="2105"/>
    </row>
    <row r="924" spans="1:17" ht="13.8">
      <c r="A924" s="2785" t="s">
        <v>720</v>
      </c>
      <c r="B924" s="2785" t="s">
        <v>2424</v>
      </c>
      <c r="C924" s="2106"/>
      <c r="D924" s="2789"/>
      <c r="E924" s="2789"/>
      <c r="F924" s="2789"/>
      <c r="G924" s="2789"/>
      <c r="H924" s="2789"/>
      <c r="I924" s="2789"/>
      <c r="J924" s="2789"/>
      <c r="K924" s="2789"/>
      <c r="L924" s="2789"/>
      <c r="M924" s="2789"/>
      <c r="N924" s="2105"/>
      <c r="O924" s="2786" t="s">
        <v>1731</v>
      </c>
      <c r="P924" s="2781"/>
      <c r="Q924" s="2781"/>
    </row>
    <row r="925" spans="1:17" ht="15" customHeight="1">
      <c r="A925" s="2793"/>
      <c r="B925" s="2782" t="s">
        <v>6784</v>
      </c>
      <c r="C925" s="2782"/>
      <c r="D925" s="2782"/>
      <c r="E925" s="2782"/>
      <c r="F925" s="2782"/>
      <c r="G925" s="2782"/>
      <c r="H925" s="2782"/>
      <c r="I925" s="2782"/>
      <c r="J925" s="2782"/>
      <c r="K925" s="2782"/>
      <c r="L925" s="2798" t="str">
        <f>'Part VII-Threshold Criteria'!L74</f>
        <v>TBD</v>
      </c>
      <c r="M925" s="2798"/>
      <c r="N925" s="2798"/>
      <c r="O925" s="2798"/>
      <c r="P925" s="2798"/>
      <c r="Q925" s="2798"/>
    </row>
    <row r="926" spans="1:17" ht="13.8">
      <c r="A926" s="2105"/>
      <c r="B926" s="2105" t="s">
        <v>6785</v>
      </c>
      <c r="C926" s="2105"/>
      <c r="D926" s="2105"/>
      <c r="E926" s="2105"/>
      <c r="F926" s="2105"/>
      <c r="G926" s="2105"/>
      <c r="H926" s="2105"/>
      <c r="I926" s="2105"/>
      <c r="J926" s="2105"/>
      <c r="K926" s="2105"/>
      <c r="L926" s="2105"/>
      <c r="M926" s="2105"/>
      <c r="N926" s="2105"/>
      <c r="O926" s="2795"/>
      <c r="P926" s="2108">
        <f>'Part VII-Threshold Criteria'!P75</f>
        <v>0</v>
      </c>
      <c r="Q926" s="2108"/>
    </row>
    <row r="927" spans="1:17" ht="13.8">
      <c r="A927" s="2793"/>
      <c r="B927" s="2105" t="s">
        <v>6631</v>
      </c>
      <c r="C927" s="2105"/>
      <c r="D927" s="2782"/>
      <c r="E927" s="2782"/>
      <c r="F927" s="2782"/>
      <c r="G927" s="2782"/>
      <c r="H927" s="2782"/>
      <c r="I927" s="2105"/>
      <c r="J927" s="2105"/>
      <c r="K927" s="2782"/>
      <c r="L927" s="2789"/>
      <c r="M927" s="2105"/>
      <c r="N927" s="2105"/>
      <c r="O927" s="2795"/>
      <c r="P927" s="2108">
        <f>'Part VII-Threshold Criteria'!P76</f>
        <v>0</v>
      </c>
      <c r="Q927" s="2108"/>
    </row>
    <row r="928" spans="1:17" ht="13.8">
      <c r="A928" s="2793"/>
      <c r="B928" s="2105" t="s">
        <v>6786</v>
      </c>
      <c r="C928" s="2105"/>
      <c r="D928" s="2782"/>
      <c r="E928" s="2782"/>
      <c r="F928" s="2782"/>
      <c r="G928" s="2782"/>
      <c r="H928" s="2782"/>
      <c r="I928" s="2105"/>
      <c r="J928" s="2105"/>
      <c r="K928" s="2782"/>
      <c r="L928" s="2789"/>
      <c r="M928" s="2789"/>
      <c r="N928" s="2789"/>
      <c r="O928" s="2795"/>
      <c r="P928" s="2105"/>
      <c r="Q928" s="2105"/>
    </row>
    <row r="929" spans="1:17" ht="13.8">
      <c r="A929" s="2793"/>
      <c r="B929" s="2785"/>
      <c r="C929" s="2105" t="s">
        <v>6787</v>
      </c>
      <c r="D929" s="2105"/>
      <c r="E929" s="2782"/>
      <c r="F929" s="2782"/>
      <c r="G929" s="2782"/>
      <c r="H929" s="2782"/>
      <c r="I929" s="2105"/>
      <c r="J929" s="2105"/>
      <c r="K929" s="2782"/>
      <c r="L929" s="2789"/>
      <c r="M929" s="2789"/>
      <c r="N929" s="2105"/>
      <c r="O929" s="2795"/>
      <c r="P929" s="2108">
        <f>'Part VII-Threshold Criteria'!P78</f>
        <v>0</v>
      </c>
      <c r="Q929" s="2108"/>
    </row>
    <row r="930" spans="1:17" ht="13.8">
      <c r="A930" s="2793"/>
      <c r="B930" s="2785"/>
      <c r="C930" s="2105" t="s">
        <v>6788</v>
      </c>
      <c r="D930" s="2105"/>
      <c r="E930" s="2782"/>
      <c r="F930" s="2782"/>
      <c r="G930" s="2782"/>
      <c r="H930" s="2105"/>
      <c r="I930" s="2105"/>
      <c r="J930" s="2105"/>
      <c r="K930" s="2782"/>
      <c r="L930" s="2789"/>
      <c r="M930" s="2789"/>
      <c r="N930" s="2105"/>
      <c r="O930" s="2795"/>
      <c r="P930" s="2108">
        <f>'Part VII-Threshold Criteria'!P79</f>
        <v>0</v>
      </c>
      <c r="Q930" s="2108"/>
    </row>
    <row r="931" spans="1:17" ht="14.4">
      <c r="A931" s="2799"/>
      <c r="B931" s="2800"/>
      <c r="C931" s="2800"/>
      <c r="D931" s="2783" t="s">
        <v>6789</v>
      </c>
      <c r="E931" s="2801"/>
      <c r="F931" s="2801"/>
      <c r="G931" s="2783"/>
      <c r="H931" s="2783"/>
      <c r="I931" s="2802"/>
      <c r="J931" s="2803"/>
      <c r="K931" s="2784"/>
      <c r="L931" s="2804"/>
      <c r="M931" s="2804"/>
      <c r="N931" s="2803"/>
      <c r="O931" s="2805"/>
      <c r="P931" s="2108">
        <f>'Part VII-Threshold Criteria'!P80</f>
        <v>0</v>
      </c>
      <c r="Q931" s="2806"/>
    </row>
    <row r="932" spans="1:17" ht="13.8">
      <c r="A932" s="2793"/>
      <c r="B932" s="2785"/>
      <c r="C932" s="2105" t="s">
        <v>6790</v>
      </c>
      <c r="D932" s="2105"/>
      <c r="E932" s="2782"/>
      <c r="F932" s="2782"/>
      <c r="G932" s="2782"/>
      <c r="H932" s="2105"/>
      <c r="I932" s="2105"/>
      <c r="J932" s="2105"/>
      <c r="K932" s="2782"/>
      <c r="L932" s="2789"/>
      <c r="M932" s="2789"/>
      <c r="N932" s="2105"/>
      <c r="O932" s="2795"/>
      <c r="P932" s="2108">
        <f>'Part VII-Threshold Criteria'!P81</f>
        <v>0</v>
      </c>
      <c r="Q932" s="2108"/>
    </row>
    <row r="933" spans="1:17" ht="15" customHeight="1">
      <c r="A933" s="2793"/>
      <c r="B933" s="2782" t="s">
        <v>6998</v>
      </c>
      <c r="C933" s="2782"/>
      <c r="D933" s="2782"/>
      <c r="E933" s="2782"/>
      <c r="F933" s="2782"/>
      <c r="G933" s="2782"/>
      <c r="H933" s="2782"/>
      <c r="I933" s="2782"/>
      <c r="J933" s="2782"/>
      <c r="K933" s="2782"/>
      <c r="L933" s="2782"/>
      <c r="M933" s="2782"/>
      <c r="N933" s="2782"/>
      <c r="O933" s="2782"/>
      <c r="P933" s="2782"/>
      <c r="Q933" s="2782"/>
    </row>
    <row r="934" spans="1:17" ht="13.8">
      <c r="A934" s="2105"/>
      <c r="B934" s="2782">
        <f>'Part VII-Threshold Criteria'!B83</f>
        <v>0</v>
      </c>
      <c r="C934" s="2782"/>
      <c r="D934" s="2782"/>
      <c r="E934" s="2782"/>
      <c r="F934" s="2782"/>
      <c r="G934" s="2782"/>
      <c r="H934" s="2782"/>
      <c r="I934" s="2782"/>
      <c r="J934" s="2782"/>
      <c r="K934" s="2782"/>
      <c r="L934" s="2782"/>
      <c r="M934" s="2782"/>
      <c r="N934" s="2782"/>
      <c r="O934" s="2782"/>
      <c r="P934" s="2782"/>
      <c r="Q934" s="2782"/>
    </row>
    <row r="935" spans="1:17" ht="14.4">
      <c r="A935" s="2105"/>
      <c r="B935" s="2790" t="s">
        <v>3240</v>
      </c>
      <c r="C935" s="2105"/>
      <c r="D935" s="2790"/>
      <c r="E935" s="2790"/>
      <c r="F935" s="2790"/>
      <c r="G935" s="2790"/>
      <c r="H935" s="2106"/>
      <c r="I935" s="2107"/>
      <c r="J935" s="2107"/>
      <c r="K935" s="2107"/>
      <c r="L935" s="2108"/>
      <c r="M935" s="2108"/>
      <c r="N935" s="2108"/>
      <c r="O935" s="2108"/>
      <c r="P935" s="2108"/>
      <c r="Q935" s="2108"/>
    </row>
    <row r="936" spans="1:17" ht="151.80000000000001">
      <c r="A936" s="2782" t="str">
        <f>'Part VII-Threshold Criteria'!A85</f>
        <v>The Phase I ESA is not required at competitive review submission.</v>
      </c>
      <c r="B936" s="2782"/>
      <c r="C936" s="2782"/>
      <c r="D936" s="2782"/>
      <c r="E936" s="2782"/>
      <c r="F936" s="2782"/>
      <c r="G936" s="2782"/>
      <c r="H936" s="2782"/>
      <c r="I936" s="2782"/>
      <c r="J936" s="2782"/>
      <c r="K936" s="2782"/>
      <c r="L936" s="2782"/>
      <c r="M936" s="2782"/>
      <c r="N936" s="2782"/>
      <c r="O936" s="2782"/>
      <c r="P936" s="2782"/>
      <c r="Q936" s="2782"/>
    </row>
    <row r="937" spans="1:17" ht="14.4">
      <c r="A937" s="2105"/>
      <c r="B937" s="2787" t="s">
        <v>1730</v>
      </c>
      <c r="C937" s="2788"/>
      <c r="D937" s="2789"/>
      <c r="E937" s="2789"/>
      <c r="F937" s="2789"/>
      <c r="G937" s="2789"/>
      <c r="H937" s="2789"/>
      <c r="I937" s="2789"/>
      <c r="J937" s="2789"/>
      <c r="K937" s="2789"/>
      <c r="L937" s="2789"/>
      <c r="M937" s="2789"/>
      <c r="N937" s="2789"/>
      <c r="O937" s="2789"/>
      <c r="P937" s="2789"/>
      <c r="Q937" s="2789"/>
    </row>
    <row r="938" spans="1:17" ht="13.8">
      <c r="A938" s="2782"/>
      <c r="B938" s="2782"/>
      <c r="C938" s="2782"/>
      <c r="D938" s="2782"/>
      <c r="E938" s="2782"/>
      <c r="F938" s="2782"/>
      <c r="G938" s="2782"/>
      <c r="H938" s="2782"/>
      <c r="I938" s="2782"/>
      <c r="J938" s="2782"/>
      <c r="K938" s="2782"/>
      <c r="L938" s="2782"/>
      <c r="M938" s="2782"/>
      <c r="N938" s="2782"/>
      <c r="O938" s="2782"/>
      <c r="P938" s="2782"/>
      <c r="Q938" s="2782"/>
    </row>
    <row r="939" spans="1:17" ht="13.8">
      <c r="A939" s="2108"/>
      <c r="B939" s="2107"/>
      <c r="C939" s="2789"/>
      <c r="D939" s="2789"/>
      <c r="E939" s="2789"/>
      <c r="F939" s="2789"/>
      <c r="G939" s="2789"/>
      <c r="H939" s="2789"/>
      <c r="I939" s="2789"/>
      <c r="J939" s="2789"/>
      <c r="K939" s="2789"/>
      <c r="L939" s="2789"/>
      <c r="M939" s="2789"/>
      <c r="N939" s="2789"/>
      <c r="O939" s="2789"/>
      <c r="P939" s="2789"/>
      <c r="Q939" s="2108"/>
    </row>
    <row r="940" spans="1:17" ht="13.8">
      <c r="A940" s="2108"/>
      <c r="B940" s="2107"/>
      <c r="C940" s="2789"/>
      <c r="D940" s="2789"/>
      <c r="E940" s="2789"/>
      <c r="F940" s="2789"/>
      <c r="G940" s="2789"/>
      <c r="H940" s="2789"/>
      <c r="I940" s="2789"/>
      <c r="J940" s="2789"/>
      <c r="K940" s="2789"/>
      <c r="L940" s="2789"/>
      <c r="M940" s="2789"/>
      <c r="N940" s="2789"/>
      <c r="O940" s="2789"/>
      <c r="P940" s="2789"/>
      <c r="Q940" s="2108"/>
    </row>
    <row r="941" spans="1:17" ht="13.8">
      <c r="A941" s="2785" t="s">
        <v>280</v>
      </c>
      <c r="B941" s="2785" t="s">
        <v>2425</v>
      </c>
      <c r="C941" s="2785"/>
      <c r="D941" s="2789"/>
      <c r="E941" s="2789"/>
      <c r="F941" s="2789"/>
      <c r="G941" s="2789"/>
      <c r="H941" s="2789"/>
      <c r="I941" s="2789"/>
      <c r="J941" s="2789"/>
      <c r="K941" s="2789"/>
      <c r="L941" s="2105"/>
      <c r="M941" s="2105"/>
      <c r="N941" s="2105"/>
      <c r="O941" s="2786" t="s">
        <v>1731</v>
      </c>
      <c r="P941" s="2781"/>
      <c r="Q941" s="2781"/>
    </row>
    <row r="942" spans="1:17" ht="15" customHeight="1">
      <c r="A942" s="2793"/>
      <c r="B942" s="2105" t="s">
        <v>143</v>
      </c>
      <c r="C942" s="2105"/>
      <c r="D942" s="2105"/>
      <c r="E942" s="2105"/>
      <c r="F942" s="2807" t="str">
        <f>IF(L942="Ground lease/Option","Ground lease/Option:","")</f>
        <v/>
      </c>
      <c r="G942" s="2105"/>
      <c r="H942" s="2808" t="str">
        <f>IF(L942="Ground lease/Option","Annual Pymt:","")</f>
        <v/>
      </c>
      <c r="I942" s="2809" t="str">
        <f>IF(M982="Ground lease/Option",'Part V-Revenues &amp; Expenses'!$K$251,"")</f>
        <v/>
      </c>
      <c r="J942" s="2810" t="str">
        <f>IF(L942="Ground lease/Option","Term (yrs):","")</f>
        <v/>
      </c>
      <c r="K942" s="2811" t="str">
        <f>IF(M982="Ground lease/Option",'Part V-Revenues &amp; Expenses'!$N$251,"")</f>
        <v/>
      </c>
      <c r="L942" s="2812" t="str">
        <f>'Part VII-Threshold Criteria'!L91</f>
        <v>Purchase Contract</v>
      </c>
      <c r="M942" s="2812"/>
      <c r="N942" s="2812"/>
      <c r="O942" s="2781" t="s">
        <v>1646</v>
      </c>
      <c r="P942" s="2781"/>
      <c r="Q942" s="2781"/>
    </row>
    <row r="943" spans="1:17" ht="82.8">
      <c r="A943" s="2793"/>
      <c r="B943" s="2105" t="s">
        <v>636</v>
      </c>
      <c r="C943" s="2105"/>
      <c r="D943" s="2105"/>
      <c r="E943" s="2105"/>
      <c r="F943" s="2105"/>
      <c r="G943" s="2782" t="str">
        <f>'Part VII-Threshold Criteria'!G92</f>
        <v>New Brightwood Lane Apartments of GA, LLC</v>
      </c>
      <c r="H943" s="2782"/>
      <c r="I943" s="2782"/>
      <c r="J943" s="2782"/>
      <c r="K943" s="2782"/>
      <c r="L943" s="2782"/>
      <c r="M943" s="2782"/>
      <c r="N943" s="2782"/>
      <c r="O943" s="2782"/>
      <c r="P943" s="2782"/>
      <c r="Q943" s="2782"/>
    </row>
    <row r="944" spans="1:17" ht="14.4">
      <c r="A944" s="2105"/>
      <c r="B944" s="2790" t="s">
        <v>3240</v>
      </c>
      <c r="C944" s="2105"/>
      <c r="D944" s="2790"/>
      <c r="E944" s="2790"/>
      <c r="F944" s="2790"/>
      <c r="G944" s="2790"/>
      <c r="H944" s="2106"/>
      <c r="I944" s="2107"/>
      <c r="J944" s="2107"/>
      <c r="K944" s="2107"/>
      <c r="L944" s="2108"/>
      <c r="M944" s="2108"/>
      <c r="N944" s="2108"/>
      <c r="O944" s="2108"/>
      <c r="P944" s="2108"/>
      <c r="Q944" s="2108"/>
    </row>
    <row r="945" spans="1:17" ht="409.6">
      <c r="A945" s="2782" t="str">
        <f>'Part VII-Threshold Criteria'!A94</f>
        <v xml:space="preserve">The applicant has entered into a purchase and sale agreement with the current owner through December 31, 2024. Please see contract and warranty deed as verification of seller entity located in tab 8 of the application. </v>
      </c>
      <c r="B945" s="2782"/>
      <c r="C945" s="2782"/>
      <c r="D945" s="2782"/>
      <c r="E945" s="2782"/>
      <c r="F945" s="2782"/>
      <c r="G945" s="2782"/>
      <c r="H945" s="2782"/>
      <c r="I945" s="2782"/>
      <c r="J945" s="2782"/>
      <c r="K945" s="2782"/>
      <c r="L945" s="2782"/>
      <c r="M945" s="2782"/>
      <c r="N945" s="2782"/>
      <c r="O945" s="2782"/>
      <c r="P945" s="2782"/>
      <c r="Q945" s="2782"/>
    </row>
    <row r="946" spans="1:17" ht="14.4">
      <c r="A946" s="2105"/>
      <c r="B946" s="2787" t="s">
        <v>1730</v>
      </c>
      <c r="C946" s="2788"/>
      <c r="D946" s="2789"/>
      <c r="E946" s="2789"/>
      <c r="F946" s="2789"/>
      <c r="G946" s="2789"/>
      <c r="H946" s="2789"/>
      <c r="I946" s="2789"/>
      <c r="J946" s="2789"/>
      <c r="K946" s="2789"/>
      <c r="L946" s="2789"/>
      <c r="M946" s="2789"/>
      <c r="N946" s="2789"/>
      <c r="O946" s="2789"/>
      <c r="P946" s="2789"/>
      <c r="Q946" s="2789"/>
    </row>
    <row r="947" spans="1:17" ht="13.8">
      <c r="A947" s="2782"/>
      <c r="B947" s="2782"/>
      <c r="C947" s="2782"/>
      <c r="D947" s="2782"/>
      <c r="E947" s="2782"/>
      <c r="F947" s="2782"/>
      <c r="G947" s="2782"/>
      <c r="H947" s="2782"/>
      <c r="I947" s="2782"/>
      <c r="J947" s="2782"/>
      <c r="K947" s="2782"/>
      <c r="L947" s="2782"/>
      <c r="M947" s="2782"/>
      <c r="N947" s="2782"/>
      <c r="O947" s="2782"/>
      <c r="P947" s="2782"/>
      <c r="Q947" s="2782"/>
    </row>
    <row r="948" spans="1:17" ht="13.8">
      <c r="A948" s="2108"/>
      <c r="B948" s="2107"/>
      <c r="C948" s="2789"/>
      <c r="D948" s="2789"/>
      <c r="E948" s="2789"/>
      <c r="F948" s="2789"/>
      <c r="G948" s="2789"/>
      <c r="H948" s="2789"/>
      <c r="I948" s="2789"/>
      <c r="J948" s="2789"/>
      <c r="K948" s="2789"/>
      <c r="L948" s="2789"/>
      <c r="M948" s="2789"/>
      <c r="N948" s="2105"/>
      <c r="O948" s="2105"/>
      <c r="P948" s="2105"/>
      <c r="Q948" s="2108"/>
    </row>
    <row r="949" spans="1:17" ht="13.8">
      <c r="A949" s="2108"/>
      <c r="B949" s="2107"/>
      <c r="C949" s="2789"/>
      <c r="D949" s="2789"/>
      <c r="E949" s="2789"/>
      <c r="F949" s="2789"/>
      <c r="G949" s="2789"/>
      <c r="H949" s="2789"/>
      <c r="I949" s="2789"/>
      <c r="J949" s="2789"/>
      <c r="K949" s="2789"/>
      <c r="L949" s="2789"/>
      <c r="M949" s="2789"/>
      <c r="N949" s="2105"/>
      <c r="O949" s="2105"/>
      <c r="P949" s="2105"/>
      <c r="Q949" s="2108"/>
    </row>
    <row r="950" spans="1:17" ht="13.8">
      <c r="A950" s="2785" t="s">
        <v>401</v>
      </c>
      <c r="B950" s="2785" t="s">
        <v>2426</v>
      </c>
      <c r="C950" s="2785"/>
      <c r="D950" s="2789"/>
      <c r="E950" s="2789"/>
      <c r="F950" s="2789"/>
      <c r="G950" s="2789"/>
      <c r="H950" s="2789"/>
      <c r="I950" s="2789"/>
      <c r="J950" s="2789"/>
      <c r="K950" s="2789"/>
      <c r="L950" s="2789"/>
      <c r="M950" s="2789"/>
      <c r="N950" s="2105"/>
      <c r="O950" s="2786" t="s">
        <v>1731</v>
      </c>
      <c r="P950" s="2781"/>
      <c r="Q950" s="2781"/>
    </row>
    <row r="951" spans="1:17" ht="14.4">
      <c r="A951" s="2105"/>
      <c r="B951" s="2790" t="s">
        <v>3240</v>
      </c>
      <c r="C951" s="2105"/>
      <c r="D951" s="2790"/>
      <c r="E951" s="2790"/>
      <c r="F951" s="2790"/>
      <c r="G951" s="2790"/>
      <c r="H951" s="2106"/>
      <c r="I951" s="2107"/>
      <c r="J951" s="2107"/>
      <c r="K951" s="2107"/>
      <c r="L951" s="2108"/>
      <c r="M951" s="2108"/>
      <c r="N951" s="2108"/>
      <c r="O951" s="2108"/>
      <c r="P951" s="2108"/>
      <c r="Q951" s="2108"/>
    </row>
    <row r="952" spans="1:17" ht="400.2">
      <c r="A952" s="2782" t="str">
        <f>'Part VII-Threshold Criteria'!A101</f>
        <v>The site has direct access to Andrew Drive, a public road. An aerial photograph showing site access is included on page 2 of the CSDP. A topographic survey will be provided at full application.</v>
      </c>
      <c r="B952" s="2782"/>
      <c r="C952" s="2782"/>
      <c r="D952" s="2782"/>
      <c r="E952" s="2782"/>
      <c r="F952" s="2782"/>
      <c r="G952" s="2782"/>
      <c r="H952" s="2782"/>
      <c r="I952" s="2782"/>
      <c r="J952" s="2782"/>
      <c r="K952" s="2782"/>
      <c r="L952" s="2782"/>
      <c r="M952" s="2782"/>
      <c r="N952" s="2782"/>
      <c r="O952" s="2782"/>
      <c r="P952" s="2782"/>
      <c r="Q952" s="2782"/>
    </row>
    <row r="953" spans="1:17" ht="14.4">
      <c r="A953" s="2105"/>
      <c r="B953" s="2787" t="s">
        <v>1730</v>
      </c>
      <c r="C953" s="2788"/>
      <c r="D953" s="2789"/>
      <c r="E953" s="2789"/>
      <c r="F953" s="2789"/>
      <c r="G953" s="2789"/>
      <c r="H953" s="2789"/>
      <c r="I953" s="2789"/>
      <c r="J953" s="2789"/>
      <c r="K953" s="2789"/>
      <c r="L953" s="2789"/>
      <c r="M953" s="2789"/>
      <c r="N953" s="2789"/>
      <c r="O953" s="2789"/>
      <c r="P953" s="2789"/>
      <c r="Q953" s="2789"/>
    </row>
    <row r="954" spans="1:17" ht="13.8">
      <c r="A954" s="2782"/>
      <c r="B954" s="2782"/>
      <c r="C954" s="2782"/>
      <c r="D954" s="2782"/>
      <c r="E954" s="2782"/>
      <c r="F954" s="2782"/>
      <c r="G954" s="2782"/>
      <c r="H954" s="2782"/>
      <c r="I954" s="2782"/>
      <c r="J954" s="2782"/>
      <c r="K954" s="2782"/>
      <c r="L954" s="2782"/>
      <c r="M954" s="2782"/>
      <c r="N954" s="2782"/>
      <c r="O954" s="2782"/>
      <c r="P954" s="2782"/>
      <c r="Q954" s="2782"/>
    </row>
    <row r="955" spans="1:17" ht="13.8">
      <c r="A955" s="2105"/>
      <c r="B955" s="2107"/>
      <c r="C955" s="2789"/>
      <c r="D955" s="2789"/>
      <c r="E955" s="2789"/>
      <c r="F955" s="2789"/>
      <c r="G955" s="2789"/>
      <c r="H955" s="2789"/>
      <c r="I955" s="2789"/>
      <c r="J955" s="2789"/>
      <c r="K955" s="2789"/>
      <c r="L955" s="2789"/>
      <c r="M955" s="2789"/>
      <c r="N955" s="2789"/>
      <c r="O955" s="2789"/>
      <c r="P955" s="2789"/>
      <c r="Q955" s="2108"/>
    </row>
    <row r="956" spans="1:17" ht="13.8">
      <c r="A956" s="2105"/>
      <c r="B956" s="2107"/>
      <c r="C956" s="2789"/>
      <c r="D956" s="2789"/>
      <c r="E956" s="2789"/>
      <c r="F956" s="2789"/>
      <c r="G956" s="2789"/>
      <c r="H956" s="2789"/>
      <c r="I956" s="2789"/>
      <c r="J956" s="2789"/>
      <c r="K956" s="2789"/>
      <c r="L956" s="2789"/>
      <c r="M956" s="2789"/>
      <c r="N956" s="2789"/>
      <c r="O956" s="2789"/>
      <c r="P956" s="2789"/>
      <c r="Q956" s="2108"/>
    </row>
    <row r="957" spans="1:17" ht="13.8">
      <c r="A957" s="2785" t="s">
        <v>342</v>
      </c>
      <c r="B957" s="2781" t="s">
        <v>2427</v>
      </c>
      <c r="C957" s="2781"/>
      <c r="D957" s="2781"/>
      <c r="E957" s="2105"/>
      <c r="F957" s="2105"/>
      <c r="G957" s="2105"/>
      <c r="H957" s="2105"/>
      <c r="I957" s="2105"/>
      <c r="J957" s="2105"/>
      <c r="K957" s="2105"/>
      <c r="L957" s="2105"/>
      <c r="M957" s="2105"/>
      <c r="N957" s="2105"/>
      <c r="O957" s="2786" t="s">
        <v>1731</v>
      </c>
      <c r="P957" s="2781"/>
      <c r="Q957" s="2781"/>
    </row>
    <row r="958" spans="1:17" ht="14.4">
      <c r="A958" s="2105"/>
      <c r="B958" s="2790" t="s">
        <v>3240</v>
      </c>
      <c r="C958" s="2105"/>
      <c r="D958" s="2790"/>
      <c r="E958" s="2790"/>
      <c r="F958" s="2790"/>
      <c r="G958" s="2790"/>
      <c r="H958" s="2106"/>
      <c r="I958" s="2107"/>
      <c r="J958" s="2107"/>
      <c r="K958" s="2107"/>
      <c r="L958" s="2108"/>
      <c r="M958" s="2108"/>
      <c r="N958" s="2108"/>
      <c r="O958" s="2108"/>
      <c r="P958" s="2108"/>
      <c r="Q958" s="2108"/>
    </row>
    <row r="959" spans="1:17" ht="165.6">
      <c r="A959" s="2782" t="str">
        <f>'Part VII-Threshold Criteria'!A108</f>
        <v>The proposed rehabilitation application is exempt from site zoning requirements.</v>
      </c>
      <c r="B959" s="2782"/>
      <c r="C959" s="2782"/>
      <c r="D959" s="2782"/>
      <c r="E959" s="2782"/>
      <c r="F959" s="2782"/>
      <c r="G959" s="2782"/>
      <c r="H959" s="2782"/>
      <c r="I959" s="2782"/>
      <c r="J959" s="2782"/>
      <c r="K959" s="2782"/>
      <c r="L959" s="2782"/>
      <c r="M959" s="2782"/>
      <c r="N959" s="2782"/>
      <c r="O959" s="2782"/>
      <c r="P959" s="2782"/>
      <c r="Q959" s="2782"/>
    </row>
    <row r="960" spans="1:17" ht="14.4">
      <c r="A960" s="2105"/>
      <c r="B960" s="2787" t="s">
        <v>1730</v>
      </c>
      <c r="C960" s="2788"/>
      <c r="D960" s="2789"/>
      <c r="E960" s="2789"/>
      <c r="F960" s="2789"/>
      <c r="G960" s="2789"/>
      <c r="H960" s="2789"/>
      <c r="I960" s="2789"/>
      <c r="J960" s="2789"/>
      <c r="K960" s="2789"/>
      <c r="L960" s="2789"/>
      <c r="M960" s="2789"/>
      <c r="N960" s="2789"/>
      <c r="O960" s="2789"/>
      <c r="P960" s="2789"/>
      <c r="Q960" s="2789"/>
    </row>
    <row r="961" spans="1:17" ht="13.8">
      <c r="A961" s="2782"/>
      <c r="B961" s="2782"/>
      <c r="C961" s="2782"/>
      <c r="D961" s="2782"/>
      <c r="E961" s="2782"/>
      <c r="F961" s="2782"/>
      <c r="G961" s="2782"/>
      <c r="H961" s="2782"/>
      <c r="I961" s="2782"/>
      <c r="J961" s="2782"/>
      <c r="K961" s="2782"/>
      <c r="L961" s="2782"/>
      <c r="M961" s="2782"/>
      <c r="N961" s="2782"/>
      <c r="O961" s="2782"/>
      <c r="P961" s="2782"/>
      <c r="Q961" s="2782"/>
    </row>
    <row r="962" spans="1:17" ht="13.8">
      <c r="A962" s="2108"/>
      <c r="B962" s="2107"/>
      <c r="C962" s="2789"/>
      <c r="D962" s="2789"/>
      <c r="E962" s="2789"/>
      <c r="F962" s="2789"/>
      <c r="G962" s="2789"/>
      <c r="H962" s="2789"/>
      <c r="I962" s="2789"/>
      <c r="J962" s="2789"/>
      <c r="K962" s="2789"/>
      <c r="L962" s="2789"/>
      <c r="M962" s="2789"/>
      <c r="N962" s="2789"/>
      <c r="O962" s="2789"/>
      <c r="P962" s="2789"/>
      <c r="Q962" s="2108"/>
    </row>
    <row r="963" spans="1:17" ht="13.8">
      <c r="A963" s="2108"/>
      <c r="B963" s="2107"/>
      <c r="C963" s="2789"/>
      <c r="D963" s="2789"/>
      <c r="E963" s="2789"/>
      <c r="F963" s="2789"/>
      <c r="G963" s="2789"/>
      <c r="H963" s="2789"/>
      <c r="I963" s="2789"/>
      <c r="J963" s="2789"/>
      <c r="K963" s="2789"/>
      <c r="L963" s="2789"/>
      <c r="M963" s="2789"/>
      <c r="N963" s="2789"/>
      <c r="O963" s="2789"/>
      <c r="P963" s="2789"/>
      <c r="Q963" s="2108"/>
    </row>
    <row r="964" spans="1:17" ht="13.8">
      <c r="A964" s="2785" t="s">
        <v>343</v>
      </c>
      <c r="B964" s="2785" t="s">
        <v>2428</v>
      </c>
      <c r="C964" s="2785"/>
      <c r="D964" s="2789"/>
      <c r="E964" s="2789"/>
      <c r="F964" s="2105"/>
      <c r="G964" s="2789"/>
      <c r="H964" s="2105"/>
      <c r="I964" s="2105"/>
      <c r="J964" s="2782"/>
      <c r="K964" s="2782"/>
      <c r="L964" s="2782"/>
      <c r="M964" s="2782"/>
      <c r="N964" s="2105"/>
      <c r="O964" s="2786" t="s">
        <v>1731</v>
      </c>
      <c r="P964" s="2781"/>
      <c r="Q964" s="2781"/>
    </row>
    <row r="965" spans="1:17" ht="13.8">
      <c r="A965" s="2793"/>
      <c r="B965" s="2105" t="s">
        <v>6792</v>
      </c>
      <c r="C965" s="2105"/>
      <c r="D965" s="2105"/>
      <c r="E965" s="2105"/>
      <c r="F965" s="2105"/>
      <c r="G965" s="2105"/>
      <c r="H965" s="2105" t="s">
        <v>6793</v>
      </c>
      <c r="I965" s="2105"/>
      <c r="J965" s="2781" t="str">
        <f>'Part VII-Threshold Criteria'!J114</f>
        <v>N/A</v>
      </c>
      <c r="K965" s="2781"/>
      <c r="L965" s="2781"/>
      <c r="M965" s="2781"/>
      <c r="N965" s="2781"/>
      <c r="O965" s="2781"/>
      <c r="P965" s="2781"/>
      <c r="Q965" s="2781"/>
    </row>
    <row r="966" spans="1:17" ht="13.8">
      <c r="A966" s="2793"/>
      <c r="B966" s="2793"/>
      <c r="C966" s="2105"/>
      <c r="D966" s="2105"/>
      <c r="E966" s="2105"/>
      <c r="F966" s="2105"/>
      <c r="G966" s="2105"/>
      <c r="H966" s="2105" t="s">
        <v>6794</v>
      </c>
      <c r="I966" s="2105"/>
      <c r="J966" s="2781" t="str">
        <f>'Part VII-Threshold Criteria'!J115</f>
        <v>City of Washington</v>
      </c>
      <c r="K966" s="2781"/>
      <c r="L966" s="2781"/>
      <c r="M966" s="2781"/>
      <c r="N966" s="2781"/>
      <c r="O966" s="2781"/>
      <c r="P966" s="2781"/>
      <c r="Q966" s="2781"/>
    </row>
    <row r="967" spans="1:17" ht="14.4">
      <c r="A967" s="2793"/>
      <c r="B967" s="2790" t="s">
        <v>3240</v>
      </c>
      <c r="C967" s="2782"/>
      <c r="D967" s="2782"/>
      <c r="E967" s="2782"/>
      <c r="F967" s="2782"/>
      <c r="G967" s="2105"/>
      <c r="H967" s="2105"/>
      <c r="I967" s="2105"/>
      <c r="J967" s="2105"/>
      <c r="K967" s="2105"/>
      <c r="L967" s="2105"/>
      <c r="M967" s="2105"/>
      <c r="N967" s="2105"/>
      <c r="O967" s="2105"/>
      <c r="P967" s="2105"/>
      <c r="Q967" s="2105"/>
    </row>
    <row r="968" spans="1:17" ht="220.8">
      <c r="A968" s="2782" t="str">
        <f>'Part VII-Threshold Criteria'!A117</f>
        <v>The proposed rehabilitation application is exempt from providing verification of existing utility services.</v>
      </c>
      <c r="B968" s="2782"/>
      <c r="C968" s="2782"/>
      <c r="D968" s="2782"/>
      <c r="E968" s="2782"/>
      <c r="F968" s="2782"/>
      <c r="G968" s="2782"/>
      <c r="H968" s="2782"/>
      <c r="I968" s="2782"/>
      <c r="J968" s="2782"/>
      <c r="K968" s="2782"/>
      <c r="L968" s="2782"/>
      <c r="M968" s="2782"/>
      <c r="N968" s="2782"/>
      <c r="O968" s="2782"/>
      <c r="P968" s="2782"/>
      <c r="Q968" s="2782"/>
    </row>
    <row r="969" spans="1:17" ht="14.4">
      <c r="A969" s="2105"/>
      <c r="B969" s="2787" t="s">
        <v>1730</v>
      </c>
      <c r="C969" s="2788"/>
      <c r="D969" s="2789"/>
      <c r="E969" s="2789"/>
      <c r="F969" s="2789"/>
      <c r="G969" s="2789"/>
      <c r="H969" s="2789"/>
      <c r="I969" s="2789"/>
      <c r="J969" s="2789"/>
      <c r="K969" s="2789"/>
      <c r="L969" s="2789"/>
      <c r="M969" s="2789"/>
      <c r="N969" s="2789"/>
      <c r="O969" s="2789"/>
      <c r="P969" s="2789"/>
      <c r="Q969" s="2789"/>
    </row>
    <row r="970" spans="1:17" ht="13.8">
      <c r="A970" s="2782"/>
      <c r="B970" s="2782"/>
      <c r="C970" s="2782"/>
      <c r="D970" s="2782"/>
      <c r="E970" s="2782"/>
      <c r="F970" s="2782"/>
      <c r="G970" s="2782"/>
      <c r="H970" s="2782"/>
      <c r="I970" s="2782"/>
      <c r="J970" s="2782"/>
      <c r="K970" s="2782"/>
      <c r="L970" s="2782"/>
      <c r="M970" s="2782"/>
      <c r="N970" s="2782"/>
      <c r="O970" s="2782"/>
      <c r="P970" s="2782"/>
      <c r="Q970" s="2782"/>
    </row>
    <row r="971" spans="1:17" ht="13.8">
      <c r="A971" s="2105"/>
      <c r="B971" s="2107"/>
      <c r="C971" s="2789"/>
      <c r="D971" s="2789"/>
      <c r="E971" s="2789"/>
      <c r="F971" s="2789"/>
      <c r="G971" s="2789"/>
      <c r="H971" s="2789"/>
      <c r="I971" s="2789"/>
      <c r="J971" s="2789"/>
      <c r="K971" s="2789"/>
      <c r="L971" s="2789"/>
      <c r="M971" s="2789"/>
      <c r="N971" s="2105"/>
      <c r="O971" s="2105"/>
      <c r="P971" s="2105"/>
      <c r="Q971" s="2108"/>
    </row>
    <row r="972" spans="1:17" ht="13.8">
      <c r="A972" s="2105"/>
      <c r="B972" s="2107"/>
      <c r="C972" s="2789"/>
      <c r="D972" s="2789"/>
      <c r="E972" s="2789"/>
      <c r="F972" s="2789"/>
      <c r="G972" s="2789"/>
      <c r="H972" s="2789"/>
      <c r="I972" s="2789"/>
      <c r="J972" s="2789"/>
      <c r="K972" s="2789"/>
      <c r="L972" s="2789"/>
      <c r="M972" s="2789"/>
      <c r="N972" s="2105"/>
      <c r="O972" s="2105"/>
      <c r="P972" s="2105"/>
      <c r="Q972" s="2108"/>
    </row>
    <row r="973" spans="1:17" ht="13.8">
      <c r="A973" s="2785" t="s">
        <v>344</v>
      </c>
      <c r="B973" s="2781" t="s">
        <v>6795</v>
      </c>
      <c r="C973" s="2781"/>
      <c r="D973" s="2781"/>
      <c r="E973" s="2781"/>
      <c r="F973" s="2781"/>
      <c r="G973" s="2789"/>
      <c r="H973" s="2789"/>
      <c r="I973" s="2105"/>
      <c r="J973" s="2789"/>
      <c r="K973" s="2789"/>
      <c r="L973" s="2789"/>
      <c r="M973" s="2789"/>
      <c r="N973" s="2105"/>
      <c r="O973" s="2786" t="s">
        <v>1731</v>
      </c>
      <c r="P973" s="2781"/>
      <c r="Q973" s="2781"/>
    </row>
    <row r="974" spans="1:17" ht="13.8">
      <c r="A974" s="2793"/>
      <c r="B974" s="2105" t="s">
        <v>6796</v>
      </c>
      <c r="C974" s="2105"/>
      <c r="D974" s="2105"/>
      <c r="E974" s="2105"/>
      <c r="F974" s="2105"/>
      <c r="G974" s="2105"/>
      <c r="H974" s="2105" t="s">
        <v>6797</v>
      </c>
      <c r="I974" s="2105"/>
      <c r="J974" s="2781" t="str">
        <f>'Part VII-Threshold Criteria'!J123</f>
        <v>City of Washington</v>
      </c>
      <c r="K974" s="2781"/>
      <c r="L974" s="2781"/>
      <c r="M974" s="2781"/>
      <c r="N974" s="2781"/>
      <c r="O974" s="2781"/>
      <c r="P974" s="2781"/>
      <c r="Q974" s="2781"/>
    </row>
    <row r="975" spans="1:17" ht="13.8">
      <c r="A975" s="2782"/>
      <c r="B975" s="2793"/>
      <c r="C975" s="2105"/>
      <c r="D975" s="2105"/>
      <c r="E975" s="2105"/>
      <c r="F975" s="2105"/>
      <c r="G975" s="2105"/>
      <c r="H975" s="2105" t="s">
        <v>6798</v>
      </c>
      <c r="I975" s="2105"/>
      <c r="J975" s="2781" t="str">
        <f>'Part VII-Threshold Criteria'!J124</f>
        <v>City of Washington</v>
      </c>
      <c r="K975" s="2781"/>
      <c r="L975" s="2781"/>
      <c r="M975" s="2781"/>
      <c r="N975" s="2781"/>
      <c r="O975" s="2781"/>
      <c r="P975" s="2781"/>
      <c r="Q975" s="2781"/>
    </row>
    <row r="976" spans="1:17" ht="14.4">
      <c r="A976" s="2105"/>
      <c r="B976" s="2790" t="s">
        <v>3240</v>
      </c>
      <c r="C976" s="2105"/>
      <c r="D976" s="2787"/>
      <c r="E976" s="2787"/>
      <c r="F976" s="2787"/>
      <c r="G976" s="2787"/>
      <c r="H976" s="2105"/>
      <c r="I976" s="2105"/>
      <c r="J976" s="2105"/>
      <c r="K976" s="2105"/>
      <c r="L976" s="2781"/>
      <c r="M976" s="2781"/>
      <c r="N976" s="2781"/>
      <c r="O976" s="2781"/>
      <c r="P976" s="2781"/>
      <c r="Q976" s="2781"/>
    </row>
    <row r="977" spans="1:17" ht="234.6">
      <c r="A977" s="2782" t="str">
        <f>'Part VII-Threshold Criteria'!A126</f>
        <v>The proposed rehabilitation application is exempt from providing verification of public water/sanitary sewer</v>
      </c>
      <c r="B977" s="2782"/>
      <c r="C977" s="2782"/>
      <c r="D977" s="2782"/>
      <c r="E977" s="2782"/>
      <c r="F977" s="2782"/>
      <c r="G977" s="2782"/>
      <c r="H977" s="2782"/>
      <c r="I977" s="2782"/>
      <c r="J977" s="2782"/>
      <c r="K977" s="2782"/>
      <c r="L977" s="2782"/>
      <c r="M977" s="2782"/>
      <c r="N977" s="2782"/>
      <c r="O977" s="2782"/>
      <c r="P977" s="2782"/>
      <c r="Q977" s="2782"/>
    </row>
    <row r="978" spans="1:17" ht="14.4">
      <c r="A978" s="2105"/>
      <c r="B978" s="2787" t="s">
        <v>1730</v>
      </c>
      <c r="C978" s="2788"/>
      <c r="D978" s="2789"/>
      <c r="E978" s="2789"/>
      <c r="F978" s="2789"/>
      <c r="G978" s="2789"/>
      <c r="H978" s="2789"/>
      <c r="I978" s="2789"/>
      <c r="J978" s="2789"/>
      <c r="K978" s="2789"/>
      <c r="L978" s="2789"/>
      <c r="M978" s="2789"/>
      <c r="N978" s="2789"/>
      <c r="O978" s="2789"/>
      <c r="P978" s="2789"/>
      <c r="Q978" s="2789"/>
    </row>
    <row r="979" spans="1:17" ht="13.8">
      <c r="A979" s="2782"/>
      <c r="B979" s="2782"/>
      <c r="C979" s="2782"/>
      <c r="D979" s="2782"/>
      <c r="E979" s="2782"/>
      <c r="F979" s="2782"/>
      <c r="G979" s="2782"/>
      <c r="H979" s="2782"/>
      <c r="I979" s="2782"/>
      <c r="J979" s="2782"/>
      <c r="K979" s="2782"/>
      <c r="L979" s="2782"/>
      <c r="M979" s="2782"/>
      <c r="N979" s="2782"/>
      <c r="O979" s="2782"/>
      <c r="P979" s="2782"/>
      <c r="Q979" s="2782"/>
    </row>
    <row r="980" spans="1:17" ht="13.8">
      <c r="A980" s="2108"/>
      <c r="B980" s="2107"/>
      <c r="C980" s="2789"/>
      <c r="D980" s="2789"/>
      <c r="E980" s="2789"/>
      <c r="F980" s="2789"/>
      <c r="G980" s="2789"/>
      <c r="H980" s="2789"/>
      <c r="I980" s="2789"/>
      <c r="J980" s="2789"/>
      <c r="K980" s="2789"/>
      <c r="L980" s="2789"/>
      <c r="M980" s="2789"/>
      <c r="N980" s="2105"/>
      <c r="O980" s="2105"/>
      <c r="P980" s="2105"/>
      <c r="Q980" s="2108"/>
    </row>
    <row r="981" spans="1:17" ht="13.8">
      <c r="A981" s="2108"/>
      <c r="B981" s="2107"/>
      <c r="C981" s="2789"/>
      <c r="D981" s="2789"/>
      <c r="E981" s="2789"/>
      <c r="F981" s="2789"/>
      <c r="G981" s="2789"/>
      <c r="H981" s="2789"/>
      <c r="I981" s="2789"/>
      <c r="J981" s="2789"/>
      <c r="K981" s="2789"/>
      <c r="L981" s="2789"/>
      <c r="M981" s="2789"/>
      <c r="N981" s="2105"/>
      <c r="O981" s="2105"/>
      <c r="P981" s="2105"/>
      <c r="Q981" s="2108"/>
    </row>
    <row r="982" spans="1:17" ht="13.8">
      <c r="A982" s="2785" t="s">
        <v>1604</v>
      </c>
      <c r="B982" s="2785" t="s">
        <v>2430</v>
      </c>
      <c r="C982" s="2785"/>
      <c r="D982" s="2789"/>
      <c r="E982" s="2789"/>
      <c r="F982" s="2789"/>
      <c r="G982" s="2789"/>
      <c r="H982" s="2789"/>
      <c r="I982" s="2789"/>
      <c r="J982" s="2789"/>
      <c r="K982" s="2789"/>
      <c r="L982" s="2789"/>
      <c r="M982" s="2789"/>
      <c r="N982" s="2105"/>
      <c r="O982" s="2786" t="s">
        <v>1731</v>
      </c>
      <c r="P982" s="2781"/>
      <c r="Q982" s="2781"/>
    </row>
    <row r="983" spans="1:17" ht="15" customHeight="1">
      <c r="A983" s="2105"/>
      <c r="B983" s="2782" t="s">
        <v>6999</v>
      </c>
      <c r="C983" s="2782"/>
      <c r="D983" s="2782"/>
      <c r="E983" s="2782"/>
      <c r="F983" s="2782"/>
      <c r="G983" s="2782"/>
      <c r="H983" s="2782"/>
      <c r="I983" s="2782"/>
      <c r="J983" s="2782"/>
      <c r="K983" s="2782"/>
      <c r="L983" s="2782"/>
      <c r="M983" s="2782"/>
      <c r="N983" s="2782"/>
      <c r="O983" s="2782"/>
      <c r="P983" s="2781" t="str">
        <f>'Part VII-Threshold Criteria'!P132</f>
        <v>Yes</v>
      </c>
      <c r="Q983" s="2781"/>
    </row>
    <row r="984" spans="1:17" ht="14.4">
      <c r="A984" s="2793" t="s">
        <v>1841</v>
      </c>
      <c r="B984" s="2105" t="s">
        <v>7000</v>
      </c>
      <c r="C984" s="2105"/>
      <c r="D984" s="2105"/>
      <c r="E984" s="2105"/>
      <c r="F984" s="2105"/>
      <c r="G984" s="2105"/>
      <c r="H984" s="2105"/>
      <c r="I984" s="2105"/>
      <c r="J984" s="2105"/>
      <c r="K984" s="2105"/>
      <c r="L984" s="2105"/>
      <c r="M984" s="2105"/>
      <c r="N984" s="2105"/>
      <c r="O984" s="2795"/>
      <c r="P984" s="2105"/>
      <c r="Q984" s="2105"/>
    </row>
    <row r="985" spans="1:17" ht="13.8">
      <c r="A985" s="2793"/>
      <c r="B985" s="2106"/>
      <c r="C985" s="2105" t="s">
        <v>1792</v>
      </c>
      <c r="D985" s="2105"/>
      <c r="E985" s="2105"/>
      <c r="F985" s="2105"/>
      <c r="G985" s="2105"/>
      <c r="H985" s="2105"/>
      <c r="I985" s="2105"/>
      <c r="J985" s="2795"/>
      <c r="K985" s="2105"/>
      <c r="L985" s="2105"/>
      <c r="M985" s="2781" t="str">
        <f>'Part VII-Threshold Criteria'!M134</f>
        <v>Building</v>
      </c>
      <c r="N985" s="2781"/>
      <c r="O985" s="2781"/>
      <c r="P985" s="2781"/>
      <c r="Q985" s="2781"/>
    </row>
    <row r="986" spans="1:17" ht="13.8">
      <c r="A986" s="2793"/>
      <c r="B986" s="2106"/>
      <c r="C986" s="2106" t="s">
        <v>6718</v>
      </c>
      <c r="D986" s="2105"/>
      <c r="E986" s="2106"/>
      <c r="F986" s="2106"/>
      <c r="G986" s="2106"/>
      <c r="H986" s="2106"/>
      <c r="I986" s="2105"/>
      <c r="J986" s="2795"/>
      <c r="K986" s="2105"/>
      <c r="L986" s="2105"/>
      <c r="M986" s="2781" t="str">
        <f>'Part VII-Threshold Criteria'!M135</f>
        <v>Gazebo</v>
      </c>
      <c r="N986" s="2781"/>
      <c r="O986" s="2781"/>
      <c r="P986" s="2781"/>
      <c r="Q986" s="2781"/>
    </row>
    <row r="987" spans="1:17" ht="15" customHeight="1">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3.8">
      <c r="A988" s="2793"/>
      <c r="B988" s="2106"/>
      <c r="C988" s="2106" t="s">
        <v>3786</v>
      </c>
      <c r="D988" s="2105"/>
      <c r="E988" s="2106"/>
      <c r="F988" s="2106"/>
      <c r="G988" s="2106"/>
      <c r="H988" s="2106"/>
      <c r="I988" s="2105"/>
      <c r="J988" s="2795"/>
      <c r="K988" s="2105"/>
      <c r="L988" s="2105"/>
      <c r="M988" s="2781" t="str">
        <f>'Part VII-Threshold Criteria'!M137</f>
        <v>On-site laundry</v>
      </c>
      <c r="N988" s="2781"/>
      <c r="O988" s="2781"/>
      <c r="P988" s="2781"/>
      <c r="Q988" s="2781"/>
    </row>
    <row r="989" spans="1:17" ht="15" customHeight="1">
      <c r="A989" s="2793" t="s">
        <v>1843</v>
      </c>
      <c r="B989" s="2782" t="s">
        <v>7001</v>
      </c>
      <c r="C989" s="2782"/>
      <c r="D989" s="2782"/>
      <c r="E989" s="2782"/>
      <c r="F989" s="2782"/>
      <c r="G989" s="2782"/>
      <c r="H989" s="2782"/>
      <c r="I989" s="2782"/>
      <c r="J989" s="2782"/>
      <c r="K989" s="2782"/>
      <c r="L989" s="2782"/>
      <c r="M989" s="2782"/>
      <c r="N989" s="2782"/>
      <c r="O989" s="2795"/>
      <c r="P989" s="2108"/>
      <c r="Q989" s="2108"/>
    </row>
    <row r="990" spans="1:17" ht="15" customHeight="1">
      <c r="A990" s="2799"/>
      <c r="B990" s="2789"/>
      <c r="C990" s="2782" t="s">
        <v>7002</v>
      </c>
      <c r="D990" s="2782"/>
      <c r="E990" s="2782"/>
      <c r="F990" s="2782"/>
      <c r="G990" s="2782"/>
      <c r="H990" s="2782"/>
      <c r="I990" s="2782"/>
      <c r="J990" s="2782"/>
      <c r="K990" s="2782"/>
      <c r="L990" s="2782"/>
      <c r="M990" s="2782"/>
      <c r="N990" s="2782"/>
      <c r="O990" s="2782"/>
      <c r="P990" s="2108"/>
      <c r="Q990" s="2108"/>
    </row>
    <row r="991" spans="1:17" ht="15" customHeight="1">
      <c r="A991" s="2108"/>
      <c r="B991" s="2805" t="s">
        <v>1614</v>
      </c>
      <c r="C991" s="2784" t="str">
        <f>'Part VII-Threshold Criteria'!C140</f>
        <v xml:space="preserve">Equipped Computer Center and WiFi </v>
      </c>
      <c r="D991" s="2784"/>
      <c r="E991" s="2784"/>
      <c r="F991" s="2784"/>
      <c r="G991" s="2784"/>
      <c r="H991" s="2784"/>
      <c r="I991" s="2105"/>
      <c r="J991" s="2784" t="str">
        <f>'Part VII-Threshold Criteria'!J140</f>
        <v>(If DCA Pre-Approved amenity not listed in Architectural Manual, describe)</v>
      </c>
      <c r="K991" s="2784"/>
      <c r="L991" s="2784"/>
      <c r="M991" s="2784"/>
      <c r="N991" s="2784"/>
      <c r="O991" s="2784"/>
      <c r="P991" s="2784"/>
      <c r="Q991" s="2784"/>
    </row>
    <row r="992" spans="1:17" ht="15" customHeight="1">
      <c r="A992" s="2108"/>
      <c r="B992" s="2805" t="s">
        <v>1615</v>
      </c>
      <c r="C992" s="2784" t="str">
        <f>'Part VII-Threshold Criteria'!C141</f>
        <v>Equipped playground</v>
      </c>
      <c r="D992" s="2784"/>
      <c r="E992" s="2784"/>
      <c r="F992" s="2784"/>
      <c r="G992" s="2784"/>
      <c r="H992" s="2784"/>
      <c r="I992" s="2105"/>
      <c r="J992" s="2784" t="str">
        <f>'Part VII-Threshold Criteria'!J141</f>
        <v>(If DCA Pre-Approved amenity not listed in Architectural Manual, describe)</v>
      </c>
      <c r="K992" s="2784"/>
      <c r="L992" s="2784"/>
      <c r="M992" s="2784"/>
      <c r="N992" s="2784"/>
      <c r="O992" s="2784"/>
      <c r="P992" s="2784"/>
      <c r="Q992" s="2784"/>
    </row>
    <row r="993" spans="1:17" ht="15" customHeight="1">
      <c r="A993" s="2108"/>
      <c r="B993" s="2805" t="s">
        <v>1616</v>
      </c>
      <c r="C993" s="2784" t="str">
        <f>'Part VII-Threshold Criteria'!C142</f>
        <v>(Select an amenity from options provided here)</v>
      </c>
      <c r="D993" s="2784"/>
      <c r="E993" s="2784"/>
      <c r="F993" s="2784"/>
      <c r="G993" s="2784"/>
      <c r="H993" s="2784"/>
      <c r="I993" s="2105"/>
      <c r="J993" s="2784" t="str">
        <f>'Part VII-Threshold Criteria'!J142</f>
        <v>(If DCA Pre-Approved amenity not listed in Architectural Manual, describe)</v>
      </c>
      <c r="K993" s="2784"/>
      <c r="L993" s="2784"/>
      <c r="M993" s="2784"/>
      <c r="N993" s="2784"/>
      <c r="O993" s="2784"/>
      <c r="P993" s="2784"/>
      <c r="Q993" s="2784"/>
    </row>
    <row r="994" spans="1:17" ht="15" customHeight="1">
      <c r="A994" s="2108"/>
      <c r="B994" s="2805" t="s">
        <v>2182</v>
      </c>
      <c r="C994" s="2784" t="str">
        <f>'Part VII-Threshold Criteria'!C143</f>
        <v>(Select an amenity from options provided here)</v>
      </c>
      <c r="D994" s="2784"/>
      <c r="E994" s="2784"/>
      <c r="F994" s="2784"/>
      <c r="G994" s="2784"/>
      <c r="H994" s="2784"/>
      <c r="I994" s="2105"/>
      <c r="J994" s="2784" t="str">
        <f>'Part VII-Threshold Criteria'!J143</f>
        <v>(If DCA Pre-Approved amenity not listed in Architectural Manual, describe)</v>
      </c>
      <c r="K994" s="2784"/>
      <c r="L994" s="2784"/>
      <c r="M994" s="2784"/>
      <c r="N994" s="2784"/>
      <c r="O994" s="2784"/>
      <c r="P994" s="2784"/>
      <c r="Q994" s="2784"/>
    </row>
    <row r="995" spans="1:17" ht="14.4">
      <c r="A995" s="2105"/>
      <c r="B995" s="2790" t="s">
        <v>3240</v>
      </c>
      <c r="C995" s="2105"/>
      <c r="D995" s="2790"/>
      <c r="E995" s="2790"/>
      <c r="F995" s="2790"/>
      <c r="G995" s="2790"/>
      <c r="H995" s="2106"/>
      <c r="I995" s="2107"/>
      <c r="J995" s="2107"/>
      <c r="K995" s="2107"/>
      <c r="L995" s="2108"/>
      <c r="M995" s="2108"/>
      <c r="N995" s="2108"/>
      <c r="O995" s="2108"/>
      <c r="P995" s="2105"/>
      <c r="Q995" s="2105"/>
    </row>
    <row r="996" spans="1:17" ht="193.2">
      <c r="A996" s="2782" t="str">
        <f>'Part VII-Threshold Criteria'!A145</f>
        <v>Site amenities will comply with DCA 2023 Architectural Manual Appendix III: Amenities Guide.</v>
      </c>
      <c r="B996" s="2782"/>
      <c r="C996" s="2782"/>
      <c r="D996" s="2782"/>
      <c r="E996" s="2782"/>
      <c r="F996" s="2782"/>
      <c r="G996" s="2782"/>
      <c r="H996" s="2782"/>
      <c r="I996" s="2782"/>
      <c r="J996" s="2782"/>
      <c r="K996" s="2782"/>
      <c r="L996" s="2782"/>
      <c r="M996" s="2782"/>
      <c r="N996" s="2782"/>
      <c r="O996" s="2782"/>
      <c r="P996" s="2782"/>
      <c r="Q996" s="2782"/>
    </row>
    <row r="997" spans="1:17" ht="14.4">
      <c r="A997" s="2105"/>
      <c r="B997" s="2787" t="s">
        <v>1730</v>
      </c>
      <c r="C997" s="2788"/>
      <c r="D997" s="2789"/>
      <c r="E997" s="2789"/>
      <c r="F997" s="2789"/>
      <c r="G997" s="2789"/>
      <c r="H997" s="2789"/>
      <c r="I997" s="2789"/>
      <c r="J997" s="2789"/>
      <c r="K997" s="2789"/>
      <c r="L997" s="2789"/>
      <c r="M997" s="2789"/>
      <c r="N997" s="2789"/>
      <c r="O997" s="2789"/>
      <c r="P997" s="2789"/>
      <c r="Q997" s="2789"/>
    </row>
    <row r="998" spans="1:17" ht="13.8">
      <c r="A998" s="2782"/>
      <c r="B998" s="2782"/>
      <c r="C998" s="2782"/>
      <c r="D998" s="2782"/>
      <c r="E998" s="2782"/>
      <c r="F998" s="2782"/>
      <c r="G998" s="2782"/>
      <c r="H998" s="2782"/>
      <c r="I998" s="2782"/>
      <c r="J998" s="2782"/>
      <c r="K998" s="2782"/>
      <c r="L998" s="2782"/>
      <c r="M998" s="2782"/>
      <c r="N998" s="2782"/>
      <c r="O998" s="2782"/>
      <c r="P998" s="2782"/>
      <c r="Q998" s="2782"/>
    </row>
    <row r="999" spans="1:17" ht="13.8">
      <c r="A999" s="2108"/>
      <c r="B999" s="2107"/>
      <c r="C999" s="2789"/>
      <c r="D999" s="2789"/>
      <c r="E999" s="2789"/>
      <c r="F999" s="2789"/>
      <c r="G999" s="2789"/>
      <c r="H999" s="2789"/>
      <c r="I999" s="2789"/>
      <c r="J999" s="2789"/>
      <c r="K999" s="2789"/>
      <c r="L999" s="2789"/>
      <c r="M999" s="2789"/>
      <c r="N999" s="2105"/>
      <c r="O999" s="2105"/>
      <c r="P999" s="2105"/>
      <c r="Q999" s="2108"/>
    </row>
    <row r="1000" spans="1:17" ht="13.8">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3.8">
      <c r="A1001" s="2785" t="s">
        <v>2495</v>
      </c>
      <c r="B1001" s="2781" t="s">
        <v>3951</v>
      </c>
      <c r="C1001" s="2781"/>
      <c r="D1001" s="2781"/>
      <c r="E1001" s="2781"/>
      <c r="F1001" s="2781"/>
      <c r="G1001" s="2781"/>
      <c r="H1001" s="2789"/>
      <c r="I1001" s="2789"/>
      <c r="J1001" s="2789"/>
      <c r="K1001" s="2789"/>
      <c r="L1001" s="2813"/>
      <c r="M1001" s="2814"/>
      <c r="N1001" s="2105"/>
      <c r="O1001" s="2786" t="s">
        <v>1731</v>
      </c>
      <c r="P1001" s="2781"/>
      <c r="Q1001" s="2781"/>
    </row>
    <row r="1002" spans="1:17" ht="13.8">
      <c r="A1002" s="2105"/>
      <c r="B1002" s="2105" t="s">
        <v>6804</v>
      </c>
      <c r="C1002" s="2105"/>
      <c r="D1002" s="2105"/>
      <c r="E1002" s="2105"/>
      <c r="F1002" s="2105"/>
      <c r="G1002" s="2105"/>
      <c r="H1002" s="2105"/>
      <c r="I1002" s="2105"/>
      <c r="J1002" s="2105"/>
      <c r="K1002" s="2105"/>
      <c r="L1002" s="2105"/>
      <c r="M1002" s="2105"/>
      <c r="N1002" s="2107"/>
      <c r="O1002" s="2105"/>
      <c r="P1002" s="2781" t="str">
        <f>'Part VII-Threshold Criteria'!P151</f>
        <v>No</v>
      </c>
      <c r="Q1002" s="2781"/>
    </row>
    <row r="1003" spans="1:17" ht="15" customHeight="1">
      <c r="A1003" s="2793"/>
      <c r="B1003" s="2105" t="s">
        <v>1192</v>
      </c>
      <c r="C1003" s="2105"/>
      <c r="D1003" s="2105"/>
      <c r="E1003" s="2105"/>
      <c r="F1003" s="2105"/>
      <c r="G1003" s="2105"/>
      <c r="H1003" s="2782" t="str">
        <f>'Part VII-Threshold Criteria'!H152</f>
        <v>Substantial Rehab Non-Gutted</v>
      </c>
      <c r="I1003" s="2782"/>
      <c r="J1003" s="2782"/>
      <c r="K1003" s="2782"/>
      <c r="L1003" s="2782"/>
      <c r="M1003" s="2782"/>
      <c r="N1003" s="2782"/>
      <c r="O1003" s="2782"/>
      <c r="P1003" s="2782"/>
      <c r="Q1003" s="2782"/>
    </row>
    <row r="1004" spans="1:17" ht="27.6">
      <c r="A1004" s="2793"/>
      <c r="B1004" s="2105" t="s">
        <v>1806</v>
      </c>
      <c r="C1004" s="2105"/>
      <c r="D1004" s="2105"/>
      <c r="E1004" s="2105"/>
      <c r="F1004" s="2105"/>
      <c r="G1004" s="2105"/>
      <c r="H1004" s="2782" t="str">
        <f>'Part VII-Threshold Criteria'!H153</f>
        <v>Gill Group</v>
      </c>
      <c r="I1004" s="2782"/>
      <c r="J1004" s="2782"/>
      <c r="K1004" s="2782"/>
      <c r="L1004" s="2782"/>
      <c r="M1004" s="2782"/>
      <c r="N1004" s="2782"/>
      <c r="O1004" s="2782"/>
      <c r="P1004" s="2782"/>
      <c r="Q1004" s="2782"/>
    </row>
    <row r="1005" spans="1:17" ht="14.4">
      <c r="A1005" s="2105"/>
      <c r="B1005" s="2790" t="s">
        <v>3240</v>
      </c>
      <c r="C1005" s="2105"/>
      <c r="D1005" s="2790"/>
      <c r="E1005" s="2790"/>
      <c r="F1005" s="2790"/>
      <c r="G1005" s="2790"/>
      <c r="H1005" s="2106"/>
      <c r="I1005" s="2107"/>
      <c r="J1005" s="2107"/>
      <c r="K1005" s="2107"/>
      <c r="L1005" s="2108"/>
      <c r="M1005" s="2108"/>
      <c r="N1005" s="2108"/>
      <c r="O1005" s="2108"/>
      <c r="P1005" s="2108"/>
      <c r="Q1005" s="2108"/>
    </row>
    <row r="1006" spans="1:17" ht="409.6">
      <c r="A1006" s="2782" t="str">
        <f>'Part VII-Threshold Criteria'!A155</f>
        <v>The Capital Needs Assessment is not due with the competitive review application. The CNA will be prepared by Gill Group and will be included in the pre-application submission with the architectural waiver requests.</v>
      </c>
      <c r="B1006" s="2782"/>
      <c r="C1006" s="2782"/>
      <c r="D1006" s="2782"/>
      <c r="E1006" s="2782"/>
      <c r="F1006" s="2782"/>
      <c r="G1006" s="2782"/>
      <c r="H1006" s="2782"/>
      <c r="I1006" s="2782"/>
      <c r="J1006" s="2782"/>
      <c r="K1006" s="2782"/>
      <c r="L1006" s="2782"/>
      <c r="M1006" s="2782"/>
      <c r="N1006" s="2782"/>
      <c r="O1006" s="2782"/>
      <c r="P1006" s="2782"/>
      <c r="Q1006" s="2782"/>
    </row>
    <row r="1007" spans="1:17" ht="14.4">
      <c r="A1007" s="2105"/>
      <c r="B1007" s="2787" t="s">
        <v>1730</v>
      </c>
      <c r="C1007" s="2788"/>
      <c r="D1007" s="2789"/>
      <c r="E1007" s="2789"/>
      <c r="F1007" s="2789"/>
      <c r="G1007" s="2789"/>
      <c r="H1007" s="2789"/>
      <c r="I1007" s="2789"/>
      <c r="J1007" s="2789"/>
      <c r="K1007" s="2789"/>
      <c r="L1007" s="2789"/>
      <c r="M1007" s="2789"/>
      <c r="N1007" s="2789"/>
      <c r="O1007" s="2789"/>
      <c r="P1007" s="2789"/>
      <c r="Q1007" s="2789"/>
    </row>
    <row r="1008" spans="1:17" ht="13.8">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3.8">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3.8">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3.8">
      <c r="A1011" s="2785" t="s">
        <v>2080</v>
      </c>
      <c r="B1011" s="2781" t="s">
        <v>2431</v>
      </c>
      <c r="C1011" s="2781"/>
      <c r="D1011" s="2781"/>
      <c r="E1011" s="2781"/>
      <c r="F1011" s="2781"/>
      <c r="G1011" s="2781"/>
      <c r="H1011" s="2789"/>
      <c r="I1011" s="2789"/>
      <c r="J1011" s="2789"/>
      <c r="K1011" s="2789"/>
      <c r="L1011" s="2789"/>
      <c r="M1011" s="2789"/>
      <c r="N1011" s="2105"/>
      <c r="O1011" s="2786" t="s">
        <v>1731</v>
      </c>
      <c r="P1011" s="2781"/>
      <c r="Q1011" s="2781"/>
    </row>
    <row r="1012" spans="1:17" ht="14.4">
      <c r="A1012" s="2105"/>
      <c r="B1012" s="2790" t="s">
        <v>3240</v>
      </c>
      <c r="C1012" s="2105"/>
      <c r="D1012" s="2790"/>
      <c r="E1012" s="2790"/>
      <c r="F1012" s="2790"/>
      <c r="G1012" s="2790"/>
      <c r="H1012" s="2106"/>
      <c r="I1012" s="2107"/>
      <c r="J1012" s="2107"/>
      <c r="K1012" s="2107"/>
      <c r="L1012" s="2108"/>
      <c r="M1012" s="2108"/>
      <c r="N1012" s="2108"/>
      <c r="O1012" s="2108"/>
      <c r="P1012" s="2108"/>
      <c r="Q1012" s="2108"/>
    </row>
    <row r="1013" spans="1:17" ht="409.6">
      <c r="A1013" s="2782" t="str">
        <f>'Part VII-Threshold Criteria'!A162</f>
        <v>The Conceptual Site Development Plan prepared by Ross Deckard Architects outlines all required information in accordance with the 2023 DCA Architectural Manual, Appendix II: Submission Requirements. Please see color pictures and aerial photos, which are included in tab 15 of the application.</v>
      </c>
      <c r="B1013" s="2782"/>
      <c r="C1013" s="2782"/>
      <c r="D1013" s="2782"/>
      <c r="E1013" s="2782"/>
      <c r="F1013" s="2782"/>
      <c r="G1013" s="2782"/>
      <c r="H1013" s="2782"/>
      <c r="I1013" s="2782"/>
      <c r="J1013" s="2782"/>
      <c r="K1013" s="2782"/>
      <c r="L1013" s="2782"/>
      <c r="M1013" s="2782"/>
      <c r="N1013" s="2782"/>
      <c r="O1013" s="2782"/>
      <c r="P1013" s="2782"/>
      <c r="Q1013" s="2782"/>
    </row>
    <row r="1014" spans="1:17" ht="14.4">
      <c r="A1014" s="2105"/>
      <c r="B1014" s="2787" t="s">
        <v>1730</v>
      </c>
      <c r="C1014" s="2788"/>
      <c r="D1014" s="2789"/>
      <c r="E1014" s="2789"/>
      <c r="F1014" s="2789"/>
      <c r="G1014" s="2789"/>
      <c r="H1014" s="2789"/>
      <c r="I1014" s="2789"/>
      <c r="J1014" s="2789"/>
      <c r="K1014" s="2789"/>
      <c r="L1014" s="2789"/>
      <c r="M1014" s="2789"/>
      <c r="N1014" s="2789"/>
      <c r="O1014" s="2789"/>
      <c r="P1014" s="2789"/>
      <c r="Q1014" s="2789"/>
    </row>
    <row r="1015" spans="1:17" ht="13.8">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3.8">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3.8">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3.8">
      <c r="A1018" s="2785" t="s">
        <v>3370</v>
      </c>
      <c r="B1018" s="2785" t="s">
        <v>2432</v>
      </c>
      <c r="C1018" s="2785"/>
      <c r="D1018" s="2789"/>
      <c r="E1018" s="2789"/>
      <c r="F1018" s="2789"/>
      <c r="G1018" s="2789"/>
      <c r="H1018" s="2789"/>
      <c r="I1018" s="2789"/>
      <c r="J1018" s="2789"/>
      <c r="K1018" s="2789"/>
      <c r="L1018" s="2789"/>
      <c r="M1018" s="2789"/>
      <c r="N1018" s="2105"/>
      <c r="O1018" s="2786" t="s">
        <v>1731</v>
      </c>
      <c r="P1018" s="2781"/>
      <c r="Q1018" s="2781"/>
    </row>
    <row r="1019" spans="1:17" ht="13.8">
      <c r="A1019" s="2793" t="s">
        <v>1841</v>
      </c>
      <c r="B1019" s="2781" t="s">
        <v>6198</v>
      </c>
      <c r="C1019" s="2105"/>
      <c r="D1019" s="2105"/>
      <c r="E1019" s="2105"/>
      <c r="F1019" s="2105"/>
      <c r="G1019" s="2105"/>
      <c r="H1019" s="2105"/>
      <c r="I1019" s="2105"/>
      <c r="J1019" s="2105"/>
      <c r="K1019" s="2105"/>
      <c r="L1019" s="2105"/>
      <c r="M1019" s="2105"/>
      <c r="N1019" s="2105"/>
      <c r="O1019" s="2795"/>
      <c r="P1019" s="2105"/>
      <c r="Q1019" s="2105"/>
    </row>
    <row r="1020" spans="1:17" ht="15" customHeight="1">
      <c r="A1020" s="2105"/>
      <c r="B1020" s="2784" t="s">
        <v>7003</v>
      </c>
      <c r="C1020" s="2784"/>
      <c r="D1020" s="2784"/>
      <c r="E1020" s="2784"/>
      <c r="F1020" s="2784"/>
      <c r="G1020" s="2784"/>
      <c r="H1020" s="2784"/>
      <c r="I1020" s="2784"/>
      <c r="J1020" s="2784"/>
      <c r="K1020" s="2784"/>
      <c r="L1020" s="2784"/>
      <c r="M1020" s="2784"/>
      <c r="N1020" s="2784"/>
      <c r="O1020" s="2784"/>
      <c r="P1020" s="2781" t="str">
        <f>'Part VII-Threshold Criteria'!P169</f>
        <v>Agree</v>
      </c>
      <c r="Q1020" s="2781"/>
    </row>
    <row r="1021" spans="1:17" ht="13.8">
      <c r="A1021" s="2793" t="s">
        <v>1843</v>
      </c>
      <c r="B1021" s="2781" t="s">
        <v>297</v>
      </c>
      <c r="C1021" s="2105"/>
      <c r="D1021" s="2105"/>
      <c r="E1021" s="2105"/>
      <c r="F1021" s="2105"/>
      <c r="G1021" s="2105"/>
      <c r="H1021" s="2781" t="str">
        <f>'Part VII-Threshold Criteria'!H170</f>
        <v>HIRL National Green Building Standard - Min Bronze</v>
      </c>
      <c r="I1021" s="2781"/>
      <c r="J1021" s="2781"/>
      <c r="K1021" s="2781"/>
      <c r="L1021" s="2781"/>
      <c r="M1021" s="2781"/>
      <c r="N1021" s="2781"/>
      <c r="O1021" s="2781"/>
      <c r="P1021" s="2781"/>
      <c r="Q1021" s="2781"/>
    </row>
    <row r="1022" spans="1:17" ht="13.8">
      <c r="A1022" s="2793" t="s">
        <v>698</v>
      </c>
      <c r="B1022" s="2781" t="s">
        <v>6197</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793"/>
      <c r="B1023" s="2782" t="s">
        <v>6199</v>
      </c>
      <c r="C1023" s="2782"/>
      <c r="D1023" s="2782"/>
      <c r="E1023" s="2782"/>
      <c r="F1023" s="2782"/>
      <c r="G1023" s="2782"/>
      <c r="H1023" s="2782"/>
      <c r="I1023" s="2782"/>
      <c r="J1023" s="2782"/>
      <c r="K1023" s="2782"/>
      <c r="L1023" s="2782"/>
      <c r="M1023" s="2782"/>
      <c r="N1023" s="2532" t="s">
        <v>6200</v>
      </c>
      <c r="O1023" s="2795" t="s">
        <v>698</v>
      </c>
      <c r="P1023" s="2781" t="str">
        <f>'Part VII-Threshold Criteria'!P172</f>
        <v>Agree</v>
      </c>
      <c r="Q1023" s="2781"/>
    </row>
    <row r="1024" spans="1:17" ht="14.4">
      <c r="A1024" s="2105"/>
      <c r="B1024" s="2790" t="s">
        <v>3240</v>
      </c>
      <c r="C1024" s="2105"/>
      <c r="D1024" s="2105"/>
      <c r="E1024" s="2105"/>
      <c r="F1024" s="2105"/>
      <c r="G1024" s="2105"/>
      <c r="H1024" s="2105"/>
      <c r="I1024" s="2105"/>
      <c r="J1024" s="2105"/>
      <c r="K1024" s="2105"/>
      <c r="L1024" s="2105"/>
      <c r="M1024" s="2107"/>
      <c r="N1024" s="2107"/>
      <c r="O1024" s="2815"/>
      <c r="P1024" s="2108"/>
      <c r="Q1024" s="2105"/>
    </row>
    <row r="1025" spans="1:17" ht="409.6">
      <c r="A1025" s="2782" t="str">
        <f>'Part VII-Threshold Criteria'!A174</f>
        <v>The applicant agrees to the Sustainability Standards required by DCA. The property will be certified by HIRL National Green Building Standard upon completion of the project with an anticipated Bronze standard met based upon proposed scope of work. The Sustainability training was completed on 5/5/2023.</v>
      </c>
      <c r="B1025" s="2782"/>
      <c r="C1025" s="2782"/>
      <c r="D1025" s="2782"/>
      <c r="E1025" s="2782"/>
      <c r="F1025" s="2782"/>
      <c r="G1025" s="2782"/>
      <c r="H1025" s="2782"/>
      <c r="I1025" s="2782"/>
      <c r="J1025" s="2782"/>
      <c r="K1025" s="2782"/>
      <c r="L1025" s="2782"/>
      <c r="M1025" s="2782"/>
      <c r="N1025" s="2782"/>
      <c r="O1025" s="2782"/>
      <c r="P1025" s="2782"/>
      <c r="Q1025" s="2782"/>
    </row>
    <row r="1026" spans="1:17" ht="14.4">
      <c r="A1026" s="2105"/>
      <c r="B1026" s="2787" t="s">
        <v>1730</v>
      </c>
      <c r="C1026" s="2788"/>
      <c r="D1026" s="2789"/>
      <c r="E1026" s="2789"/>
      <c r="F1026" s="2789"/>
      <c r="G1026" s="2789"/>
      <c r="H1026" s="2789"/>
      <c r="I1026" s="2789"/>
      <c r="J1026" s="2789"/>
      <c r="K1026" s="2789"/>
      <c r="L1026" s="2789"/>
      <c r="M1026" s="2789"/>
      <c r="N1026" s="2789"/>
      <c r="O1026" s="2789"/>
      <c r="P1026" s="2789"/>
      <c r="Q1026" s="2789"/>
    </row>
    <row r="1027" spans="1:17" ht="13.8">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3.8">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3.8">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3.8">
      <c r="A1030" s="2785" t="s">
        <v>3371</v>
      </c>
      <c r="B1030" s="2785" t="s">
        <v>2433</v>
      </c>
      <c r="C1030" s="2816"/>
      <c r="D1030" s="2816"/>
      <c r="E1030" s="2789"/>
      <c r="F1030" s="2789"/>
      <c r="G1030" s="2789"/>
      <c r="H1030" s="2789"/>
      <c r="I1030" s="2789"/>
      <c r="J1030" s="2789"/>
      <c r="K1030" s="2789"/>
      <c r="L1030" s="2789"/>
      <c r="M1030" s="2789"/>
      <c r="N1030" s="2105"/>
      <c r="O1030" s="2786" t="s">
        <v>1731</v>
      </c>
      <c r="P1030" s="2781"/>
      <c r="Q1030" s="2781"/>
    </row>
    <row r="1031" spans="1:17" ht="13.8">
      <c r="A1031" s="2105"/>
      <c r="B1031" s="2105" t="s">
        <v>6804</v>
      </c>
      <c r="C1031" s="2105"/>
      <c r="D1031" s="2105"/>
      <c r="E1031" s="2105"/>
      <c r="F1031" s="2105"/>
      <c r="G1031" s="2105"/>
      <c r="H1031" s="2105"/>
      <c r="I1031" s="2105"/>
      <c r="J1031" s="2105"/>
      <c r="K1031" s="2105"/>
      <c r="L1031" s="2105"/>
      <c r="M1031" s="2105"/>
      <c r="N1031" s="2107"/>
      <c r="O1031" s="2105"/>
      <c r="P1031" s="2781" t="str">
        <f>'Part VII-Threshold Criteria'!P180</f>
        <v>No</v>
      </c>
      <c r="Q1031" s="2781"/>
    </row>
    <row r="1032" spans="1:17" ht="15" customHeight="1">
      <c r="A1032" s="2105"/>
      <c r="B1032" s="2782" t="s">
        <v>7004</v>
      </c>
      <c r="C1032" s="2782"/>
      <c r="D1032" s="2782"/>
      <c r="E1032" s="2782"/>
      <c r="F1032" s="2782"/>
      <c r="G1032" s="2782"/>
      <c r="H1032" s="2782"/>
      <c r="I1032" s="2782"/>
      <c r="J1032" s="2782"/>
      <c r="K1032" s="2782"/>
      <c r="L1032" s="2782"/>
      <c r="M1032" s="2782"/>
      <c r="N1032" s="2782"/>
      <c r="O1032" s="2782"/>
      <c r="P1032" s="2781" t="str">
        <f>'Part VII-Threshold Criteria'!P181</f>
        <v>Agree</v>
      </c>
      <c r="Q1032" s="2781"/>
    </row>
    <row r="1033" spans="1:17" ht="13.8">
      <c r="A1033" s="2105"/>
      <c r="B1033" s="2105"/>
      <c r="C1033" s="2105"/>
      <c r="D1033" s="2105"/>
      <c r="E1033" s="2105"/>
      <c r="F1033" s="2105"/>
      <c r="G1033" s="2105"/>
      <c r="H1033" s="2105"/>
      <c r="I1033" s="2105"/>
      <c r="J1033" s="2105"/>
      <c r="K1033" s="2105"/>
      <c r="L1033" s="2817" t="s">
        <v>6807</v>
      </c>
      <c r="M1033" s="2817"/>
      <c r="N1033" s="2107"/>
      <c r="O1033" s="2105"/>
      <c r="P1033" s="2108"/>
      <c r="Q1033" s="2108"/>
    </row>
    <row r="1034" spans="1:17" ht="13.8">
      <c r="A1034" s="2793" t="s">
        <v>1843</v>
      </c>
      <c r="B1034" s="2785" t="s">
        <v>3293</v>
      </c>
      <c r="C1034" s="2105"/>
      <c r="D1034" s="2818"/>
      <c r="E1034" s="2818"/>
      <c r="F1034" s="2818"/>
      <c r="G1034" s="2818"/>
      <c r="H1034" s="2818"/>
      <c r="I1034" s="2818"/>
      <c r="J1034" s="2818"/>
      <c r="K1034" s="2818"/>
      <c r="L1034" s="2105" t="s">
        <v>6808</v>
      </c>
      <c r="M1034" s="2107" t="s">
        <v>6809</v>
      </c>
      <c r="N1034" s="2818"/>
      <c r="O1034" s="2795"/>
      <c r="P1034" s="2795"/>
      <c r="Q1034" s="2795"/>
    </row>
    <row r="1035" spans="1:17" ht="13.8">
      <c r="A1035" s="2793"/>
      <c r="B1035" s="2105" t="s">
        <v>6810</v>
      </c>
      <c r="C1035" s="2105"/>
      <c r="D1035" s="2782"/>
      <c r="E1035" s="2782"/>
      <c r="F1035" s="2782"/>
      <c r="G1035" s="2782"/>
      <c r="H1035" s="2105"/>
      <c r="I1035" s="2105"/>
      <c r="J1035" s="2105"/>
      <c r="K1035" s="2533"/>
      <c r="L1035" s="2819">
        <f>ROUNDUP('Part V-Revenues &amp; Expenses'!$P$67*M1035,0)</f>
        <v>2</v>
      </c>
      <c r="M1035" s="2820">
        <f>'DCA Underwriting Assumptions'!$Q$122</f>
        <v>0.05</v>
      </c>
      <c r="N1035" s="2105"/>
      <c r="O1035" s="2795"/>
      <c r="P1035" s="2781">
        <f>'Part VII-Threshold Criteria'!P184</f>
        <v>2</v>
      </c>
      <c r="Q1035" s="2781"/>
    </row>
    <row r="1036" spans="1:17" ht="15" customHeight="1">
      <c r="A1036" s="2793"/>
      <c r="B1036" s="2106"/>
      <c r="C1036" s="2105"/>
      <c r="D1036" s="2782" t="s">
        <v>6811</v>
      </c>
      <c r="E1036" s="2782"/>
      <c r="F1036" s="2782"/>
      <c r="G1036" s="2782"/>
      <c r="H1036" s="2782"/>
      <c r="I1036" s="2782"/>
      <c r="J1036" s="2782"/>
      <c r="K1036" s="2533"/>
      <c r="L1036" s="2819">
        <f>ROUNDUP(L1035*M1036,0)</f>
        <v>1</v>
      </c>
      <c r="M1036" s="2820">
        <f>'DCA Underwriting Assumptions'!$Q$123</f>
        <v>0.4</v>
      </c>
      <c r="N1036" s="2105"/>
      <c r="O1036" s="2795"/>
      <c r="P1036" s="2781">
        <f>'Part VII-Threshold Criteria'!P185</f>
        <v>1</v>
      </c>
      <c r="Q1036" s="2781"/>
    </row>
    <row r="1037" spans="1:17" ht="15" customHeight="1">
      <c r="A1037" s="2793"/>
      <c r="B1037" s="2782" t="s">
        <v>6812</v>
      </c>
      <c r="C1037" s="2782"/>
      <c r="D1037" s="2782"/>
      <c r="E1037" s="2782"/>
      <c r="F1037" s="2782"/>
      <c r="G1037" s="2782"/>
      <c r="H1037" s="2782"/>
      <c r="I1037" s="2782"/>
      <c r="J1037" s="2782"/>
      <c r="K1037" s="2105"/>
      <c r="L1037" s="2819">
        <f>ROUNDUP('Part V-Revenues &amp; Expenses'!$P$67*M1037,0)</f>
        <v>1</v>
      </c>
      <c r="M1037" s="2820">
        <f>'DCA Underwriting Assumptions'!$Q$124</f>
        <v>0.02</v>
      </c>
      <c r="N1037" s="2105"/>
      <c r="O1037" s="2795"/>
      <c r="P1037" s="2781">
        <f>'Part VII-Threshold Criteria'!P186</f>
        <v>1</v>
      </c>
      <c r="Q1037" s="2781"/>
    </row>
    <row r="1038" spans="1:17" ht="14.4">
      <c r="A1038" s="2105"/>
      <c r="B1038" s="2790" t="s">
        <v>3240</v>
      </c>
      <c r="C1038" s="2105"/>
      <c r="D1038" s="2790"/>
      <c r="E1038" s="2790"/>
      <c r="F1038" s="2790"/>
      <c r="G1038" s="2790"/>
      <c r="H1038" s="2106"/>
      <c r="I1038" s="2107"/>
      <c r="J1038" s="2107"/>
      <c r="K1038" s="2107"/>
      <c r="L1038" s="2108"/>
      <c r="M1038" s="2108"/>
      <c r="N1038" s="2108"/>
      <c r="O1038" s="2108"/>
      <c r="P1038" s="2108"/>
      <c r="Q1038" s="2108"/>
    </row>
    <row r="1039" spans="1:17" ht="400.2">
      <c r="A1039" s="2782" t="str">
        <f>'Part VII-Threshold Criteria'!A188</f>
        <v>The applicant agrees to comply with all accessibility standards and engage a third-party (non-related) DCA qualified consultant, Zeffert &amp; Associates, to monitor accessibility requirements and compliance.</v>
      </c>
      <c r="B1039" s="2782"/>
      <c r="C1039" s="2782"/>
      <c r="D1039" s="2782"/>
      <c r="E1039" s="2782"/>
      <c r="F1039" s="2782"/>
      <c r="G1039" s="2782"/>
      <c r="H1039" s="2782"/>
      <c r="I1039" s="2782"/>
      <c r="J1039" s="2782"/>
      <c r="K1039" s="2782"/>
      <c r="L1039" s="2782"/>
      <c r="M1039" s="2782"/>
      <c r="N1039" s="2782"/>
      <c r="O1039" s="2782"/>
      <c r="P1039" s="2782"/>
      <c r="Q1039" s="2782"/>
    </row>
    <row r="1040" spans="1:17" ht="14.4">
      <c r="A1040" s="2105"/>
      <c r="B1040" s="2787" t="s">
        <v>1730</v>
      </c>
      <c r="C1040" s="2788"/>
      <c r="D1040" s="2789"/>
      <c r="E1040" s="2789"/>
      <c r="F1040" s="2789"/>
      <c r="G1040" s="2789"/>
      <c r="H1040" s="2789"/>
      <c r="I1040" s="2789"/>
      <c r="J1040" s="2789"/>
      <c r="K1040" s="2789"/>
      <c r="L1040" s="2789"/>
      <c r="M1040" s="2789"/>
      <c r="N1040" s="2789"/>
      <c r="O1040" s="2789"/>
      <c r="P1040" s="2789"/>
      <c r="Q1040" s="2789"/>
    </row>
    <row r="1041" spans="1:17" ht="13.8">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3.8">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3.8">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3.8">
      <c r="A1044" s="2785" t="s">
        <v>3369</v>
      </c>
      <c r="B1044" s="2781" t="s">
        <v>2434</v>
      </c>
      <c r="C1044" s="2781"/>
      <c r="D1044" s="2781"/>
      <c r="E1044" s="2781"/>
      <c r="F1044" s="2781"/>
      <c r="G1044" s="2781"/>
      <c r="H1044" s="2789"/>
      <c r="I1044" s="2789"/>
      <c r="J1044" s="2789"/>
      <c r="K1044" s="2789"/>
      <c r="L1044" s="2789"/>
      <c r="M1044" s="2789"/>
      <c r="N1044" s="2105"/>
      <c r="O1044" s="2786" t="s">
        <v>1731</v>
      </c>
      <c r="P1044" s="2781"/>
      <c r="Q1044" s="2781"/>
    </row>
    <row r="1045" spans="1:17" ht="13.8">
      <c r="A1045" s="2105"/>
      <c r="B1045" s="2105" t="s">
        <v>6804</v>
      </c>
      <c r="C1045" s="2105"/>
      <c r="D1045" s="2105"/>
      <c r="E1045" s="2105"/>
      <c r="F1045" s="2105"/>
      <c r="G1045" s="2105"/>
      <c r="H1045" s="2105"/>
      <c r="I1045" s="2105"/>
      <c r="J1045" s="2105"/>
      <c r="K1045" s="2105"/>
      <c r="L1045" s="2105"/>
      <c r="M1045" s="2105"/>
      <c r="N1045" s="2105"/>
      <c r="O1045" s="2105"/>
      <c r="P1045" s="2781" t="str">
        <f>'Part VII-Threshold Criteria'!P194</f>
        <v>No</v>
      </c>
      <c r="Q1045" s="2781"/>
    </row>
    <row r="1046" spans="1:17" ht="15" customHeight="1">
      <c r="A1046" s="2105"/>
      <c r="B1046" s="2782" t="s">
        <v>7005</v>
      </c>
      <c r="C1046" s="2782"/>
      <c r="D1046" s="2782"/>
      <c r="E1046" s="2782"/>
      <c r="F1046" s="2782"/>
      <c r="G1046" s="2782"/>
      <c r="H1046" s="2782"/>
      <c r="I1046" s="2782"/>
      <c r="J1046" s="2782"/>
      <c r="K1046" s="2782"/>
      <c r="L1046" s="2782"/>
      <c r="M1046" s="2782"/>
      <c r="N1046" s="2782"/>
      <c r="O1046" s="2105"/>
      <c r="P1046" s="2781" t="str">
        <f>'Part VII-Threshold Criteria'!P195</f>
        <v>Yes</v>
      </c>
      <c r="Q1046" s="2781"/>
    </row>
    <row r="1047" spans="1:17" ht="13.8">
      <c r="A1047" s="2793" t="s">
        <v>1843</v>
      </c>
      <c r="B1047" s="2781" t="s">
        <v>433</v>
      </c>
      <c r="C1047" s="2105"/>
      <c r="D1047" s="2781"/>
      <c r="E1047" s="2781"/>
      <c r="F1047" s="2781"/>
      <c r="G1047" s="2781"/>
      <c r="H1047" s="2781"/>
      <c r="I1047" s="2781"/>
      <c r="J1047" s="2781"/>
      <c r="K1047" s="2781"/>
      <c r="L1047" s="2781"/>
      <c r="M1047" s="2781"/>
      <c r="N1047" s="2105"/>
      <c r="O1047" s="2795"/>
      <c r="P1047" s="2108"/>
      <c r="Q1047" s="2108"/>
    </row>
    <row r="1048" spans="1:17" ht="14.25" customHeight="1">
      <c r="A1048" s="2105"/>
      <c r="B1048" s="2805" t="s">
        <v>1614</v>
      </c>
      <c r="C1048" s="2784" t="s">
        <v>6912</v>
      </c>
      <c r="D1048" s="2784"/>
      <c r="E1048" s="2784"/>
      <c r="F1048" s="2784" t="str">
        <f>'Part VII-Threshold Criteria'!F197</f>
        <v>Rehab of bldgs w/out existing brick/stone over 30% (&amp; ineligible for historic credits) will replace &amp; upgrade existing exterior finish surfaces on all wall faces (front, back, both side faces) w/brick or product w/30 yr warranty. N/Ap to interior wall faces of open breezeways.</v>
      </c>
      <c r="G1048" s="2784"/>
      <c r="H1048" s="2784"/>
      <c r="I1048" s="2784"/>
      <c r="J1048" s="2784"/>
      <c r="K1048" s="2784"/>
      <c r="L1048" s="2784"/>
      <c r="M1048" s="2784"/>
      <c r="N1048" s="2784"/>
      <c r="O1048" s="2784"/>
      <c r="P1048" s="2784"/>
      <c r="Q1048" s="2784"/>
    </row>
    <row r="1049" spans="1:17" ht="14.25" customHeight="1">
      <c r="A1049" s="2105"/>
      <c r="B1049" s="2805" t="s">
        <v>1615</v>
      </c>
      <c r="C1049" s="2784" t="s">
        <v>6913</v>
      </c>
      <c r="D1049" s="2784"/>
      <c r="E1049" s="2784"/>
      <c r="F1049" s="2784"/>
      <c r="G1049" s="2784"/>
      <c r="H1049" s="2784" t="str">
        <f>'Part VII-Threshold Criteria'!H198</f>
        <v xml:space="preserve">Fiber cement siding or other 30 year warranty product installed on all exterior wall surfaces not already required to be brick </v>
      </c>
      <c r="I1049" s="2784"/>
      <c r="J1049" s="2784"/>
      <c r="K1049" s="2784"/>
      <c r="L1049" s="2784"/>
      <c r="M1049" s="2784"/>
      <c r="N1049" s="2784"/>
      <c r="O1049" s="2784"/>
      <c r="P1049" s="2784"/>
      <c r="Q1049" s="2784"/>
    </row>
    <row r="1050" spans="1:17" ht="15" customHeight="1">
      <c r="A1050" s="2793"/>
      <c r="B1050" s="2805" t="s">
        <v>1616</v>
      </c>
      <c r="C1050" s="2782" t="s">
        <v>6814</v>
      </c>
      <c r="D1050" s="2782"/>
      <c r="E1050" s="2782"/>
      <c r="F1050" s="2782"/>
      <c r="G1050" s="2782"/>
      <c r="H1050" s="2782"/>
      <c r="I1050" s="2782"/>
      <c r="J1050" s="2782"/>
      <c r="K1050" s="2782"/>
      <c r="L1050" s="2782"/>
      <c r="M1050" s="2782"/>
      <c r="N1050" s="2782"/>
      <c r="O1050" s="2782"/>
      <c r="P1050" s="2782"/>
      <c r="Q1050" s="2782"/>
    </row>
    <row r="1051" spans="1:17" ht="207">
      <c r="A1051" s="2793"/>
      <c r="B1051" s="2795"/>
      <c r="C1051" s="2782" t="str">
        <f>'Part VII-Threshold Criteria'!C200</f>
        <v xml:space="preserve">Applicant may submit waiver at pre-application stage for DCA’s architectural design &amp; quality standards. </v>
      </c>
      <c r="D1051" s="2782"/>
      <c r="E1051" s="2782"/>
      <c r="F1051" s="2782"/>
      <c r="G1051" s="2782"/>
      <c r="H1051" s="2782"/>
      <c r="I1051" s="2782"/>
      <c r="J1051" s="2782"/>
      <c r="K1051" s="2782"/>
      <c r="L1051" s="2782"/>
      <c r="M1051" s="2782"/>
      <c r="N1051" s="2782"/>
      <c r="O1051" s="2782"/>
      <c r="P1051" s="2782"/>
      <c r="Q1051" s="2782"/>
    </row>
    <row r="1052" spans="1:17" ht="13.8">
      <c r="A1052" s="2793"/>
      <c r="B1052" s="2795"/>
      <c r="C1052" s="2782">
        <f>'Part VII-Threshold Criteria'!C201</f>
        <v>0</v>
      </c>
      <c r="D1052" s="2782"/>
      <c r="E1052" s="2782"/>
      <c r="F1052" s="2782"/>
      <c r="G1052" s="2782"/>
      <c r="H1052" s="2782"/>
      <c r="I1052" s="2782"/>
      <c r="J1052" s="2782"/>
      <c r="K1052" s="2782"/>
      <c r="L1052" s="2782"/>
      <c r="M1052" s="2782"/>
      <c r="N1052" s="2782"/>
      <c r="O1052" s="2782"/>
      <c r="P1052" s="2782"/>
      <c r="Q1052" s="2782"/>
    </row>
    <row r="1053" spans="1:17" ht="14.4">
      <c r="A1053" s="2105"/>
      <c r="B1053" s="2790" t="s">
        <v>3240</v>
      </c>
      <c r="C1053" s="2105"/>
      <c r="D1053" s="2790"/>
      <c r="E1053" s="2790"/>
      <c r="F1053" s="2790"/>
      <c r="G1053" s="2790"/>
      <c r="H1053" s="2106"/>
      <c r="I1053" s="2107"/>
      <c r="J1053" s="2107"/>
      <c r="K1053" s="2107"/>
      <c r="L1053" s="2108"/>
      <c r="M1053" s="2108"/>
      <c r="N1053" s="2108"/>
      <c r="O1053" s="2108"/>
      <c r="P1053" s="2108"/>
      <c r="Q1053" s="2108"/>
    </row>
    <row r="1054" spans="1:17" ht="409.6">
      <c r="A1054" s="2782" t="str">
        <f>'Part VII-Threshold Criteria'!A203</f>
        <v xml:space="preserve">The applicant agrees to comply with Architectural design &amp; quality standards in 2023 Architectural Manual. Applicant may submit waiver at pre-application stage for DCA’s architectural design &amp; quality standards. </v>
      </c>
      <c r="B1054" s="2782"/>
      <c r="C1054" s="2782"/>
      <c r="D1054" s="2782"/>
      <c r="E1054" s="2782"/>
      <c r="F1054" s="2782"/>
      <c r="G1054" s="2782"/>
      <c r="H1054" s="2782"/>
      <c r="I1054" s="2782"/>
      <c r="J1054" s="2782"/>
      <c r="K1054" s="2782"/>
      <c r="L1054" s="2782"/>
      <c r="M1054" s="2782"/>
      <c r="N1054" s="2782"/>
      <c r="O1054" s="2782"/>
      <c r="P1054" s="2782"/>
      <c r="Q1054" s="2782"/>
    </row>
    <row r="1055" spans="1:17" ht="14.4">
      <c r="A1055" s="2105"/>
      <c r="B1055" s="2787" t="s">
        <v>1730</v>
      </c>
      <c r="C1055" s="2788"/>
      <c r="D1055" s="2789"/>
      <c r="E1055" s="2789"/>
      <c r="F1055" s="2789"/>
      <c r="G1055" s="2789"/>
      <c r="H1055" s="2789"/>
      <c r="I1055" s="2789"/>
      <c r="J1055" s="2789"/>
      <c r="K1055" s="2789"/>
      <c r="L1055" s="2789"/>
      <c r="M1055" s="2789"/>
      <c r="N1055" s="2789"/>
      <c r="O1055" s="2789"/>
      <c r="P1055" s="2789"/>
      <c r="Q1055" s="2789"/>
    </row>
    <row r="1056" spans="1:17" ht="13.8">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3.8">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3.8">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3.8">
      <c r="A1059" s="2785" t="s">
        <v>3372</v>
      </c>
      <c r="B1059" s="2785" t="s">
        <v>6533</v>
      </c>
      <c r="C1059" s="2785"/>
      <c r="D1059" s="2789"/>
      <c r="E1059" s="2789"/>
      <c r="F1059" s="2789"/>
      <c r="G1059" s="2789"/>
      <c r="H1059" s="2789"/>
      <c r="I1059" s="2105"/>
      <c r="J1059" s="2105"/>
      <c r="K1059" s="2105"/>
      <c r="L1059" s="2105"/>
      <c r="M1059" s="2105"/>
      <c r="N1059" s="2105"/>
      <c r="O1059" s="2786" t="s">
        <v>1731</v>
      </c>
      <c r="P1059" s="2781"/>
      <c r="Q1059" s="2781"/>
    </row>
    <row r="1060" spans="1:17" ht="13.8">
      <c r="A1060" s="2793"/>
      <c r="B1060" s="2105" t="s">
        <v>6815</v>
      </c>
      <c r="C1060" s="2105"/>
      <c r="D1060" s="2105"/>
      <c r="E1060" s="2105"/>
      <c r="F1060" s="2105"/>
      <c r="G1060" s="2105"/>
      <c r="H1060" s="2105"/>
      <c r="I1060" s="2105"/>
      <c r="J1060" s="2105"/>
      <c r="K1060" s="2105"/>
      <c r="L1060" s="2105"/>
      <c r="M1060" s="2105"/>
      <c r="N1060" s="2105"/>
      <c r="O1060" s="2795"/>
      <c r="P1060" s="2105" t="str">
        <f>'Part VII-Threshold Criteria'!P209</f>
        <v>Yes - see Comment</v>
      </c>
      <c r="Q1060" s="2105"/>
    </row>
    <row r="1061" spans="1:17" ht="13.8">
      <c r="A1061" s="2793"/>
      <c r="B1061" s="2105" t="s">
        <v>6816</v>
      </c>
      <c r="C1061" s="2105"/>
      <c r="D1061" s="2105"/>
      <c r="E1061" s="2105"/>
      <c r="F1061" s="2105"/>
      <c r="G1061" s="2105"/>
      <c r="H1061" s="2105"/>
      <c r="I1061" s="2105"/>
      <c r="J1061" s="2105"/>
      <c r="K1061" s="2105"/>
      <c r="L1061" s="2105"/>
      <c r="M1061" s="2105"/>
      <c r="N1061" s="2105"/>
      <c r="O1061" s="2795"/>
      <c r="P1061" s="2105" t="str">
        <f>'Part VII-Threshold Criteria'!P210</f>
        <v>Yes - see Comment</v>
      </c>
      <c r="Q1061" s="2105"/>
    </row>
    <row r="1062" spans="1:17" ht="13.8">
      <c r="A1062" s="2793"/>
      <c r="B1062" s="2105" t="s">
        <v>6817</v>
      </c>
      <c r="C1062" s="2105"/>
      <c r="D1062" s="2105"/>
      <c r="E1062" s="2105"/>
      <c r="F1062" s="2105"/>
      <c r="G1062" s="2105"/>
      <c r="H1062" s="2105"/>
      <c r="I1062" s="2105"/>
      <c r="J1062" s="2105"/>
      <c r="K1062" s="2107"/>
      <c r="L1062" s="2105"/>
      <c r="M1062" s="2795"/>
      <c r="N1062" s="2105"/>
      <c r="O1062" s="2105"/>
      <c r="P1062" s="2105" t="str">
        <f>'Part VII-Threshold Criteria'!P211</f>
        <v>No</v>
      </c>
      <c r="Q1062" s="2105"/>
    </row>
    <row r="1063" spans="1:17" ht="15" customHeight="1">
      <c r="A1063" s="2793"/>
      <c r="B1063" s="2782" t="s">
        <v>6818</v>
      </c>
      <c r="C1063" s="2782"/>
      <c r="D1063" s="2782"/>
      <c r="E1063" s="2782"/>
      <c r="F1063" s="2782"/>
      <c r="G1063" s="2782"/>
      <c r="H1063" s="2782"/>
      <c r="I1063" s="2782"/>
      <c r="J1063" s="2782"/>
      <c r="K1063" s="2782"/>
      <c r="L1063" s="2782"/>
      <c r="M1063" s="2782"/>
      <c r="N1063" s="2782"/>
      <c r="O1063" s="2782"/>
      <c r="P1063" s="2105" t="str">
        <f>'Part VII-Threshold Criteria'!P212</f>
        <v>No</v>
      </c>
      <c r="Q1063" s="2105"/>
    </row>
    <row r="1064" spans="1:17" ht="13.8">
      <c r="A1064" s="2793"/>
      <c r="B1064" s="2105" t="s">
        <v>6819</v>
      </c>
      <c r="C1064" s="2105"/>
      <c r="D1064" s="2105"/>
      <c r="E1064" s="2105"/>
      <c r="F1064" s="2105"/>
      <c r="G1064" s="2105"/>
      <c r="H1064" s="2105"/>
      <c r="I1064" s="2105"/>
      <c r="J1064" s="2105"/>
      <c r="K1064" s="2105"/>
      <c r="L1064" s="2105"/>
      <c r="M1064" s="2105"/>
      <c r="N1064" s="2105"/>
      <c r="O1064" s="2105" t="str">
        <f>'Part VII-Threshold Criteria'!O213</f>
        <v>Probationary Certifying GP/Dev</v>
      </c>
      <c r="P1064" s="2105"/>
      <c r="Q1064" s="2105"/>
    </row>
    <row r="1065" spans="1:17" ht="13.8">
      <c r="A1065" s="2793"/>
      <c r="B1065" s="2781" t="s">
        <v>6820</v>
      </c>
      <c r="C1065" s="2105"/>
      <c r="D1065" s="2105"/>
      <c r="E1065" s="2105"/>
      <c r="F1065" s="2105"/>
      <c r="G1065" s="2781"/>
      <c r="H1065" s="2781"/>
      <c r="I1065" s="2781"/>
      <c r="J1065" s="2781"/>
      <c r="K1065" s="2781"/>
      <c r="L1065" s="2781"/>
      <c r="M1065" s="2105"/>
      <c r="N1065" s="2105"/>
      <c r="O1065" s="2105"/>
      <c r="P1065" s="2105"/>
      <c r="Q1065" s="2105"/>
    </row>
    <row r="1066" spans="1:17" ht="14.4">
      <c r="A1066" s="2105"/>
      <c r="B1066" s="2790" t="s">
        <v>3240</v>
      </c>
      <c r="C1066" s="2105"/>
      <c r="D1066" s="2790"/>
      <c r="E1066" s="2790"/>
      <c r="F1066" s="2790"/>
      <c r="G1066" s="2790"/>
      <c r="H1066" s="2106"/>
      <c r="I1066" s="2107"/>
      <c r="J1066" s="2107"/>
      <c r="K1066" s="2107"/>
      <c r="L1066" s="2108"/>
      <c r="M1066" s="2108"/>
      <c r="N1066" s="2108"/>
      <c r="O1066" s="2108"/>
      <c r="P1066" s="2108"/>
      <c r="Q1066" s="2108"/>
    </row>
    <row r="1067" spans="1:17" ht="409.6">
      <c r="A1067" s="2782" t="str">
        <f>'Part VII-Threshold Criteria'!A216</f>
        <v xml:space="preserve">CAHEC Properties Corporation was approved as Qualified under a Probationary Participation for the 9% round on May 11, 2023. No changes have been made to the project team since that submission, however, an updated Performance Workbook is included with this application. </v>
      </c>
      <c r="B1067" s="2782"/>
      <c r="C1067" s="2782"/>
      <c r="D1067" s="2782"/>
      <c r="E1067" s="2782"/>
      <c r="F1067" s="2782"/>
      <c r="G1067" s="2782"/>
      <c r="H1067" s="2782"/>
      <c r="I1067" s="2782"/>
      <c r="J1067" s="2782"/>
      <c r="K1067" s="2782"/>
      <c r="L1067" s="2782"/>
      <c r="M1067" s="2782"/>
      <c r="N1067" s="2782"/>
      <c r="O1067" s="2782"/>
      <c r="P1067" s="2782"/>
      <c r="Q1067" s="2782"/>
    </row>
    <row r="1068" spans="1:17" ht="14.4">
      <c r="A1068" s="2105"/>
      <c r="B1068" s="2787" t="s">
        <v>1730</v>
      </c>
      <c r="C1068" s="2788"/>
      <c r="D1068" s="2789"/>
      <c r="E1068" s="2789"/>
      <c r="F1068" s="2789"/>
      <c r="G1068" s="2789"/>
      <c r="H1068" s="2789"/>
      <c r="I1068" s="2789"/>
      <c r="J1068" s="2789"/>
      <c r="K1068" s="2789"/>
      <c r="L1068" s="2789"/>
      <c r="M1068" s="2789"/>
      <c r="N1068" s="2789"/>
      <c r="O1068" s="2105"/>
      <c r="P1068" s="2789"/>
      <c r="Q1068" s="2789"/>
    </row>
    <row r="1069" spans="1:17" ht="13.8">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3.8">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3.8">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3.8">
      <c r="A1072" s="2785" t="s">
        <v>3373</v>
      </c>
      <c r="B1072" s="2781" t="s">
        <v>6539</v>
      </c>
      <c r="C1072" s="2781"/>
      <c r="D1072" s="2781"/>
      <c r="E1072" s="2781"/>
      <c r="F1072" s="2781"/>
      <c r="G1072" s="2781"/>
      <c r="H1072" s="2789"/>
      <c r="I1072" s="2789"/>
      <c r="J1072" s="2789"/>
      <c r="K1072" s="2789"/>
      <c r="L1072" s="2789"/>
      <c r="M1072" s="2789"/>
      <c r="N1072" s="2795"/>
      <c r="O1072" s="2786" t="s">
        <v>1731</v>
      </c>
      <c r="P1072" s="2781"/>
      <c r="Q1072" s="2781"/>
    </row>
    <row r="1073" spans="1:17" ht="15" customHeight="1">
      <c r="A1073" s="2785"/>
      <c r="B1073" s="2782" t="s">
        <v>6821</v>
      </c>
      <c r="C1073" s="2782"/>
      <c r="D1073" s="2782"/>
      <c r="E1073" s="2782"/>
      <c r="F1073" s="2782"/>
      <c r="G1073" s="2782"/>
      <c r="H1073" s="2782"/>
      <c r="I1073" s="2782"/>
      <c r="J1073" s="2782"/>
      <c r="K1073" s="2782"/>
      <c r="L1073" s="2782"/>
      <c r="M1073" s="2782"/>
      <c r="N1073" s="2782"/>
      <c r="O1073" s="2782"/>
      <c r="P1073" s="2105" t="str">
        <f>'Part VII-Threshold Criteria'!P222</f>
        <v>Agree</v>
      </c>
      <c r="Q1073" s="2105"/>
    </row>
    <row r="1074" spans="1:17" ht="15" customHeight="1">
      <c r="A1074" s="2799" t="s">
        <v>1841</v>
      </c>
      <c r="B1074" s="2821" t="s">
        <v>7006</v>
      </c>
      <c r="C1074" s="2821"/>
      <c r="D1074" s="2821"/>
      <c r="E1074" s="2821"/>
      <c r="F1074" s="2821"/>
      <c r="G1074" s="2821"/>
      <c r="H1074" s="2821"/>
      <c r="I1074" s="2821"/>
      <c r="J1074" s="2821"/>
      <c r="K1074" s="2821"/>
      <c r="L1074" s="2821"/>
      <c r="M1074" s="2821"/>
      <c r="N1074" s="2821"/>
      <c r="O1074" s="2821"/>
      <c r="P1074" s="2108" t="str">
        <f>'Part VII-Threshold Criteria'!P223</f>
        <v>Agree</v>
      </c>
      <c r="Q1074" s="2785"/>
    </row>
    <row r="1075" spans="1:17" ht="15" customHeight="1">
      <c r="A1075" s="2799" t="s">
        <v>1843</v>
      </c>
      <c r="B1075" s="2784" t="s">
        <v>7007</v>
      </c>
      <c r="C1075" s="2784"/>
      <c r="D1075" s="2784"/>
      <c r="E1075" s="2784"/>
      <c r="F1075" s="2784"/>
      <c r="G1075" s="2784"/>
      <c r="H1075" s="2784"/>
      <c r="I1075" s="2784"/>
      <c r="J1075" s="2784"/>
      <c r="K1075" s="2784"/>
      <c r="L1075" s="2784"/>
      <c r="M1075" s="2784"/>
      <c r="N1075" s="2784"/>
      <c r="O1075" s="2784"/>
      <c r="P1075" s="2108">
        <f>'Part VII-Threshold Criteria'!P224</f>
        <v>0</v>
      </c>
      <c r="Q1075" s="2108"/>
    </row>
    <row r="1076" spans="1:17" ht="13.8">
      <c r="A1076" s="2793" t="s">
        <v>698</v>
      </c>
      <c r="B1076" s="2105" t="s">
        <v>7008</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799" t="s">
        <v>1962</v>
      </c>
      <c r="B1077" s="2784" t="s">
        <v>7009</v>
      </c>
      <c r="C1077" s="2784"/>
      <c r="D1077" s="2784"/>
      <c r="E1077" s="2784"/>
      <c r="F1077" s="2784"/>
      <c r="G1077" s="2784"/>
      <c r="H1077" s="2784"/>
      <c r="I1077" s="2784"/>
      <c r="J1077" s="2784"/>
      <c r="K1077" s="2784"/>
      <c r="L1077" s="2784"/>
      <c r="M1077" s="2784"/>
      <c r="N1077" s="2784"/>
      <c r="O1077" s="2784"/>
      <c r="P1077" s="2108">
        <f>'Part VII-Threshold Criteria'!P226</f>
        <v>0</v>
      </c>
      <c r="Q1077" s="2108"/>
    </row>
    <row r="1078" spans="1:17" ht="14.4">
      <c r="A1078" s="2105"/>
      <c r="B1078" s="2790" t="s">
        <v>3240</v>
      </c>
      <c r="C1078" s="2105"/>
      <c r="D1078" s="2790"/>
      <c r="E1078" s="2790"/>
      <c r="F1078" s="2790"/>
      <c r="G1078" s="2790"/>
      <c r="H1078" s="2106"/>
      <c r="I1078" s="2107"/>
      <c r="J1078" s="2107"/>
      <c r="K1078" s="2107"/>
      <c r="L1078" s="2108"/>
      <c r="M1078" s="2108"/>
      <c r="N1078" s="2108"/>
      <c r="O1078" s="2108"/>
      <c r="P1078" s="2108"/>
      <c r="Q1078" s="2108"/>
    </row>
    <row r="1079" spans="1:17" ht="303.60000000000002">
      <c r="A1079" s="2782" t="str">
        <f>'Part VII-Threshold Criteria'!A228</f>
        <v>Project is requesting funding under 4. "Portfolio" Preservation fo USDA Housing. The portfolio includes 13 USDA-assisted apartment communities.</v>
      </c>
      <c r="B1079" s="2782"/>
      <c r="C1079" s="2782"/>
      <c r="D1079" s="2782"/>
      <c r="E1079" s="2782"/>
      <c r="F1079" s="2782"/>
      <c r="G1079" s="2782"/>
      <c r="H1079" s="2782"/>
      <c r="I1079" s="2782"/>
      <c r="J1079" s="2782"/>
      <c r="K1079" s="2782"/>
      <c r="L1079" s="2782"/>
      <c r="M1079" s="2782"/>
      <c r="N1079" s="2782"/>
      <c r="O1079" s="2782"/>
      <c r="P1079" s="2782"/>
      <c r="Q1079" s="2782"/>
    </row>
    <row r="1080" spans="1:17" ht="14.4">
      <c r="A1080" s="2105"/>
      <c r="B1080" s="2787" t="s">
        <v>1730</v>
      </c>
      <c r="C1080" s="2788"/>
      <c r="D1080" s="2789"/>
      <c r="E1080" s="2789"/>
      <c r="F1080" s="2789"/>
      <c r="G1080" s="2789"/>
      <c r="H1080" s="2789"/>
      <c r="I1080" s="2789"/>
      <c r="J1080" s="2789"/>
      <c r="K1080" s="2789"/>
      <c r="L1080" s="2789"/>
      <c r="M1080" s="2789"/>
      <c r="N1080" s="2789"/>
      <c r="O1080" s="2789"/>
      <c r="P1080" s="2789"/>
      <c r="Q1080" s="2789"/>
    </row>
    <row r="1081" spans="1:17" ht="13.8">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3.8">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3.8">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3.8">
      <c r="A1084" s="2785" t="s">
        <v>3376</v>
      </c>
      <c r="B1084" s="2781" t="s">
        <v>3358</v>
      </c>
      <c r="C1084" s="2781"/>
      <c r="D1084" s="2781"/>
      <c r="E1084" s="2781"/>
      <c r="F1084" s="2781"/>
      <c r="G1084" s="2781"/>
      <c r="H1084" s="2789"/>
      <c r="I1084" s="2789"/>
      <c r="J1084" s="2789"/>
      <c r="K1084" s="2789"/>
      <c r="L1084" s="2789"/>
      <c r="M1084" s="2789"/>
      <c r="N1084" s="2793"/>
      <c r="O1084" s="2786" t="s">
        <v>1731</v>
      </c>
      <c r="P1084" s="2781"/>
      <c r="Q1084" s="2781"/>
    </row>
    <row r="1085" spans="1:17" ht="13.8">
      <c r="A1085" s="2793"/>
      <c r="B1085" s="2105" t="s">
        <v>3359</v>
      </c>
      <c r="C1085" s="2105"/>
      <c r="D1085" s="2105"/>
      <c r="E1085" s="2105"/>
      <c r="F1085" s="2105"/>
      <c r="G1085" s="2781" t="str">
        <f>'Part VII-Threshold Criteria'!G234</f>
        <v>CAHEC Properties Corporation</v>
      </c>
      <c r="H1085" s="2781"/>
      <c r="I1085" s="2781"/>
      <c r="J1085" s="2781"/>
      <c r="K1085" s="2781"/>
      <c r="L1085" s="2781"/>
      <c r="M1085" s="2781"/>
      <c r="N1085" s="2781"/>
      <c r="O1085" s="2781"/>
      <c r="P1085" s="2781"/>
      <c r="Q1085" s="2781"/>
    </row>
    <row r="1086" spans="1:17" ht="13.8">
      <c r="A1086" s="2793"/>
      <c r="B1086" s="2105" t="s">
        <v>3360</v>
      </c>
      <c r="C1086" s="2105"/>
      <c r="D1086" s="2105"/>
      <c r="E1086" s="2105"/>
      <c r="F1086" s="2105"/>
      <c r="G1086" s="2781" t="str">
        <f>'Part VII-Threshold Criteria'!G235</f>
        <v>https://www.cahecproperties.com</v>
      </c>
      <c r="H1086" s="2781"/>
      <c r="I1086" s="2781"/>
      <c r="J1086" s="2781"/>
      <c r="K1086" s="2781"/>
      <c r="L1086" s="2781"/>
      <c r="M1086" s="2781"/>
      <c r="N1086" s="2781"/>
      <c r="O1086" s="2781"/>
      <c r="P1086" s="2781"/>
      <c r="Q1086" s="2781"/>
    </row>
    <row r="1087" spans="1:17" ht="13.8">
      <c r="A1087" s="2793"/>
      <c r="B1087" s="2105" t="s">
        <v>6826</v>
      </c>
      <c r="C1087" s="2105"/>
      <c r="D1087" s="2782"/>
      <c r="E1087" s="2782"/>
      <c r="F1087" s="2782"/>
      <c r="G1087" s="2781"/>
      <c r="H1087" s="2781"/>
      <c r="I1087" s="2781"/>
      <c r="J1087" s="2781"/>
      <c r="K1087" s="2781"/>
      <c r="L1087" s="2781"/>
      <c r="M1087" s="2781"/>
      <c r="N1087" s="2781"/>
      <c r="O1087" s="2781"/>
      <c r="P1087" s="2105" t="str">
        <f>'Part VII-Threshold Criteria'!P236</f>
        <v>Agree</v>
      </c>
      <c r="Q1087" s="2105"/>
    </row>
    <row r="1088" spans="1:17" ht="15" customHeight="1">
      <c r="A1088" s="2793"/>
      <c r="B1088" s="2805" t="s">
        <v>1963</v>
      </c>
      <c r="C1088" s="2784" t="s">
        <v>6827</v>
      </c>
      <c r="D1088" s="2784"/>
      <c r="E1088" s="2784"/>
      <c r="F1088" s="2784"/>
      <c r="G1088" s="2784"/>
      <c r="H1088" s="2784"/>
      <c r="I1088" s="2784"/>
      <c r="J1088" s="2784"/>
      <c r="K1088" s="2784"/>
      <c r="L1088" s="2784"/>
      <c r="M1088" s="2784"/>
      <c r="N1088" s="2784"/>
      <c r="O1088" s="2784"/>
      <c r="P1088" s="2784"/>
      <c r="Q1088" s="2784"/>
    </row>
    <row r="1089" spans="1:17" ht="15" customHeight="1">
      <c r="A1089" s="2793"/>
      <c r="B1089" s="2805" t="s">
        <v>1964</v>
      </c>
      <c r="C1089" s="2784" t="s">
        <v>6828</v>
      </c>
      <c r="D1089" s="2784"/>
      <c r="E1089" s="2784"/>
      <c r="F1089" s="2784"/>
      <c r="G1089" s="2784"/>
      <c r="H1089" s="2784"/>
      <c r="I1089" s="2784"/>
      <c r="J1089" s="2784"/>
      <c r="K1089" s="2784"/>
      <c r="L1089" s="2784"/>
      <c r="M1089" s="2784"/>
      <c r="N1089" s="2784"/>
      <c r="O1089" s="2784"/>
      <c r="P1089" s="2784"/>
      <c r="Q1089" s="2784"/>
    </row>
    <row r="1090" spans="1:17" ht="15" customHeight="1">
      <c r="A1090" s="2793"/>
      <c r="B1090" s="2805" t="s">
        <v>1611</v>
      </c>
      <c r="C1090" s="2784" t="s">
        <v>6829</v>
      </c>
      <c r="D1090" s="2784"/>
      <c r="E1090" s="2784"/>
      <c r="F1090" s="2784"/>
      <c r="G1090" s="2784"/>
      <c r="H1090" s="2784"/>
      <c r="I1090" s="2784"/>
      <c r="J1090" s="2784"/>
      <c r="K1090" s="2784"/>
      <c r="L1090" s="2784"/>
      <c r="M1090" s="2784"/>
      <c r="N1090" s="2784"/>
      <c r="O1090" s="2784"/>
      <c r="P1090" s="2784"/>
      <c r="Q1090" s="2784"/>
    </row>
    <row r="1091" spans="1:17" ht="15" customHeight="1">
      <c r="A1091" s="2793"/>
      <c r="B1091" s="2805" t="s">
        <v>3865</v>
      </c>
      <c r="C1091" s="2784" t="s">
        <v>6830</v>
      </c>
      <c r="D1091" s="2784"/>
      <c r="E1091" s="2784"/>
      <c r="F1091" s="2784"/>
      <c r="G1091" s="2784"/>
      <c r="H1091" s="2784"/>
      <c r="I1091" s="2784"/>
      <c r="J1091" s="2784"/>
      <c r="K1091" s="2784"/>
      <c r="L1091" s="2784"/>
      <c r="M1091" s="2784"/>
      <c r="N1091" s="2784"/>
      <c r="O1091" s="2784"/>
      <c r="P1091" s="2784"/>
      <c r="Q1091" s="2784"/>
    </row>
    <row r="1092" spans="1:17" ht="15" customHeight="1">
      <c r="A1092" s="2793"/>
      <c r="B1092" s="2805" t="s">
        <v>6831</v>
      </c>
      <c r="C1092" s="2784" t="s">
        <v>6832</v>
      </c>
      <c r="D1092" s="2784"/>
      <c r="E1092" s="2784"/>
      <c r="F1092" s="2784"/>
      <c r="G1092" s="2784"/>
      <c r="H1092" s="2784"/>
      <c r="I1092" s="2784"/>
      <c r="J1092" s="2784"/>
      <c r="K1092" s="2784"/>
      <c r="L1092" s="2784"/>
      <c r="M1092" s="2784"/>
      <c r="N1092" s="2784"/>
      <c r="O1092" s="2784"/>
      <c r="P1092" s="2784"/>
      <c r="Q1092" s="2784"/>
    </row>
    <row r="1093" spans="1:17" ht="13.8">
      <c r="A1093" s="2105"/>
      <c r="B1093" s="2795" t="s">
        <v>6833</v>
      </c>
      <c r="C1093" s="2106" t="s">
        <v>7010</v>
      </c>
      <c r="D1093" s="2105"/>
      <c r="E1093" s="2789"/>
      <c r="F1093" s="2789"/>
      <c r="G1093" s="2789"/>
      <c r="H1093" s="2789"/>
      <c r="I1093" s="2789"/>
      <c r="J1093" s="2789"/>
      <c r="K1093" s="2789"/>
      <c r="L1093" s="2789"/>
      <c r="M1093" s="2789"/>
      <c r="N1093" s="2789"/>
      <c r="O1093" s="2105"/>
      <c r="P1093" s="2105"/>
      <c r="Q1093" s="2105"/>
    </row>
    <row r="1094" spans="1:17" ht="14.4">
      <c r="A1094" s="2105"/>
      <c r="B1094" s="2790" t="s">
        <v>3240</v>
      </c>
      <c r="C1094" s="2105"/>
      <c r="D1094" s="2790"/>
      <c r="E1094" s="2790"/>
      <c r="F1094" s="2790"/>
      <c r="G1094" s="2790"/>
      <c r="H1094" s="2106"/>
      <c r="I1094" s="2107"/>
      <c r="J1094" s="2107"/>
      <c r="K1094" s="2107"/>
      <c r="L1094" s="2108"/>
      <c r="M1094" s="2108"/>
      <c r="N1094" s="2108"/>
      <c r="O1094" s="2108"/>
      <c r="P1094" s="2108"/>
      <c r="Q1094" s="2108"/>
    </row>
    <row r="1095" spans="1:17" ht="409.6">
      <c r="A1095" s="2782" t="str">
        <f>'Part VII-Threshold Criteria'!A244</f>
        <v>CAHEC Properties Corporation, Inc. is a non-profit corporation that preserves and owns affordable housing in the Southeast and is the sole member and manager of CAHEC Development, LLC, the developer for this Project. CAHEC Development, LLC will receive 100% of the developer fee. In addition to acting as the general partner of over 230 residential properties in five states, CAHEC Properties Corporation continually pursues investments that align with its core mission of preserving, improving, and expanding affordable housing opportunities.</v>
      </c>
      <c r="B1095" s="2782"/>
      <c r="C1095" s="2782"/>
      <c r="D1095" s="2782"/>
      <c r="E1095" s="2782"/>
      <c r="F1095" s="2782"/>
      <c r="G1095" s="2782"/>
      <c r="H1095" s="2782"/>
      <c r="I1095" s="2782"/>
      <c r="J1095" s="2782"/>
      <c r="K1095" s="2782"/>
      <c r="L1095" s="2782"/>
      <c r="M1095" s="2782"/>
      <c r="N1095" s="2782"/>
      <c r="O1095" s="2782"/>
      <c r="P1095" s="2782"/>
      <c r="Q1095" s="2782"/>
    </row>
    <row r="1096" spans="1:17" ht="14.4">
      <c r="A1096" s="2105"/>
      <c r="B1096" s="2787" t="s">
        <v>1730</v>
      </c>
      <c r="C1096" s="2788"/>
      <c r="D1096" s="2789"/>
      <c r="E1096" s="2789"/>
      <c r="F1096" s="2789"/>
      <c r="G1096" s="2789"/>
      <c r="H1096" s="2789"/>
      <c r="I1096" s="2789"/>
      <c r="J1096" s="2789"/>
      <c r="K1096" s="2789"/>
      <c r="L1096" s="2789"/>
      <c r="M1096" s="2789"/>
      <c r="N1096" s="2789"/>
      <c r="O1096" s="2789"/>
      <c r="P1096" s="2789"/>
      <c r="Q1096" s="2789"/>
    </row>
    <row r="1097" spans="1:17" ht="13.8">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3.8">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3.8">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3.8">
      <c r="A1100" s="2785" t="s">
        <v>3377</v>
      </c>
      <c r="B1100" s="2781" t="s">
        <v>2435</v>
      </c>
      <c r="C1100" s="2781"/>
      <c r="D1100" s="2781"/>
      <c r="E1100" s="2789"/>
      <c r="F1100" s="2105"/>
      <c r="G1100" s="2105" t="s">
        <v>655</v>
      </c>
      <c r="H1100" s="2789"/>
      <c r="I1100" s="2789"/>
      <c r="J1100" s="2789"/>
      <c r="K1100" s="2789"/>
      <c r="L1100" s="2789"/>
      <c r="M1100" s="2789"/>
      <c r="N1100" s="2105"/>
      <c r="O1100" s="2786" t="s">
        <v>1731</v>
      </c>
      <c r="P1100" s="2781"/>
      <c r="Q1100" s="2781"/>
    </row>
    <row r="1101" spans="1:17" ht="13.8">
      <c r="A1101" s="2793"/>
      <c r="B1101" s="2105" t="s">
        <v>2438</v>
      </c>
      <c r="C1101" s="2105"/>
      <c r="D1101" s="2782"/>
      <c r="E1101" s="2782"/>
      <c r="F1101" s="2105"/>
      <c r="G1101" s="2105"/>
      <c r="H1101" s="2105"/>
      <c r="I1101" s="2105"/>
      <c r="J1101" s="2105"/>
      <c r="K1101" s="2105"/>
      <c r="L1101" s="2105"/>
      <c r="M1101" s="2105"/>
      <c r="N1101" s="2105"/>
      <c r="O1101" s="2795"/>
      <c r="P1101" s="2781">
        <f>'Part VII-Threshold Criteria'!P250</f>
        <v>0</v>
      </c>
      <c r="Q1101" s="2781"/>
    </row>
    <row r="1102" spans="1:17" ht="13.8">
      <c r="A1102" s="2793"/>
      <c r="B1102" s="2105" t="s">
        <v>3142</v>
      </c>
      <c r="C1102" s="2105"/>
      <c r="D1102" s="2782"/>
      <c r="E1102" s="2782"/>
      <c r="F1102" s="2105"/>
      <c r="G1102" s="2105"/>
      <c r="H1102" s="2105"/>
      <c r="I1102" s="2105"/>
      <c r="J1102" s="2105"/>
      <c r="K1102" s="2105"/>
      <c r="L1102" s="2105"/>
      <c r="M1102" s="2105"/>
      <c r="N1102" s="2105"/>
      <c r="O1102" s="2795"/>
      <c r="P1102" s="2781">
        <f>'Part VII-Threshold Criteria'!P251</f>
        <v>0</v>
      </c>
      <c r="Q1102" s="2781"/>
    </row>
    <row r="1103" spans="1:17" ht="13.8">
      <c r="A1103" s="2793"/>
      <c r="B1103" s="2105" t="s">
        <v>4031</v>
      </c>
      <c r="C1103" s="2105"/>
      <c r="D1103" s="2782"/>
      <c r="E1103" s="2782"/>
      <c r="F1103" s="2105"/>
      <c r="G1103" s="2105"/>
      <c r="H1103" s="2105"/>
      <c r="I1103" s="2105"/>
      <c r="J1103" s="2105"/>
      <c r="K1103" s="2105"/>
      <c r="L1103" s="2105"/>
      <c r="M1103" s="2105"/>
      <c r="N1103" s="2105"/>
      <c r="O1103" s="2795"/>
      <c r="P1103" s="2781">
        <f>'Part VII-Threshold Criteria'!P252</f>
        <v>0</v>
      </c>
      <c r="Q1103" s="2781"/>
    </row>
    <row r="1104" spans="1:17" ht="13.8">
      <c r="A1104" s="2793"/>
      <c r="B1104" s="2105" t="s">
        <v>3143</v>
      </c>
      <c r="C1104" s="2105"/>
      <c r="D1104" s="2105"/>
      <c r="E1104" s="2105"/>
      <c r="F1104" s="2105"/>
      <c r="G1104" s="2105"/>
      <c r="H1104" s="2105"/>
      <c r="I1104" s="2105"/>
      <c r="J1104" s="2105"/>
      <c r="K1104" s="2105"/>
      <c r="L1104" s="2105"/>
      <c r="M1104" s="2105"/>
      <c r="N1104" s="2105"/>
      <c r="O1104" s="2795"/>
      <c r="P1104" s="2781">
        <f>'Part VII-Threshold Criteria'!P253</f>
        <v>0</v>
      </c>
      <c r="Q1104" s="2781"/>
    </row>
    <row r="1105" spans="1:17" ht="13.8">
      <c r="A1105" s="2793"/>
      <c r="B1105" s="2105" t="s">
        <v>690</v>
      </c>
      <c r="C1105" s="2105"/>
      <c r="D1105" s="2782">
        <f>'Part VII-Threshold Criteria'!D254</f>
        <v>0</v>
      </c>
      <c r="E1105" s="2782"/>
      <c r="F1105" s="2782"/>
      <c r="G1105" s="2782"/>
      <c r="H1105" s="2782"/>
      <c r="I1105" s="2782"/>
      <c r="J1105" s="2782"/>
      <c r="K1105" s="2782"/>
      <c r="L1105" s="2782"/>
      <c r="M1105" s="2782"/>
      <c r="N1105" s="2782"/>
      <c r="O1105" s="2782"/>
      <c r="P1105" s="2782"/>
      <c r="Q1105" s="2782"/>
    </row>
    <row r="1106" spans="1:17" ht="14.4">
      <c r="A1106" s="2105"/>
      <c r="B1106" s="2790" t="s">
        <v>3240</v>
      </c>
      <c r="C1106" s="2105"/>
      <c r="D1106" s="2790"/>
      <c r="E1106" s="2790"/>
      <c r="F1106" s="2790"/>
      <c r="G1106" s="2790"/>
      <c r="H1106" s="2106"/>
      <c r="I1106" s="2107"/>
      <c r="J1106" s="2107"/>
      <c r="K1106" s="2107"/>
      <c r="L1106" s="2108"/>
      <c r="M1106" s="2108"/>
      <c r="N1106" s="2108"/>
      <c r="O1106" s="2108"/>
      <c r="P1106" s="2108"/>
      <c r="Q1106" s="2108"/>
    </row>
    <row r="1107" spans="1:17" ht="220.8">
      <c r="A1107" s="2782" t="str">
        <f>'Part VII-Threshold Criteria'!A256</f>
        <v>Legal opinions are not required as part of the competitive review application and will be provided at full application.</v>
      </c>
      <c r="B1107" s="2782"/>
      <c r="C1107" s="2782"/>
      <c r="D1107" s="2782"/>
      <c r="E1107" s="2782"/>
      <c r="F1107" s="2782"/>
      <c r="G1107" s="2782"/>
      <c r="H1107" s="2782"/>
      <c r="I1107" s="2782"/>
      <c r="J1107" s="2782"/>
      <c r="K1107" s="2782"/>
      <c r="L1107" s="2782"/>
      <c r="M1107" s="2782"/>
      <c r="N1107" s="2782"/>
      <c r="O1107" s="2782"/>
      <c r="P1107" s="2782"/>
      <c r="Q1107" s="2782"/>
    </row>
    <row r="1108" spans="1:17" ht="14.4">
      <c r="A1108" s="2105"/>
      <c r="B1108" s="2787" t="s">
        <v>1730</v>
      </c>
      <c r="C1108" s="2788"/>
      <c r="D1108" s="2789"/>
      <c r="E1108" s="2789"/>
      <c r="F1108" s="2789"/>
      <c r="G1108" s="2789"/>
      <c r="H1108" s="2789"/>
      <c r="I1108" s="2789"/>
      <c r="J1108" s="2789"/>
      <c r="K1108" s="2789"/>
      <c r="L1108" s="2789"/>
      <c r="M1108" s="2789"/>
      <c r="N1108" s="2789"/>
      <c r="O1108" s="2789"/>
      <c r="P1108" s="2789"/>
      <c r="Q1108" s="2789"/>
    </row>
    <row r="1109" spans="1:17" ht="13.8">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3.8">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3.8">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3.8">
      <c r="A1112" s="2785" t="s">
        <v>3378</v>
      </c>
      <c r="B1112" s="2781" t="s">
        <v>3939</v>
      </c>
      <c r="C1112" s="2781"/>
      <c r="D1112" s="2781"/>
      <c r="E1112" s="2781"/>
      <c r="F1112" s="2781"/>
      <c r="G1112" s="2781"/>
      <c r="H1112" s="2789"/>
      <c r="I1112" s="2789"/>
      <c r="J1112" s="2789"/>
      <c r="K1112" s="2789"/>
      <c r="L1112" s="2789"/>
      <c r="M1112" s="2789"/>
      <c r="N1112" s="2105"/>
      <c r="O1112" s="2786" t="s">
        <v>1731</v>
      </c>
      <c r="P1112" s="2781"/>
      <c r="Q1112" s="2781"/>
    </row>
    <row r="1113" spans="1:17" ht="13.8">
      <c r="A1113" s="2105"/>
      <c r="B1113" s="2105" t="s">
        <v>6251</v>
      </c>
      <c r="C1113" s="2105"/>
      <c r="D1113" s="2105"/>
      <c r="E1113" s="2105"/>
      <c r="F1113" s="2105"/>
      <c r="G1113" s="2105"/>
      <c r="H1113" s="2105"/>
      <c r="I1113" s="2105"/>
      <c r="J1113" s="2105"/>
      <c r="K1113" s="2105"/>
      <c r="L1113" s="2105"/>
      <c r="M1113" s="2105"/>
      <c r="N1113" s="2105"/>
      <c r="O1113" s="2795"/>
      <c r="P1113" s="2105" t="str">
        <f>'Part VII-Threshold Criteria'!P262</f>
        <v>Yes</v>
      </c>
      <c r="Q1113" s="2105"/>
    </row>
    <row r="1114" spans="1:17" ht="13.8">
      <c r="A1114" s="2793" t="s">
        <v>1841</v>
      </c>
      <c r="B1114" s="2781" t="s">
        <v>3938</v>
      </c>
      <c r="C1114" s="2105"/>
      <c r="D1114" s="2105"/>
      <c r="E1114" s="2105"/>
      <c r="F1114" s="2105"/>
      <c r="G1114" s="2105"/>
      <c r="H1114" s="2105"/>
      <c r="I1114" s="2105"/>
      <c r="J1114" s="2105"/>
      <c r="K1114" s="2105"/>
      <c r="L1114" s="2105"/>
      <c r="M1114" s="2105"/>
      <c r="N1114" s="2105"/>
      <c r="O1114" s="2105"/>
      <c r="P1114" s="2105"/>
      <c r="Q1114" s="2105"/>
    </row>
    <row r="1115" spans="1:17" ht="13.8">
      <c r="A1115" s="2793"/>
      <c r="B1115" s="2105" t="s">
        <v>701</v>
      </c>
      <c r="C1115" s="2105"/>
      <c r="D1115" s="2105"/>
      <c r="E1115" s="2105"/>
      <c r="F1115" s="2105"/>
      <c r="G1115" s="2105"/>
      <c r="H1115" s="2105"/>
      <c r="I1115" s="2105"/>
      <c r="J1115" s="2105"/>
      <c r="K1115" s="2105"/>
      <c r="L1115" s="2105"/>
      <c r="M1115" s="2105"/>
      <c r="N1115" s="2105"/>
      <c r="O1115" s="2105"/>
      <c r="P1115" s="2105" t="str">
        <f>'Part VII-Threshold Criteria'!P264</f>
        <v>Yes</v>
      </c>
      <c r="Q1115" s="2105"/>
    </row>
    <row r="1116" spans="1:17" ht="13.8">
      <c r="A1116" s="2105"/>
      <c r="B1116" s="2105" t="s">
        <v>4033</v>
      </c>
      <c r="C1116" s="2105"/>
      <c r="D1116" s="2105"/>
      <c r="E1116" s="2105"/>
      <c r="F1116" s="2105"/>
      <c r="G1116" s="2105"/>
      <c r="H1116" s="2105"/>
      <c r="I1116" s="2105"/>
      <c r="J1116" s="2105"/>
      <c r="K1116" s="2105"/>
      <c r="L1116" s="2105"/>
      <c r="M1116" s="2105"/>
      <c r="N1116" s="2105"/>
      <c r="O1116" s="2105"/>
      <c r="P1116" s="2105" t="str">
        <f>'Part VII-Threshold Criteria'!P265</f>
        <v>No</v>
      </c>
      <c r="Q1116" s="2105"/>
    </row>
    <row r="1117" spans="1:17" ht="15" customHeight="1">
      <c r="A1117" s="2793"/>
      <c r="B1117" s="2782" t="s">
        <v>6835</v>
      </c>
      <c r="C1117" s="2782"/>
      <c r="D1117" s="2782"/>
      <c r="E1117" s="2782"/>
      <c r="F1117" s="2782"/>
      <c r="G1117" s="2782"/>
      <c r="H1117" s="2782"/>
      <c r="I1117" s="2782"/>
      <c r="J1117" s="2782"/>
      <c r="K1117" s="2782"/>
      <c r="L1117" s="2782"/>
      <c r="M1117" s="2782"/>
      <c r="N1117" s="2782"/>
      <c r="O1117" s="2782"/>
      <c r="P1117" s="2105" t="str">
        <f>'Part VII-Threshold Criteria'!P266</f>
        <v>No</v>
      </c>
      <c r="Q1117" s="2105"/>
    </row>
    <row r="1118" spans="1:17" ht="14.4">
      <c r="A1118" s="2105"/>
      <c r="B1118" s="2790" t="s">
        <v>3240</v>
      </c>
      <c r="C1118" s="2105"/>
      <c r="D1118" s="2790"/>
      <c r="E1118" s="2790"/>
      <c r="F1118" s="2790"/>
      <c r="G1118" s="2790"/>
      <c r="H1118" s="2106"/>
      <c r="I1118" s="2107"/>
      <c r="J1118" s="2107"/>
      <c r="K1118" s="2107"/>
      <c r="L1118" s="2105"/>
      <c r="M1118" s="2105"/>
      <c r="N1118" s="2105"/>
      <c r="O1118" s="2105"/>
      <c r="P1118" s="2105"/>
      <c r="Q1118" s="2105"/>
    </row>
    <row r="1119" spans="1:17" ht="317.39999999999998">
      <c r="A1119" s="2782" t="str">
        <f>'Part VII-Threshold Criteria'!A268</f>
        <v>We do not anticipate any permanent displacement for this project. Waivers for temporary relocation will be provided in the pre-application submission.</v>
      </c>
      <c r="B1119" s="2782"/>
      <c r="C1119" s="2782"/>
      <c r="D1119" s="2782"/>
      <c r="E1119" s="2782"/>
      <c r="F1119" s="2782"/>
      <c r="G1119" s="2782"/>
      <c r="H1119" s="2782"/>
      <c r="I1119" s="2782"/>
      <c r="J1119" s="2782"/>
      <c r="K1119" s="2782"/>
      <c r="L1119" s="2782"/>
      <c r="M1119" s="2782"/>
      <c r="N1119" s="2782"/>
      <c r="O1119" s="2782"/>
      <c r="P1119" s="2782"/>
      <c r="Q1119" s="2782"/>
    </row>
    <row r="1120" spans="1:17" ht="14.4">
      <c r="A1120" s="2105"/>
      <c r="B1120" s="2787" t="s">
        <v>1730</v>
      </c>
      <c r="C1120" s="2788"/>
      <c r="D1120" s="2789"/>
      <c r="E1120" s="2789"/>
      <c r="F1120" s="2789"/>
      <c r="G1120" s="2789"/>
      <c r="H1120" s="2789"/>
      <c r="I1120" s="2789"/>
      <c r="J1120" s="2789"/>
      <c r="K1120" s="2789"/>
      <c r="L1120" s="2789"/>
      <c r="M1120" s="2789"/>
      <c r="N1120" s="2789"/>
      <c r="O1120" s="2789"/>
      <c r="P1120" s="2789"/>
      <c r="Q1120" s="2789"/>
    </row>
    <row r="1121" spans="1:17" ht="13.8">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3.8">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3.8">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3.8">
      <c r="A1124" s="2785" t="s">
        <v>3379</v>
      </c>
      <c r="B1124" s="2781" t="s">
        <v>2508</v>
      </c>
      <c r="C1124" s="2781"/>
      <c r="D1124" s="2781"/>
      <c r="E1124" s="2789"/>
      <c r="F1124" s="2789"/>
      <c r="G1124" s="2789"/>
      <c r="H1124" s="2789"/>
      <c r="I1124" s="2105"/>
      <c r="J1124" s="2105"/>
      <c r="K1124" s="2105"/>
      <c r="L1124" s="2105"/>
      <c r="M1124" s="2105"/>
      <c r="N1124" s="2105"/>
      <c r="O1124" s="2786" t="s">
        <v>1731</v>
      </c>
      <c r="P1124" s="2781"/>
      <c r="Q1124" s="2781"/>
    </row>
    <row r="1125" spans="1:17" ht="15" customHeight="1">
      <c r="A1125" s="2105"/>
      <c r="B1125" s="2782" t="s">
        <v>6836</v>
      </c>
      <c r="C1125" s="2782"/>
      <c r="D1125" s="2782"/>
      <c r="E1125" s="2782"/>
      <c r="F1125" s="2782"/>
      <c r="G1125" s="2782"/>
      <c r="H1125" s="2782"/>
      <c r="I1125" s="2782"/>
      <c r="J1125" s="2782"/>
      <c r="K1125" s="2782"/>
      <c r="L1125" s="2782"/>
      <c r="M1125" s="2782"/>
      <c r="N1125" s="2782"/>
      <c r="O1125" s="2812"/>
      <c r="P1125" s="2105" t="str">
        <f>'Part VII-Threshold Criteria'!P274</f>
        <v>Agree</v>
      </c>
      <c r="Q1125" s="2105"/>
    </row>
    <row r="1126" spans="1:17" ht="14.25" customHeight="1">
      <c r="A1126" s="2105"/>
      <c r="B1126" s="2805" t="s">
        <v>1841</v>
      </c>
      <c r="C1126" s="2784" t="s">
        <v>3312</v>
      </c>
      <c r="D1126" s="2784"/>
      <c r="E1126" s="2784"/>
      <c r="F1126" s="2784"/>
      <c r="G1126" s="2784"/>
      <c r="H1126" s="2784"/>
      <c r="I1126" s="2784"/>
      <c r="J1126" s="2784"/>
      <c r="K1126" s="2784"/>
      <c r="L1126" s="2784"/>
      <c r="M1126" s="2784"/>
      <c r="N1126" s="2784"/>
      <c r="O1126" s="2784"/>
      <c r="P1126" s="2782"/>
      <c r="Q1126" s="2105"/>
    </row>
    <row r="1127" spans="1:17" ht="15" customHeight="1">
      <c r="A1127" s="2105"/>
      <c r="B1127" s="2805" t="s">
        <v>1843</v>
      </c>
      <c r="C1127" s="2784" t="s">
        <v>6837</v>
      </c>
      <c r="D1127" s="2784"/>
      <c r="E1127" s="2784"/>
      <c r="F1127" s="2784"/>
      <c r="G1127" s="2784"/>
      <c r="H1127" s="2784"/>
      <c r="I1127" s="2784"/>
      <c r="J1127" s="2784"/>
      <c r="K1127" s="2784"/>
      <c r="L1127" s="2784"/>
      <c r="M1127" s="2784"/>
      <c r="N1127" s="2784"/>
      <c r="O1127" s="2784"/>
      <c r="P1127" s="2782"/>
      <c r="Q1127" s="2108"/>
    </row>
    <row r="1128" spans="1:17" ht="15" customHeight="1">
      <c r="A1128" s="2105"/>
      <c r="B1128" s="2105"/>
      <c r="C1128" s="2822" t="s">
        <v>1844</v>
      </c>
      <c r="D1128" s="2784" t="s">
        <v>3867</v>
      </c>
      <c r="E1128" s="2784"/>
      <c r="F1128" s="2784"/>
      <c r="G1128" s="2784"/>
      <c r="H1128" s="2784"/>
      <c r="I1128" s="2784"/>
      <c r="J1128" s="2784"/>
      <c r="K1128" s="2784"/>
      <c r="L1128" s="2784"/>
      <c r="M1128" s="2784"/>
      <c r="N1128" s="2784"/>
      <c r="O1128" s="2784"/>
      <c r="P1128" s="2795"/>
      <c r="Q1128" s="2108"/>
    </row>
    <row r="1129" spans="1:17" ht="13.8">
      <c r="A1129" s="2105"/>
      <c r="B1129" s="2105"/>
      <c r="C1129" s="2822" t="s">
        <v>1846</v>
      </c>
      <c r="D1129" s="2803" t="s">
        <v>3868</v>
      </c>
      <c r="E1129" s="2803"/>
      <c r="F1129" s="2803"/>
      <c r="G1129" s="2803"/>
      <c r="H1129" s="2803"/>
      <c r="I1129" s="2803"/>
      <c r="J1129" s="2803"/>
      <c r="K1129" s="2803"/>
      <c r="L1129" s="2803"/>
      <c r="M1129" s="2803"/>
      <c r="N1129" s="2803"/>
      <c r="O1129" s="2803"/>
      <c r="P1129" s="2795"/>
      <c r="Q1129" s="2108"/>
    </row>
    <row r="1130" spans="1:17" ht="15" customHeight="1">
      <c r="A1130" s="2105"/>
      <c r="B1130" s="2105"/>
      <c r="C1130" s="2822" t="s">
        <v>2332</v>
      </c>
      <c r="D1130" s="2784" t="s">
        <v>3869</v>
      </c>
      <c r="E1130" s="2784"/>
      <c r="F1130" s="2784"/>
      <c r="G1130" s="2784"/>
      <c r="H1130" s="2784"/>
      <c r="I1130" s="2784"/>
      <c r="J1130" s="2784"/>
      <c r="K1130" s="2784"/>
      <c r="L1130" s="2784"/>
      <c r="M1130" s="2784"/>
      <c r="N1130" s="2784"/>
      <c r="O1130" s="2784"/>
      <c r="P1130" s="2795"/>
      <c r="Q1130" s="2108"/>
    </row>
    <row r="1131" spans="1:17" ht="15" customHeight="1">
      <c r="A1131" s="2105"/>
      <c r="B1131" s="2105"/>
      <c r="C1131" s="2822" t="s">
        <v>1150</v>
      </c>
      <c r="D1131" s="2784" t="s">
        <v>3870</v>
      </c>
      <c r="E1131" s="2784"/>
      <c r="F1131" s="2784"/>
      <c r="G1131" s="2784"/>
      <c r="H1131" s="2784"/>
      <c r="I1131" s="2784"/>
      <c r="J1131" s="2784"/>
      <c r="K1131" s="2784"/>
      <c r="L1131" s="2784"/>
      <c r="M1131" s="2784"/>
      <c r="N1131" s="2784"/>
      <c r="O1131" s="2784"/>
      <c r="P1131" s="2795"/>
      <c r="Q1131" s="2108"/>
    </row>
    <row r="1132" spans="1:17" ht="15" customHeight="1">
      <c r="A1132" s="2105"/>
      <c r="B1132" s="2805" t="s">
        <v>698</v>
      </c>
      <c r="C1132" s="2784" t="s">
        <v>3313</v>
      </c>
      <c r="D1132" s="2784"/>
      <c r="E1132" s="2784"/>
      <c r="F1132" s="2784"/>
      <c r="G1132" s="2784"/>
      <c r="H1132" s="2784"/>
      <c r="I1132" s="2784"/>
      <c r="J1132" s="2784"/>
      <c r="K1132" s="2784"/>
      <c r="L1132" s="2784"/>
      <c r="M1132" s="2784"/>
      <c r="N1132" s="2784"/>
      <c r="O1132" s="2784"/>
      <c r="P1132" s="2784"/>
      <c r="Q1132" s="2108"/>
    </row>
    <row r="1133" spans="1:17" ht="15" customHeight="1">
      <c r="A1133" s="2105"/>
      <c r="B1133" s="2805" t="s">
        <v>1962</v>
      </c>
      <c r="C1133" s="2784" t="s">
        <v>3918</v>
      </c>
      <c r="D1133" s="2784"/>
      <c r="E1133" s="2784"/>
      <c r="F1133" s="2784"/>
      <c r="G1133" s="2784"/>
      <c r="H1133" s="2784"/>
      <c r="I1133" s="2784"/>
      <c r="J1133" s="2784"/>
      <c r="K1133" s="2784"/>
      <c r="L1133" s="2784"/>
      <c r="M1133" s="2784"/>
      <c r="N1133" s="2784"/>
      <c r="O1133" s="2784"/>
      <c r="P1133" s="2784"/>
      <c r="Q1133" s="2108"/>
    </row>
    <row r="1134" spans="1:17" ht="15" customHeight="1">
      <c r="A1134" s="2105"/>
      <c r="B1134" s="2805" t="s">
        <v>1612</v>
      </c>
      <c r="C1134" s="2784" t="s">
        <v>3919</v>
      </c>
      <c r="D1134" s="2784"/>
      <c r="E1134" s="2784"/>
      <c r="F1134" s="2784"/>
      <c r="G1134" s="2784"/>
      <c r="H1134" s="2784"/>
      <c r="I1134" s="2784"/>
      <c r="J1134" s="2784"/>
      <c r="K1134" s="2784"/>
      <c r="L1134" s="2784"/>
      <c r="M1134" s="2784"/>
      <c r="N1134" s="2784"/>
      <c r="O1134" s="2784"/>
      <c r="P1134" s="2784"/>
      <c r="Q1134" s="2108"/>
    </row>
    <row r="1135" spans="1:17" ht="15" customHeight="1">
      <c r="A1135" s="2799"/>
      <c r="B1135" s="2784" t="s">
        <v>6838</v>
      </c>
      <c r="C1135" s="2784"/>
      <c r="D1135" s="2784"/>
      <c r="E1135" s="2784"/>
      <c r="F1135" s="2784"/>
      <c r="G1135" s="2784"/>
      <c r="H1135" s="2784"/>
      <c r="I1135" s="2784"/>
      <c r="J1135" s="2784"/>
      <c r="K1135" s="2784"/>
      <c r="L1135" s="2784"/>
      <c r="M1135" s="2784"/>
      <c r="N1135" s="2784"/>
      <c r="O1135" s="2784"/>
      <c r="P1135" s="2105" t="str">
        <f>'Part VII-Threshold Criteria'!P284</f>
        <v>Agree</v>
      </c>
      <c r="Q1135" s="2105"/>
    </row>
    <row r="1136" spans="1:17" ht="14.4">
      <c r="A1136" s="2105"/>
      <c r="B1136" s="2790" t="s">
        <v>3240</v>
      </c>
      <c r="C1136" s="2105"/>
      <c r="D1136" s="2790"/>
      <c r="E1136" s="2790"/>
      <c r="F1136" s="2790"/>
      <c r="G1136" s="2790"/>
      <c r="H1136" s="2106"/>
      <c r="I1136" s="2107"/>
      <c r="J1136" s="2107"/>
      <c r="K1136" s="2107"/>
      <c r="L1136" s="2108"/>
      <c r="M1136" s="2108"/>
      <c r="N1136" s="2108"/>
      <c r="O1136" s="2108"/>
      <c r="P1136" s="2108"/>
      <c r="Q1136" s="2108"/>
    </row>
    <row r="1137" spans="1:64" ht="345">
      <c r="A1137" s="2782" t="str">
        <f>'Part VII-Threshold Criteria'!A286</f>
        <v>The applicant and proposed management (CAHEC Management Inc.) agree to submit an AFFH Marketing Plan that will meet all requirements outlined in the above section.</v>
      </c>
      <c r="B1137" s="2782"/>
      <c r="C1137" s="2782"/>
      <c r="D1137" s="2782"/>
      <c r="E1137" s="2782"/>
      <c r="F1137" s="2782"/>
      <c r="G1137" s="2782"/>
      <c r="H1137" s="2782"/>
      <c r="I1137" s="2782"/>
      <c r="J1137" s="2782"/>
      <c r="K1137" s="2782"/>
      <c r="L1137" s="2782"/>
      <c r="M1137" s="2782"/>
      <c r="N1137" s="2782"/>
      <c r="O1137" s="2782"/>
      <c r="P1137" s="2782"/>
      <c r="Q1137" s="2782"/>
    </row>
    <row r="1138" spans="1:64" ht="14.4">
      <c r="A1138" s="2105"/>
      <c r="B1138" s="2787" t="s">
        <v>1730</v>
      </c>
      <c r="C1138" s="2788"/>
      <c r="D1138" s="2789"/>
      <c r="E1138" s="2789"/>
      <c r="F1138" s="2789"/>
      <c r="G1138" s="2789"/>
      <c r="H1138" s="2789"/>
      <c r="I1138" s="2789"/>
      <c r="J1138" s="2789"/>
      <c r="K1138" s="2789"/>
      <c r="L1138" s="2789"/>
      <c r="M1138" s="2789"/>
      <c r="N1138" s="2789"/>
      <c r="O1138" s="2789"/>
      <c r="P1138" s="2789"/>
      <c r="Q1138" s="2789"/>
    </row>
    <row r="1139" spans="1:64" ht="13.8">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3.8">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3.8">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3.8">
      <c r="A1142" s="2785" t="s">
        <v>3380</v>
      </c>
      <c r="B1142" s="2781" t="s">
        <v>2436</v>
      </c>
      <c r="C1142" s="2105"/>
      <c r="D1142" s="2781"/>
      <c r="E1142" s="2789"/>
      <c r="F1142" s="2789"/>
      <c r="G1142" s="2789"/>
      <c r="H1142" s="2789"/>
      <c r="I1142" s="2105"/>
      <c r="J1142" s="2789"/>
      <c r="K1142" s="2789"/>
      <c r="L1142" s="2789"/>
      <c r="M1142" s="2789"/>
      <c r="N1142" s="2105"/>
      <c r="O1142" s="2786" t="s">
        <v>1731</v>
      </c>
      <c r="P1142" s="2781"/>
      <c r="Q1142" s="2781"/>
    </row>
    <row r="1143" spans="1:64" ht="14.4">
      <c r="A1143" s="2785"/>
      <c r="B1143" s="2790" t="s">
        <v>3240</v>
      </c>
      <c r="C1143" s="2105"/>
      <c r="D1143" s="2790"/>
      <c r="E1143" s="2790"/>
      <c r="F1143" s="2790"/>
      <c r="G1143" s="2790"/>
      <c r="H1143" s="2106"/>
      <c r="I1143" s="2107"/>
      <c r="J1143" s="2107"/>
      <c r="K1143" s="2107"/>
      <c r="L1143" s="2108"/>
      <c r="M1143" s="2108"/>
      <c r="N1143" s="2108"/>
      <c r="O1143" s="2108"/>
      <c r="P1143" s="2108"/>
      <c r="Q1143" s="2108"/>
    </row>
    <row r="1144" spans="1:64" ht="409.6">
      <c r="A1144" s="2782" t="str">
        <f>'Part VII-Threshold Criteria'!A293</f>
        <v>Based on DCA's focus on preservation, the applicant believes that utilizing the LIHTC  and Tax Exempt Bond programs to acquire and preserve this portfolio of apartment communities through rural Georgia is the best use of DCA resources.</v>
      </c>
      <c r="B1144" s="2782"/>
      <c r="C1144" s="2782"/>
      <c r="D1144" s="2782"/>
      <c r="E1144" s="2782"/>
      <c r="F1144" s="2782"/>
      <c r="G1144" s="2782"/>
      <c r="H1144" s="2782"/>
      <c r="I1144" s="2782"/>
      <c r="J1144" s="2782"/>
      <c r="K1144" s="2782"/>
      <c r="L1144" s="2782"/>
      <c r="M1144" s="2782"/>
      <c r="N1144" s="2782"/>
      <c r="O1144" s="2782"/>
      <c r="P1144" s="2782"/>
      <c r="Q1144" s="2782"/>
    </row>
    <row r="1145" spans="1:64" ht="14.4">
      <c r="A1145" s="2105"/>
      <c r="B1145" s="2787" t="s">
        <v>1730</v>
      </c>
      <c r="C1145" s="2788"/>
      <c r="D1145" s="2789"/>
      <c r="E1145" s="2789"/>
      <c r="F1145" s="2789"/>
      <c r="G1145" s="2789"/>
      <c r="H1145" s="2789"/>
      <c r="I1145" s="2789"/>
      <c r="J1145" s="2789"/>
      <c r="K1145" s="2789"/>
      <c r="L1145" s="2789"/>
      <c r="M1145" s="2789"/>
      <c r="N1145" s="2789"/>
      <c r="O1145" s="2789"/>
      <c r="P1145" s="2789"/>
      <c r="Q1145" s="2789"/>
    </row>
    <row r="1146" spans="1:64" ht="13.8">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3.8">
      <c r="A1152" s="2196" t="str">
        <f>CONCATENATE("PART EIGHT - SCORING CRITERIA","  -  ",'Part I-Project Identification'!$O$7," ",'Part I-Project Identification'!$F$25,", ",'Part I-Project Identification'!F1182,", ",'Part I-Project Identification'!J1182," County")</f>
        <v>PART EIGHT - SCORING CRITERIA  -  2023-5 Brightwood Lane Apartments,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3.8">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25" t="s">
        <v>6842</v>
      </c>
      <c r="B1154" s="2825"/>
      <c r="C1154" s="2825"/>
      <c r="D1154" s="2825"/>
      <c r="E1154" s="2825"/>
      <c r="F1154" s="2825"/>
      <c r="G1154" s="2825"/>
      <c r="H1154" s="2825"/>
      <c r="I1154" s="2825"/>
      <c r="J1154" s="2825"/>
      <c r="K1154" s="2825"/>
      <c r="L1154" s="2825"/>
      <c r="M1154" s="2826"/>
      <c r="N1154" s="2310"/>
      <c r="O1154" s="2461" t="s">
        <v>2050</v>
      </c>
      <c r="P1154" s="2461" t="s">
        <v>245</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825"/>
      <c r="B1155" s="2825"/>
      <c r="C1155" s="2825"/>
      <c r="D1155" s="2825"/>
      <c r="E1155" s="2825"/>
      <c r="F1155" s="2825"/>
      <c r="G1155" s="2825"/>
      <c r="H1155" s="2825"/>
      <c r="I1155" s="2825"/>
      <c r="J1155" s="2825"/>
      <c r="K1155" s="2825"/>
      <c r="L1155" s="2825"/>
      <c r="M1155" s="2826"/>
      <c r="N1155" s="2196"/>
      <c r="O1155" s="2461" t="s">
        <v>2051</v>
      </c>
      <c r="P1155" s="2461" t="s">
        <v>2051</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3.8">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3.8">
      <c r="A1157" s="2197"/>
      <c r="B1157" s="2828" t="str">
        <f>'Part I-Project Identification'!$A$6</f>
        <v>Sept 2023</v>
      </c>
      <c r="C1157" s="2828"/>
      <c r="D1157" s="2828"/>
      <c r="E1157" s="2828"/>
      <c r="F1157" s="2828"/>
      <c r="G1157" s="2197"/>
      <c r="H1157" s="2197"/>
      <c r="I1157" s="2197"/>
      <c r="J1157" s="2197"/>
      <c r="K1157" s="2197"/>
      <c r="L1157" s="2461" t="s">
        <v>1152</v>
      </c>
      <c r="M1157" s="2389"/>
      <c r="N1157" s="2829"/>
      <c r="O1157" s="2830">
        <f>O1555</f>
        <v>44</v>
      </c>
      <c r="P1157" s="2830">
        <f>P1555</f>
        <v>22</v>
      </c>
      <c r="Q1157" s="2196" t="s">
        <v>6843</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3.8">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4.4">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4.4">
      <c r="A1160" s="2457" t="s">
        <v>573</v>
      </c>
      <c r="B1160" s="2458" t="s">
        <v>6135</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4.4">
      <c r="A1161" s="2831" t="s">
        <v>6136</v>
      </c>
      <c r="B1161" s="2197"/>
      <c r="C1161" s="2197"/>
      <c r="D1161" s="2197"/>
      <c r="E1161" s="2197"/>
      <c r="F1161" s="2197"/>
      <c r="G1161" s="2832"/>
      <c r="H1161" s="2197"/>
      <c r="I1161" s="2832"/>
      <c r="J1161" s="2832"/>
      <c r="K1161" s="2832"/>
      <c r="L1161" s="2832"/>
      <c r="M1161" s="2833" t="s">
        <v>7011</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3.8">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3392</v>
      </c>
      <c r="B1163" s="2390" t="s">
        <v>3393</v>
      </c>
      <c r="C1163" s="2197"/>
      <c r="D1163" s="2197"/>
      <c r="E1163" s="2390" t="s">
        <v>3400</v>
      </c>
      <c r="F1163" s="2390" t="s">
        <v>6496</v>
      </c>
      <c r="G1163" s="2390"/>
      <c r="H1163" s="2390"/>
      <c r="I1163" s="2390"/>
      <c r="J1163" s="2390"/>
      <c r="K1163" s="2390"/>
      <c r="L1163" s="2390"/>
      <c r="M1163" s="2390"/>
      <c r="N1163" s="2390"/>
      <c r="O1163" s="2834" t="s">
        <v>3810</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82.8">
      <c r="A1164" s="2835" t="s">
        <v>1668</v>
      </c>
      <c r="B1164" s="2396" t="s">
        <v>3394</v>
      </c>
      <c r="C1164" s="2399"/>
      <c r="D1164" s="2399"/>
      <c r="E1164" s="2836">
        <f>'Part VIII Scoring Criteria'!E13</f>
        <v>0</v>
      </c>
      <c r="F1164" s="2835" t="str">
        <f>'Part VIII Scoring Criteria'!F13</f>
        <v>Does not apply to preservation projects.</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82.8">
      <c r="A1165" s="2835" t="s">
        <v>496</v>
      </c>
      <c r="B1165" s="2396" t="s">
        <v>4038</v>
      </c>
      <c r="C1165" s="2399"/>
      <c r="D1165" s="2399"/>
      <c r="E1165" s="2838">
        <f>'Part VIII Scoring Criteria'!E14</f>
        <v>0</v>
      </c>
      <c r="F1165" s="2835" t="str">
        <f>'Part VIII Scoring Criteria'!F14</f>
        <v>Does not apply to preservation projects.</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82.8">
      <c r="A1166" s="2835" t="s">
        <v>720</v>
      </c>
      <c r="B1166" s="2396" t="s">
        <v>3339</v>
      </c>
      <c r="C1166" s="2399"/>
      <c r="D1166" s="2399"/>
      <c r="E1166" s="2838">
        <f>'Part VIII Scoring Criteria'!E15</f>
        <v>0</v>
      </c>
      <c r="F1166" s="2835" t="str">
        <f>'Part VIII Scoring Criteria'!F15</f>
        <v>Does not apply to preservation projects.</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82.8">
      <c r="A1167" s="2835" t="s">
        <v>280</v>
      </c>
      <c r="B1167" s="2396" t="s">
        <v>3395</v>
      </c>
      <c r="C1167" s="2399"/>
      <c r="D1167" s="2399"/>
      <c r="E1167" s="2838">
        <f>'Part VIII Scoring Criteria'!E16</f>
        <v>0</v>
      </c>
      <c r="F1167" s="2835" t="str">
        <f>'Part VIII Scoring Criteria'!F16</f>
        <v>Does not apply to preservation projects.</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3.8">
      <c r="A1168" s="2835" t="s">
        <v>401</v>
      </c>
      <c r="B1168" s="2396" t="s">
        <v>3396</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835" t="s">
        <v>342</v>
      </c>
      <c r="B1169" s="2396" t="s">
        <v>4039</v>
      </c>
      <c r="C1169" s="2399"/>
      <c r="D1169" s="2399"/>
      <c r="E1169" s="2836">
        <f>'Part VIII Scoring Criteria'!E18</f>
        <v>0</v>
      </c>
      <c r="F1169" s="2835" t="str">
        <f>'Part VIII Scoring Criteria'!F18</f>
        <v>Does not apply to preservation projects.</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82.8">
      <c r="A1170" s="2835" t="s">
        <v>4041</v>
      </c>
      <c r="B1170" s="2396" t="s">
        <v>3262</v>
      </c>
      <c r="C1170" s="2399"/>
      <c r="D1170" s="2399"/>
      <c r="E1170" s="2836">
        <f>'Part VIII Scoring Criteria'!E19</f>
        <v>0</v>
      </c>
      <c r="F1170" s="2835" t="str">
        <f>'Part VIII Scoring Criteria'!F19</f>
        <v>Does not apply to preservation projects.</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3.8">
      <c r="A1171" s="2835" t="s">
        <v>4053</v>
      </c>
      <c r="B1171" s="2396" t="s">
        <v>4042</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3.8">
      <c r="A1172" s="2835" t="s">
        <v>6243</v>
      </c>
      <c r="B1172" s="2396" t="s">
        <v>4043</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3.8">
      <c r="A1173" s="2835" t="s">
        <v>6637</v>
      </c>
      <c r="B1173" s="2396" t="s">
        <v>6549</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13.8">
      <c r="A1174" s="2835" t="s">
        <v>6639</v>
      </c>
      <c r="B1174" s="2396" t="s">
        <v>6638</v>
      </c>
      <c r="C1174" s="2399"/>
      <c r="D1174" s="2399"/>
      <c r="E1174" s="2836">
        <f>'Part VIII Scoring Criteria'!E23</f>
        <v>0</v>
      </c>
      <c r="F1174" s="2835" t="str">
        <f>'Part VIII Scoring Criteria'!F23</f>
        <v>There is no minority- and women-owned business engagement expected for this project.</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3.8">
      <c r="A1175" s="2835" t="s">
        <v>3369</v>
      </c>
      <c r="B1175" s="2396" t="s">
        <v>6555</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3.8">
      <c r="A1176" s="2835" t="s">
        <v>3373</v>
      </c>
      <c r="B1176" s="2396" t="s">
        <v>3397</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124.2">
      <c r="A1177" s="2835" t="s">
        <v>3376</v>
      </c>
      <c r="B1177" s="2396" t="s">
        <v>3398</v>
      </c>
      <c r="C1177" s="2399"/>
      <c r="D1177" s="2399"/>
      <c r="E1177" s="2836">
        <f>'Part VIII Scoring Criteria'!E26</f>
        <v>0</v>
      </c>
      <c r="F1177" s="2835" t="str">
        <f>'Part VIII Scoring Criteria'!F26</f>
        <v>The project does not involve any new favorable financing sources.</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3.8">
      <c r="A1178" s="2835" t="s">
        <v>3377</v>
      </c>
      <c r="B1178" s="2396" t="s">
        <v>3399</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835" t="s">
        <v>3379</v>
      </c>
      <c r="B1179" s="2396" t="s">
        <v>6636</v>
      </c>
      <c r="C1179" s="2399"/>
      <c r="D1179" s="2399"/>
      <c r="E1179" s="2836">
        <f>'Part VIII Scoring Criteria'!E28</f>
        <v>2</v>
      </c>
      <c r="F1179" s="2835">
        <f>'Part VIII Scoring Criteria'!F28</f>
        <v>0</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835" t="s">
        <v>3380</v>
      </c>
      <c r="B1180" s="2396" t="s">
        <v>6132</v>
      </c>
      <c r="C1180" s="2399"/>
      <c r="D1180" s="2399"/>
      <c r="E1180" s="2836">
        <f>'Part VIII Scoring Criteria'!E29</f>
        <v>6</v>
      </c>
      <c r="F1180" s="2835" t="str">
        <f>'Part VIII Scoring Criteria'!F29</f>
        <v>Brightwood Lane Apartments has an average occupancy over the last 24 months of approximately 98.8% (rent rolls provided as support)</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409.6">
      <c r="A1181" s="2835" t="s">
        <v>3803</v>
      </c>
      <c r="B1181" s="2396" t="s">
        <v>6553</v>
      </c>
      <c r="C1181" s="2399"/>
      <c r="D1181" s="2399"/>
      <c r="E1181" s="2836">
        <f>'Part VIII Scoring Criteria'!E30</f>
        <v>0</v>
      </c>
      <c r="F1181" s="2835" t="str">
        <f>'Part VIII Scoring Criteria'!F30</f>
        <v>Brighwood Lane Apartments has 37 units of PBRA which represents 92.5% of the total units. The minimum for points in this section is 40 units of PBRA. A copy of the Rental Assistance Agreement is provided under Tab 48.</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835" t="s">
        <v>6556</v>
      </c>
      <c r="B1182" s="2396" t="s">
        <v>6554</v>
      </c>
      <c r="C1182" s="2399"/>
      <c r="D1182" s="2399"/>
      <c r="E1182" s="2836">
        <f>'Part VIII Scoring Criteria'!E31</f>
        <v>6</v>
      </c>
      <c r="F1182" s="2835" t="str">
        <f>'Part VIII Scoring Criteria'!F31</f>
        <v>The LURC dated December 9, 1996 is included in tab 49 of the application.</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4" customHeight="1">
      <c r="A1183" s="2839" t="s">
        <v>6917</v>
      </c>
      <c r="B1183" s="2396" t="s">
        <v>6933</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3.8">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4079" t="s">
        <v>6945</v>
      </c>
      <c r="B1185" s="4079"/>
      <c r="C1185" s="4079"/>
      <c r="D1185" s="4079"/>
      <c r="E1185" s="2390"/>
      <c r="F1185" s="2456" t="s">
        <v>6882</v>
      </c>
      <c r="G1185" s="2456"/>
      <c r="H1185" s="2456"/>
      <c r="I1185" s="2456"/>
      <c r="J1185" s="2196" t="s">
        <v>6140</v>
      </c>
      <c r="K1185" s="2196"/>
      <c r="L1185" s="2196"/>
      <c r="M1185" s="2196"/>
      <c r="N1185" s="2340"/>
      <c r="O1185" s="2197" t="s">
        <v>6883</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10" t="s">
        <v>6908</v>
      </c>
      <c r="B1186" s="2390"/>
      <c r="C1186" s="2310" t="s">
        <v>2889</v>
      </c>
      <c r="D1186" s="2310" t="s">
        <v>245</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61">
        <v>33</v>
      </c>
      <c r="B1187" s="2390"/>
      <c r="C1187" s="2461">
        <f>'Part VIII Scoring Criteria'!C36</f>
        <v>0</v>
      </c>
      <c r="D1187" s="2461">
        <f>'Part VIII Scoring Criteria'!D36</f>
        <v>0</v>
      </c>
      <c r="E1187" s="2390"/>
      <c r="F1187" s="2196" t="str">
        <f>'Part VIII Scoring Criteria'!F36</f>
        <v>Preservation</v>
      </c>
      <c r="G1187" s="2196"/>
      <c r="H1187" s="2196"/>
      <c r="I1187" s="2196"/>
      <c r="J1187" s="2196" t="str">
        <f>'Part VIII Scoring Criteria'!J36</f>
        <v>Rural</v>
      </c>
      <c r="K1187" s="2196"/>
      <c r="L1187" s="2196"/>
      <c r="M1187" s="2196"/>
      <c r="N1187" s="2340"/>
      <c r="O1187" s="2196" t="str">
        <f>'Part VIII Scoring Criteria'!O36</f>
        <v>4%</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3.8">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3.8">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3.8">
      <c r="A1191" s="2457" t="s">
        <v>691</v>
      </c>
      <c r="B1191" s="2458" t="s">
        <v>2496</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3.8">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3.8">
      <c r="A1193" s="2462" t="s">
        <v>1841</v>
      </c>
      <c r="B1193" s="2196" t="s">
        <v>3805</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4.4">
      <c r="A1194" s="2462"/>
      <c r="B1194" s="2841" t="s">
        <v>1844</v>
      </c>
      <c r="C1194" s="2197" t="s">
        <v>3808</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4.4">
      <c r="A1195" s="2462"/>
      <c r="B1195" s="2841" t="s">
        <v>1846</v>
      </c>
      <c r="C1195" s="2197" t="s">
        <v>6874</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4.4">
      <c r="A1196" s="2462"/>
      <c r="B1196" s="2841" t="s">
        <v>2332</v>
      </c>
      <c r="C1196" s="2197" t="s">
        <v>3807</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7012</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3.8">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4.4">
      <c r="A1199" s="2462" t="s">
        <v>1843</v>
      </c>
      <c r="B1199" s="2196" t="s">
        <v>679</v>
      </c>
      <c r="C1199" s="2197"/>
      <c r="D1199" s="2197"/>
      <c r="E1199" s="2197"/>
      <c r="F1199" s="2310"/>
      <c r="G1199" s="2197"/>
      <c r="H1199" s="2197"/>
      <c r="I1199" s="2197"/>
      <c r="J1199" s="2832"/>
      <c r="K1199" s="2197"/>
      <c r="L1199" s="2197"/>
      <c r="M1199" s="2310"/>
      <c r="N1199" s="2460" t="s">
        <v>1843</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3.8">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7013</v>
      </c>
      <c r="B1201" s="2456"/>
      <c r="C1201" s="2456"/>
      <c r="D1201" s="2456"/>
      <c r="E1201" s="2456"/>
      <c r="F1201" s="2310" t="s">
        <v>3178</v>
      </c>
      <c r="G1201" s="2456" t="s">
        <v>7014</v>
      </c>
      <c r="H1201" s="2456"/>
      <c r="I1201" s="2456"/>
      <c r="J1201" s="2310" t="s">
        <v>3178</v>
      </c>
      <c r="K1201" s="2845" t="s">
        <v>7015</v>
      </c>
      <c r="L1201" s="2845"/>
      <c r="M1201" s="2845"/>
      <c r="N1201" s="2845"/>
      <c r="O1201" s="2197" t="s">
        <v>3178</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3.8">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3.8">
      <c r="A1203" s="2399">
        <v>1</v>
      </c>
      <c r="B1203" s="2399"/>
      <c r="C1203" s="2399"/>
      <c r="D1203" s="2399"/>
      <c r="E1203" s="2399"/>
      <c r="F1203" s="2837"/>
      <c r="G1203" s="2399">
        <v>1</v>
      </c>
      <c r="H1203" s="2399"/>
      <c r="I1203" s="2399"/>
      <c r="J1203" s="2837" t="s">
        <v>1610</v>
      </c>
      <c r="K1203" s="2399">
        <v>1</v>
      </c>
      <c r="L1203" s="2399"/>
      <c r="M1203" s="2399"/>
      <c r="N1203" s="2399"/>
      <c r="O1203" s="2823" t="s">
        <v>1610</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3.8">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3.8">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3.8">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3.8">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3.8">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3.8">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3.8">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3.8">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3.8">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3.8">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3.8">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3.8">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3.8">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3.8">
      <c r="A1217" s="2457" t="s">
        <v>1666</v>
      </c>
      <c r="B1217" s="2458" t="s">
        <v>3148</v>
      </c>
      <c r="C1217" s="2197"/>
      <c r="D1217" s="2197"/>
      <c r="E1217" s="2197"/>
      <c r="F1217" s="2197"/>
      <c r="G1217" s="2196"/>
      <c r="H1217" s="2197"/>
      <c r="I1217" s="2196"/>
      <c r="J1217" s="2461"/>
      <c r="K1217" s="2461"/>
      <c r="L1217" s="2461"/>
      <c r="M1217" s="2461">
        <v>3</v>
      </c>
      <c r="N1217" s="2310"/>
      <c r="O1217" s="2389">
        <f>'Part VIII Scoring Criteria'!O66</f>
        <v>0</v>
      </c>
      <c r="P1217" s="2389">
        <f>'Part VIII Scoring Criteria'!P66</f>
        <v>0</v>
      </c>
      <c r="Q1217" s="2461" t="s">
        <v>416</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3.8">
      <c r="A1218" s="2846"/>
      <c r="B1218" s="2847"/>
      <c r="C1218" s="2390"/>
      <c r="D1218" s="2390"/>
      <c r="E1218" s="2197"/>
      <c r="F1218" s="2390" t="s">
        <v>3818</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3.8">
      <c r="A1219" s="2462" t="s">
        <v>1841</v>
      </c>
      <c r="B1219" s="2851" t="s">
        <v>6878</v>
      </c>
      <c r="C1219" s="2431"/>
      <c r="D1219" s="2431"/>
      <c r="E1219" s="2431"/>
      <c r="F1219" s="2431"/>
      <c r="G1219" s="2390" t="s">
        <v>6646</v>
      </c>
      <c r="H1219" s="2197"/>
      <c r="I1219" s="2197"/>
      <c r="J1219" s="2852" t="str">
        <f>'Part V-Revenues &amp; Expenses'!$O$53</f>
        <v>40% of Units at 60% of AMI</v>
      </c>
      <c r="K1219" s="2197"/>
      <c r="L1219" s="2431"/>
      <c r="M1219" s="2461">
        <v>2</v>
      </c>
      <c r="N1219" s="2842"/>
      <c r="O1219" s="2829">
        <f>'Part VIII Scoring Criteria'!O68</f>
        <v>0</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3.8">
      <c r="A1220" s="2462"/>
      <c r="B1220" s="2853"/>
      <c r="C1220" s="2535" t="s">
        <v>3813</v>
      </c>
      <c r="D1220" s="2197"/>
      <c r="E1220" s="2197"/>
      <c r="F1220" s="2197"/>
      <c r="G1220" s="2197" t="s">
        <v>3814</v>
      </c>
      <c r="H1220" s="2197"/>
      <c r="I1220" s="2197"/>
      <c r="J1220" s="2854">
        <f>'Part V-Revenues &amp; Expenses'!$B$50</f>
        <v>60</v>
      </c>
      <c r="K1220" s="2197"/>
      <c r="L1220" s="2459"/>
      <c r="M1220" s="2310">
        <v>2</v>
      </c>
      <c r="N1220" s="2855"/>
      <c r="O1220" s="2389">
        <f>'Part VIII Scoring Criteria'!O69</f>
        <v>0</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3.8">
      <c r="A1221" s="2462"/>
      <c r="B1221" s="2853"/>
      <c r="C1221" s="2535" t="s">
        <v>3815</v>
      </c>
      <c r="D1221" s="2197"/>
      <c r="E1221" s="2197"/>
      <c r="F1221" s="2197"/>
      <c r="G1221" s="2197"/>
      <c r="H1221" s="2197"/>
      <c r="I1221" s="2197"/>
      <c r="J1221" s="2197"/>
      <c r="K1221" s="2459"/>
      <c r="L1221" s="2459"/>
      <c r="M1221" s="2310">
        <v>2</v>
      </c>
      <c r="N1221" s="2855"/>
      <c r="O1221" s="2389">
        <f>'Part VIII Scoring Criteria'!O70</f>
        <v>0</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3.8">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3.8">
      <c r="A1223" s="2462" t="s">
        <v>1843</v>
      </c>
      <c r="B1223" s="2851" t="s">
        <v>6881</v>
      </c>
      <c r="C1223" s="2390"/>
      <c r="D1223" s="2390"/>
      <c r="E1223" s="2390"/>
      <c r="F1223" s="2390"/>
      <c r="G1223" s="2391" t="s">
        <v>6846</v>
      </c>
      <c r="H1223" s="2390"/>
      <c r="I1223" s="2197"/>
      <c r="J1223" s="2844">
        <f>IF(OR('Part V-Revenues &amp; Expenses'!$P$65="", 'Part V-Revenues &amp; Expenses'!$P$65=0),0,'Part V-Revenues &amp; Expenses'!$P$100/'Part V-Revenues &amp; Expenses'!$P$65)</f>
        <v>0.9</v>
      </c>
      <c r="K1223" s="2390"/>
      <c r="L1223" s="2390"/>
      <c r="M1223" s="2461">
        <v>3</v>
      </c>
      <c r="N1223" s="2857"/>
      <c r="O1223" s="2389">
        <f>'Part VIII Scoring Criteria'!O72</f>
        <v>0</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4.4">
      <c r="A1224" s="2197"/>
      <c r="B1224" s="2832" t="s">
        <v>1730</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3.8">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3.8">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3.8">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3.8">
      <c r="A1228" s="2457" t="s">
        <v>1668</v>
      </c>
      <c r="B1228" s="2458" t="s">
        <v>3368</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0</v>
      </c>
      <c r="P1228" s="2389">
        <f>'Part VIII Scoring Criteria'!P77</f>
        <v>0</v>
      </c>
      <c r="Q1228" s="2461"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3.8">
      <c r="A1229" s="2462" t="s">
        <v>1841</v>
      </c>
      <c r="B1229" s="2196" t="s">
        <v>1737</v>
      </c>
      <c r="C1229" s="2196"/>
      <c r="D1229" s="2196"/>
      <c r="E1229" s="2197"/>
      <c r="F1229" s="2196"/>
      <c r="G1229" s="2197"/>
      <c r="H1229" s="2460"/>
      <c r="I1229" s="2456"/>
      <c r="J1229" s="2456"/>
      <c r="K1229" s="2456"/>
      <c r="L1229" s="2456"/>
      <c r="M1229" s="2310">
        <v>20</v>
      </c>
      <c r="N1229" s="2855"/>
      <c r="O1229" s="2830">
        <f>'Part VIII Scoring Criteria'!O78</f>
        <v>0</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3.8">
      <c r="A1230" s="2462" t="s">
        <v>1843</v>
      </c>
      <c r="B1230" s="2196" t="s">
        <v>3280</v>
      </c>
      <c r="C1230" s="2197"/>
      <c r="D1230" s="2197"/>
      <c r="E1230" s="2197"/>
      <c r="F1230" s="2197"/>
      <c r="G1230" s="2197"/>
      <c r="H1230" s="2460"/>
      <c r="I1230" s="2456"/>
      <c r="J1230" s="2456"/>
      <c r="K1230" s="2456"/>
      <c r="L1230" s="2456"/>
      <c r="M1230" s="2310" t="s">
        <v>1164</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3.8">
      <c r="A1231" s="2197"/>
      <c r="B1231" s="2458" t="s">
        <v>3241</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82.8">
      <c r="A1232" s="2399" t="str">
        <f>'Part VIII Scoring Criteria'!A81</f>
        <v>Does not apply to preservation projects.</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4.4">
      <c r="A1233" s="2197"/>
      <c r="B1233" s="2832" t="s">
        <v>1730</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3.8">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3.8">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3.8">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4.4">
      <c r="A1237" s="2457" t="s">
        <v>496</v>
      </c>
      <c r="B1237" s="2458" t="s">
        <v>2414</v>
      </c>
      <c r="C1237" s="2390"/>
      <c r="D1237" s="2390"/>
      <c r="E1237" s="2390"/>
      <c r="F1237" s="2390"/>
      <c r="G1237" s="2390"/>
      <c r="H1237" s="2860"/>
      <c r="I1237" s="2851"/>
      <c r="J1237" s="2461"/>
      <c r="K1237" s="2461"/>
      <c r="L1237" s="2461"/>
      <c r="M1237" s="2461">
        <v>6</v>
      </c>
      <c r="N1237" s="2460"/>
      <c r="O1237" s="2830">
        <f>'Part VIII Scoring Criteria'!O86</f>
        <v>0</v>
      </c>
      <c r="P1237" s="2830">
        <f>'Part VIII Scoring Criteria'!P86</f>
        <v>0</v>
      </c>
      <c r="Q1237" s="2461" t="s">
        <v>416</v>
      </c>
      <c r="R1237" s="2431"/>
      <c r="S1237" s="2861" t="s">
        <v>6264</v>
      </c>
      <c r="T1237" s="2861" t="s">
        <v>6145</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4.4">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7" t="s">
        <v>3327</v>
      </c>
      <c r="C1239" s="2390"/>
      <c r="D1239" s="2390"/>
      <c r="E1239" s="2390"/>
      <c r="F1239" s="2197" t="s">
        <v>3215</v>
      </c>
      <c r="G1239" s="2197"/>
      <c r="H1239" s="2197"/>
      <c r="I1239" s="2197"/>
      <c r="J1239" s="2197" t="s">
        <v>3216</v>
      </c>
      <c r="K1239" s="2197"/>
      <c r="L1239" s="2197"/>
      <c r="M1239" s="2197"/>
      <c r="N1239" s="2460"/>
      <c r="O1239" s="2863" t="s">
        <v>6847</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3.8">
      <c r="A1240" s="2390"/>
      <c r="B1240" s="2864"/>
      <c r="C1240" s="2393" t="s">
        <v>6848</v>
      </c>
      <c r="D1240" s="2390"/>
      <c r="E1240" s="2390"/>
      <c r="F1240" s="2197">
        <f>'Part VIII Scoring Criteria'!F89</f>
        <v>0</v>
      </c>
      <c r="G1240" s="2197"/>
      <c r="H1240" s="2197"/>
      <c r="I1240" s="2197"/>
      <c r="J1240" s="2197">
        <f>'Part VIII Scoring Criteria'!J89</f>
        <v>0</v>
      </c>
      <c r="K1240" s="2197"/>
      <c r="L1240" s="2197"/>
      <c r="M1240" s="2197"/>
      <c r="N1240" s="2390"/>
      <c r="O1240" s="2863"/>
      <c r="P1240" s="2863"/>
      <c r="Q1240" s="2390"/>
      <c r="R1240" s="2865" t="s">
        <v>6671</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3.8">
      <c r="A1241" s="2864"/>
      <c r="B1241" s="2399"/>
      <c r="C1241" s="2393" t="s">
        <v>6849</v>
      </c>
      <c r="D1241" s="2390"/>
      <c r="E1241" s="2390"/>
      <c r="F1241" s="2197">
        <f>'Part VIII Scoring Criteria'!F90</f>
        <v>0</v>
      </c>
      <c r="G1241" s="2197"/>
      <c r="H1241" s="2197"/>
      <c r="I1241" s="2197"/>
      <c r="J1241" s="2197">
        <f>'Part VIII Scoring Criteria'!J90</f>
        <v>0</v>
      </c>
      <c r="K1241" s="2197"/>
      <c r="L1241" s="2197"/>
      <c r="M1241" s="2197"/>
      <c r="N1241" s="2460"/>
      <c r="O1241" s="2866">
        <f>'Part VIII Scoring Criteria'!O90</f>
        <v>0</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3.8">
      <c r="A1242" s="2399"/>
      <c r="B1242" s="2390" t="s">
        <v>6887</v>
      </c>
      <c r="C1242" s="2390"/>
      <c r="D1242" s="2390"/>
      <c r="E1242" s="2390"/>
      <c r="F1242" s="2340" t="s">
        <v>6850</v>
      </c>
      <c r="G1242" s="2197" t="s">
        <v>1672</v>
      </c>
      <c r="H1242" s="2197"/>
      <c r="I1242" s="2197"/>
      <c r="J1242" s="2197" t="s">
        <v>6884</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3.8">
      <c r="A1243" s="2399"/>
      <c r="B1243" s="2197">
        <f>'Part VIII Scoring Criteria'!B92</f>
        <v>0</v>
      </c>
      <c r="C1243" s="2197"/>
      <c r="D1243" s="2197"/>
      <c r="E1243" s="2197"/>
      <c r="F1243" s="2869">
        <f>'Part VIII Scoring Criteria'!F92</f>
        <v>0</v>
      </c>
      <c r="G1243" s="2197">
        <f>'Part VIII Scoring Criteria'!G92</f>
        <v>0</v>
      </c>
      <c r="H1243" s="2197"/>
      <c r="I1243" s="2197"/>
      <c r="J1243" s="2197">
        <f>'Part VIII Scoring Criteria'!J92</f>
        <v>0</v>
      </c>
      <c r="K1243" s="2197"/>
      <c r="L1243" s="2197"/>
      <c r="M1243" s="2197"/>
      <c r="N1243" s="2197"/>
      <c r="O1243" s="2197"/>
      <c r="P1243" s="2197"/>
      <c r="Q1243" s="2390"/>
      <c r="R1243" s="2865" t="s">
        <v>6672</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3.8">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3.8">
      <c r="A1245" s="2870" t="s">
        <v>1841</v>
      </c>
      <c r="B1245" s="2196" t="s">
        <v>3238</v>
      </c>
      <c r="C1245" s="2390"/>
      <c r="D1245" s="2390"/>
      <c r="E1245" s="2390"/>
      <c r="F1245" s="2458"/>
      <c r="G1245" s="2390"/>
      <c r="H1245" s="2390"/>
      <c r="I1245" s="2390"/>
      <c r="J1245" s="2390"/>
      <c r="K1245" s="2390"/>
      <c r="L1245" s="2390"/>
      <c r="M1245" s="2461">
        <v>6</v>
      </c>
      <c r="N1245" s="2842"/>
      <c r="O1245" s="2871">
        <f>'Part VIII Scoring Criteria'!O94</f>
        <v>0</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872" t="s">
        <v>1844</v>
      </c>
      <c r="C1246" s="2399" t="s">
        <v>7016</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3.8">
      <c r="A1247" s="2461" t="s">
        <v>1275</v>
      </c>
      <c r="B1247" s="2872" t="s">
        <v>1846</v>
      </c>
      <c r="C1247" s="2197" t="s">
        <v>7017</v>
      </c>
      <c r="D1247" s="2197"/>
      <c r="E1247" s="2197"/>
      <c r="F1247" s="2197"/>
      <c r="G1247" s="2197"/>
      <c r="H1247" s="2197"/>
      <c r="I1247" s="2197"/>
      <c r="J1247" s="2431"/>
      <c r="K1247" s="2431"/>
      <c r="L1247" s="2431"/>
      <c r="M1247" s="2310">
        <v>5</v>
      </c>
      <c r="N1247" s="2833"/>
      <c r="O1247" s="2830">
        <f>'Part VIII Scoring Criteria'!O96</f>
        <v>0</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3.8">
      <c r="A1248" s="2870" t="s">
        <v>1843</v>
      </c>
      <c r="B1248" s="2875" t="s">
        <v>3239</v>
      </c>
      <c r="C1248" s="2396"/>
      <c r="D1248" s="2396"/>
      <c r="E1248" s="2396"/>
      <c r="F1248" s="2876"/>
      <c r="G1248" s="2396"/>
      <c r="H1248" s="2431"/>
      <c r="I1248" s="2431"/>
      <c r="J1248" s="2399"/>
      <c r="K1248" s="2399"/>
      <c r="L1248" s="2877"/>
      <c r="M1248" s="2461">
        <v>3</v>
      </c>
      <c r="N1248" s="2460"/>
      <c r="O1248" s="2829">
        <f>'Part VIII Scoring Criteria'!O97</f>
        <v>0</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3.8">
      <c r="A1249" s="2457"/>
      <c r="B1249" s="2878" t="s">
        <v>1844</v>
      </c>
      <c r="C1249" s="2197" t="s">
        <v>7018</v>
      </c>
      <c r="D1249" s="2431"/>
      <c r="E1249" s="2431"/>
      <c r="F1249" s="2431"/>
      <c r="G1249" s="2431"/>
      <c r="H1249" s="2431"/>
      <c r="I1249" s="2431"/>
      <c r="J1249" s="2431"/>
      <c r="K1249" s="2431"/>
      <c r="L1249" s="2431"/>
      <c r="M1249" s="2310">
        <v>3</v>
      </c>
      <c r="N1249" s="2833"/>
      <c r="O1249" s="2389">
        <f>'Part VIII Scoring Criteria'!O98</f>
        <v>0</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3.8">
      <c r="A1250" s="2461" t="s">
        <v>1275</v>
      </c>
      <c r="B1250" s="2878" t="s">
        <v>1846</v>
      </c>
      <c r="C1250" s="2197" t="s">
        <v>7019</v>
      </c>
      <c r="D1250" s="2431"/>
      <c r="E1250" s="2431"/>
      <c r="F1250" s="2431"/>
      <c r="G1250" s="2431"/>
      <c r="H1250" s="2431"/>
      <c r="I1250" s="2431"/>
      <c r="J1250" s="2399"/>
      <c r="K1250" s="2399"/>
      <c r="L1250" s="2399"/>
      <c r="M1250" s="2310">
        <v>1</v>
      </c>
      <c r="N1250" s="2833"/>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879" t="s">
        <v>1275</v>
      </c>
      <c r="B1251" s="2878" t="s">
        <v>2332</v>
      </c>
      <c r="C1251" s="2399" t="s">
        <v>7020</v>
      </c>
      <c r="D1251" s="2399"/>
      <c r="E1251" s="2399"/>
      <c r="F1251" s="2399"/>
      <c r="G1251" s="2399"/>
      <c r="H1251" s="2399"/>
      <c r="I1251" s="2399"/>
      <c r="J1251" s="2399"/>
      <c r="K1251" s="2399"/>
      <c r="L1251" s="2399"/>
      <c r="M1251" s="2395">
        <v>2</v>
      </c>
      <c r="N1251" s="2873"/>
      <c r="O1251" s="2389">
        <f>'Part VIII Scoring Criteria'!O100</f>
        <v>0</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3.8">
      <c r="A1252" s="2197"/>
      <c r="B1252" s="2458" t="s">
        <v>3241</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82.8">
      <c r="A1253" s="2399" t="str">
        <f>'Part VIII Scoring Criteria'!A102</f>
        <v>Does not apply to preservation projects.</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4.4">
      <c r="A1254" s="2197"/>
      <c r="B1254" s="2832" t="s">
        <v>1730</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3.8">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3.8">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3.8">
      <c r="A1257" s="2457" t="s">
        <v>720</v>
      </c>
      <c r="B1257" s="2458" t="s">
        <v>6149</v>
      </c>
      <c r="C1257" s="2835"/>
      <c r="D1257" s="2835"/>
      <c r="E1257" s="2835"/>
      <c r="F1257" s="2390"/>
      <c r="G1257" s="2461"/>
      <c r="H1257" s="2851"/>
      <c r="I1257" s="2390"/>
      <c r="J1257" s="2390"/>
      <c r="K1257" s="2390"/>
      <c r="L1257" s="2390"/>
      <c r="M1257" s="2461">
        <v>3</v>
      </c>
      <c r="N1257" s="2859"/>
      <c r="O1257" s="2389">
        <f>'Part VIII Scoring Criteria'!O106</f>
        <v>0</v>
      </c>
      <c r="P1257" s="2389">
        <f>'Part VIII Scoring Criteria'!P106</f>
        <v>0</v>
      </c>
      <c r="Q1257" s="2856" t="str">
        <f>IF(OR($O1257&lt;=$M1257,$O1257=0,$O1257=""),"","*CHECK!*")</f>
        <v/>
      </c>
      <c r="R1257" s="2851" t="s">
        <v>416</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882"/>
      <c r="C1258" s="2882"/>
      <c r="D1258" s="2882"/>
      <c r="E1258" s="2883"/>
      <c r="F1258" s="2884" t="s">
        <v>7021</v>
      </c>
      <c r="G1258" s="2884"/>
      <c r="H1258" s="2884" t="s">
        <v>7022</v>
      </c>
      <c r="I1258" s="2884"/>
      <c r="J1258" s="2884" t="s">
        <v>6889</v>
      </c>
      <c r="K1258" s="2885"/>
      <c r="L1258" s="2884" t="s">
        <v>6890</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3.8">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3.8">
      <c r="A1260" s="2390"/>
      <c r="B1260" s="2886" t="s">
        <v>6630</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13.8">
      <c r="A1261" s="2390"/>
      <c r="B1261" s="2431">
        <f>'Part VIII Scoring Criteria'!B110</f>
        <v>0</v>
      </c>
      <c r="C1261" s="2431"/>
      <c r="D1261" s="2431"/>
      <c r="E1261" s="2431"/>
      <c r="F1261" s="2431">
        <f>'Part VIII Scoring Criteria'!F110</f>
        <v>0</v>
      </c>
      <c r="G1261" s="2431"/>
      <c r="H1261" s="2431">
        <f>'Part VIII Scoring Criteria'!H110</f>
        <v>0</v>
      </c>
      <c r="I1261" s="2431"/>
      <c r="J1261" s="2431">
        <f>'Part VIII Scoring Criteria'!J110</f>
        <v>0</v>
      </c>
      <c r="K1261" s="2431"/>
      <c r="L1261" s="2197">
        <f>'Part VIII Scoring Criteria'!L110</f>
        <v>0</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13.8">
      <c r="A1262" s="2390"/>
      <c r="B1262" s="2431">
        <f>'Part VIII Scoring Criteria'!B111</f>
        <v>0</v>
      </c>
      <c r="C1262" s="2431"/>
      <c r="D1262" s="2431"/>
      <c r="E1262" s="2431"/>
      <c r="F1262" s="2431">
        <f>'Part VIII Scoring Criteria'!F111</f>
        <v>0</v>
      </c>
      <c r="G1262" s="2431"/>
      <c r="H1262" s="2431">
        <f>'Part VIII Scoring Criteria'!H111</f>
        <v>0</v>
      </c>
      <c r="I1262" s="2431"/>
      <c r="J1262" s="2431">
        <f>'Part VIII Scoring Criteria'!J111</f>
        <v>0</v>
      </c>
      <c r="K1262" s="2431"/>
      <c r="L1262" s="2197">
        <f>'Part VIII Scoring Criteria'!L111</f>
        <v>0</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13.8">
      <c r="A1263" s="2390"/>
      <c r="B1263" s="2431">
        <f>'Part VIII Scoring Criteria'!B112</f>
        <v>0</v>
      </c>
      <c r="C1263" s="2431"/>
      <c r="D1263" s="2431"/>
      <c r="E1263" s="2431"/>
      <c r="F1263" s="2431">
        <f>'Part VIII Scoring Criteria'!F112</f>
        <v>0</v>
      </c>
      <c r="G1263" s="2431"/>
      <c r="H1263" s="2431">
        <f>'Part VIII Scoring Criteria'!H112</f>
        <v>0</v>
      </c>
      <c r="I1263" s="2431"/>
      <c r="J1263" s="2431">
        <f>'Part VIII Scoring Criteria'!J112</f>
        <v>0</v>
      </c>
      <c r="K1263" s="2431"/>
      <c r="L1263" s="2197">
        <f>'Part VIII Scoring Criteria'!L112</f>
        <v>0</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3.8">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7">
        <f>'Part VIII Scoring Criteria'!L113</f>
        <v>0</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3.8">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3.8">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3.8">
      <c r="A1267" s="2197"/>
      <c r="B1267" s="2458" t="s">
        <v>3241</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82.8">
      <c r="A1268" s="2399" t="str">
        <f>'Part VIII Scoring Criteria'!A117</f>
        <v>Does not apply to preservation projects.</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4.4">
      <c r="A1269" s="2197"/>
      <c r="B1269" s="2858" t="s">
        <v>1730</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3.8">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3.8">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3.8">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3.8">
      <c r="A1273" s="2457" t="s">
        <v>280</v>
      </c>
      <c r="B1273" s="2458" t="s">
        <v>3340</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0</v>
      </c>
      <c r="P1273" s="2830">
        <f>'Part VIII Scoring Criteria'!P122</f>
        <v>0</v>
      </c>
      <c r="Q1273" s="2461" t="s">
        <v>416</v>
      </c>
      <c r="R1273" s="2851" t="str">
        <f>IF(AND(O1273&gt;0,NOT($F$31="New Supply")), "Ineligible to score in this section, not New Supply!","")</f>
        <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3.8">
      <c r="A1274" s="2462" t="s">
        <v>1841</v>
      </c>
      <c r="B1274" s="2196" t="s">
        <v>6177</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0</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3.8">
      <c r="A1275" s="2461"/>
      <c r="B1275" s="2390"/>
      <c r="C1275" s="2197" t="s">
        <v>7023</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0"/>
      <c r="C1276" s="2396" t="s">
        <v>6888</v>
      </c>
      <c r="D1276" s="2396"/>
      <c r="E1276" s="2396"/>
      <c r="F1276" s="2396"/>
      <c r="G1276" s="2396"/>
      <c r="H1276" s="2396"/>
      <c r="I1276" s="2396"/>
      <c r="J1276" s="2396"/>
      <c r="K1276" s="2396"/>
      <c r="L1276" s="2857"/>
      <c r="M1276" s="2431" t="str">
        <f>'Part VIII Scoring Criteria'!M125</f>
        <v>&lt;Page # from Plan&gt;</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7"/>
      <c r="B1277" s="2460"/>
      <c r="C1277" s="2197" t="s">
        <v>6854</v>
      </c>
      <c r="D1277" s="2197"/>
      <c r="E1277" s="2197"/>
      <c r="F1277" s="2197"/>
      <c r="G1277" s="2197"/>
      <c r="H1277" s="2197"/>
      <c r="I1277" s="2197"/>
      <c r="J1277" s="2197"/>
      <c r="K1277" s="2197"/>
      <c r="L1277" s="2460"/>
      <c r="M1277" s="2431" t="str">
        <f>'Part VIII Scoring Criteria'!M126</f>
        <v>&lt;Page # from Plan&gt;</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0"/>
      <c r="C1278" s="2197" t="s">
        <v>6855</v>
      </c>
      <c r="D1278" s="2197"/>
      <c r="E1278" s="2197"/>
      <c r="F1278" s="2197"/>
      <c r="G1278" s="2197"/>
      <c r="H1278" s="2197"/>
      <c r="I1278" s="2197"/>
      <c r="J1278" s="2197"/>
      <c r="K1278" s="2197"/>
      <c r="L1278" s="2460"/>
      <c r="M1278" s="2431" t="str">
        <f>'Part VIII Scoring Criteria'!M127</f>
        <v>&lt;Page # from Plan&gt;</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0"/>
      <c r="B1279" s="2460"/>
      <c r="C1279" s="2197" t="s">
        <v>6856</v>
      </c>
      <c r="D1279" s="2197"/>
      <c r="E1279" s="2197"/>
      <c r="F1279" s="2197"/>
      <c r="G1279" s="2197"/>
      <c r="H1279" s="2197"/>
      <c r="I1279" s="2197"/>
      <c r="J1279" s="2197"/>
      <c r="K1279" s="2197"/>
      <c r="L1279" s="2460"/>
      <c r="M1279" s="2431" t="str">
        <f>'Part VIII Scoring Criteria'!M128</f>
        <v>&lt;Page # from Plan&gt;</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0"/>
      <c r="B1280" s="2460"/>
      <c r="C1280" s="2197" t="s">
        <v>6893</v>
      </c>
      <c r="D1280" s="2197"/>
      <c r="E1280" s="2197"/>
      <c r="F1280" s="2197"/>
      <c r="G1280" s="2197"/>
      <c r="H1280" s="2197"/>
      <c r="I1280" s="2197"/>
      <c r="J1280" s="2197"/>
      <c r="K1280" s="2197"/>
      <c r="L1280" s="2460"/>
      <c r="M1280" s="2431" t="str">
        <f>'Part VIII Scoring Criteria'!M129</f>
        <v>&lt;Page # from Plan&gt;</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3.8">
      <c r="A1281" s="2392"/>
      <c r="B1281" s="2888" t="s">
        <v>1844</v>
      </c>
      <c r="C1281" s="2851" t="s">
        <v>6892</v>
      </c>
      <c r="D1281" s="2396"/>
      <c r="E1281" s="2396"/>
      <c r="F1281" s="2396"/>
      <c r="G1281" s="2396"/>
      <c r="H1281" s="2396"/>
      <c r="I1281" s="2396"/>
      <c r="J1281" s="2390"/>
      <c r="K1281" s="2310"/>
      <c r="L1281" s="2310"/>
      <c r="M1281" s="2310">
        <v>2</v>
      </c>
      <c r="N1281" s="2857"/>
      <c r="O1281" s="2389">
        <f>'Part VIII Scoring Criteria'!O130</f>
        <v>0</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3.8">
      <c r="A1282" s="2392"/>
      <c r="B1282" s="2889" t="s">
        <v>1846</v>
      </c>
      <c r="C1282" s="2851" t="s">
        <v>6252</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462"/>
      <c r="B1283" s="2857"/>
      <c r="C1283" s="2399" t="s">
        <v>7024</v>
      </c>
      <c r="D1283" s="2399"/>
      <c r="E1283" s="2399"/>
      <c r="F1283" s="2399"/>
      <c r="G1283" s="2399"/>
      <c r="H1283" s="2399"/>
      <c r="I1283" s="2399"/>
      <c r="J1283" s="2399"/>
      <c r="K1283" s="2399"/>
      <c r="L1283" s="2399"/>
      <c r="M1283" s="2395">
        <v>1</v>
      </c>
      <c r="N1283" s="2857"/>
      <c r="O1283" s="2389">
        <f>'Part VIII Scoring Criteria'!O132</f>
        <v>0</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462"/>
      <c r="B1284" s="2857"/>
      <c r="C1284" s="2399" t="s">
        <v>7025</v>
      </c>
      <c r="D1284" s="2399"/>
      <c r="E1284" s="2399"/>
      <c r="F1284" s="2399"/>
      <c r="G1284" s="2399"/>
      <c r="H1284" s="2399"/>
      <c r="I1284" s="2399"/>
      <c r="J1284" s="2399"/>
      <c r="K1284" s="2399"/>
      <c r="L1284" s="2399"/>
      <c r="M1284" s="2395">
        <v>1</v>
      </c>
      <c r="N1284" s="2857"/>
      <c r="O1284" s="2389">
        <f>'Part VIII Scoring Criteria'!O133</f>
        <v>0</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3.8">
      <c r="A1285" s="2462"/>
      <c r="B1285" s="2848"/>
      <c r="C1285" s="2390" t="s">
        <v>7026</v>
      </c>
      <c r="D1285" s="2875"/>
      <c r="E1285" s="2875"/>
      <c r="F1285" s="2875"/>
      <c r="G1285" s="2875"/>
      <c r="H1285" s="2875"/>
      <c r="I1285" s="2875"/>
      <c r="J1285" s="2875"/>
      <c r="K1285" s="2875"/>
      <c r="L1285" s="2875"/>
      <c r="M1285" s="2310">
        <v>1</v>
      </c>
      <c r="N1285" s="2460"/>
      <c r="O1285" s="2389">
        <f>'Part VIII Scoring Criteria'!O134</f>
        <v>0</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3.8">
      <c r="A1286" s="2462" t="s">
        <v>1843</v>
      </c>
      <c r="B1286" s="2196" t="s">
        <v>3822</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0</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3.8">
      <c r="A1287" s="2197"/>
      <c r="B1287" s="2458" t="s">
        <v>3241</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82.8">
      <c r="A1288" s="2399" t="str">
        <f>'Part VIII Scoring Criteria'!A137</f>
        <v>Does not apply to preservation projects.</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4.4">
      <c r="A1289" s="2197"/>
      <c r="B1289" s="2832" t="s">
        <v>1730</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3.8">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3.8">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3.8">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3.8">
      <c r="A1293" s="2457" t="s">
        <v>401</v>
      </c>
      <c r="B1293" s="2458" t="s">
        <v>3341</v>
      </c>
      <c r="C1293" s="2835"/>
      <c r="D1293" s="2835"/>
      <c r="E1293" s="2835"/>
      <c r="F1293" s="2835"/>
      <c r="G1293" s="2835"/>
      <c r="H1293" s="2835"/>
      <c r="I1293" s="2835"/>
      <c r="J1293" s="2835"/>
      <c r="K1293" s="2835"/>
      <c r="L1293" s="2835"/>
      <c r="M1293" s="2461">
        <v>3</v>
      </c>
      <c r="N1293" s="2859"/>
      <c r="O1293" s="2837"/>
      <c r="P1293" s="2389"/>
      <c r="Q1293" s="2461" t="s">
        <v>416</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4.4">
      <c r="A1294" s="2457"/>
      <c r="B1294" s="2832" t="s">
        <v>6253</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3.8">
      <c r="A1295" s="2457"/>
      <c r="B1295" s="2197" t="s">
        <v>3674</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6900</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3.8">
      <c r="A1297" s="2197"/>
      <c r="B1297" s="2458" t="s">
        <v>3241</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3.8">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4.4">
      <c r="A1299" s="2197"/>
      <c r="B1299" s="2858" t="s">
        <v>1730</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3.8">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3.8">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3.8">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3.8">
      <c r="A1303" s="2457" t="s">
        <v>342</v>
      </c>
      <c r="B1303" s="2458" t="s">
        <v>2497</v>
      </c>
      <c r="C1303" s="2197"/>
      <c r="D1303" s="2458"/>
      <c r="E1303" s="2458"/>
      <c r="F1303" s="2197"/>
      <c r="G1303" s="2197"/>
      <c r="H1303" s="2197"/>
      <c r="I1303" s="2197"/>
      <c r="J1303" s="2197"/>
      <c r="K1303" s="2197"/>
      <c r="L1303" s="2462" t="str">
        <f>IF(AND(O1303&gt;0,NOT($F$31="New Supply")), "Ineligible to score in this section, not New Supply!","")</f>
        <v/>
      </c>
      <c r="M1303" s="2461">
        <v>10</v>
      </c>
      <c r="N1303" s="2310"/>
      <c r="O1303" s="2389">
        <f>'Part VIII Scoring Criteria'!O152</f>
        <v>0</v>
      </c>
      <c r="P1303" s="2389">
        <f>'Part VIII Scoring Criteria'!P152</f>
        <v>0</v>
      </c>
      <c r="Q1303" s="2461" t="s">
        <v>416</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3.8">
      <c r="A1304" s="2893" t="s">
        <v>1841</v>
      </c>
      <c r="B1304" s="2196" t="s">
        <v>3823</v>
      </c>
      <c r="C1304" s="2197"/>
      <c r="D1304" s="2458"/>
      <c r="E1304" s="2458"/>
      <c r="F1304" s="2197"/>
      <c r="G1304" s="2197"/>
      <c r="H1304" s="2197"/>
      <c r="I1304" s="2197"/>
      <c r="J1304" s="2197"/>
      <c r="K1304" s="2894"/>
      <c r="L1304" s="2197"/>
      <c r="M1304" s="2310">
        <v>5</v>
      </c>
      <c r="N1304" s="2460"/>
      <c r="O1304" s="2389">
        <f>'Part VIII Scoring Criteria'!O153</f>
        <v>0</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3.8">
      <c r="A1305" s="2390"/>
      <c r="B1305" s="2893"/>
      <c r="C1305" s="2197" t="s">
        <v>6255</v>
      </c>
      <c r="D1305" s="2197"/>
      <c r="E1305" s="2458"/>
      <c r="F1305" s="2458"/>
      <c r="G1305" s="2197"/>
      <c r="H1305" s="2197"/>
      <c r="I1305" s="2197"/>
      <c r="J1305" s="2895" t="str">
        <f>'Part VIII Scoring Criteria'!J154</f>
        <v>&lt;&lt; Select &gt;&gt;</v>
      </c>
      <c r="K1305" s="2895"/>
      <c r="L1305" s="2895" t="s">
        <v>3204</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3.8">
      <c r="A1306" s="2390"/>
      <c r="B1306" s="2390"/>
      <c r="C1306" s="2896" t="s">
        <v>6894</v>
      </c>
      <c r="D1306" s="2390"/>
      <c r="E1306" s="2390"/>
      <c r="F1306" s="2390"/>
      <c r="G1306" s="2390"/>
      <c r="H1306" s="2390"/>
      <c r="I1306" s="2390"/>
      <c r="J1306" s="2897">
        <f>'Part VIII Scoring Criteria'!J155</f>
        <v>0</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3.8">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3.8">
      <c r="A1308" s="2461" t="s">
        <v>1843</v>
      </c>
      <c r="B1308" s="2853" t="s">
        <v>6214</v>
      </c>
      <c r="C1308" s="2197"/>
      <c r="D1308" s="2197"/>
      <c r="E1308" s="2197"/>
      <c r="F1308" s="2197"/>
      <c r="G1308" s="2197"/>
      <c r="H1308" s="2197"/>
      <c r="I1308" s="2197"/>
      <c r="J1308" s="2197"/>
      <c r="K1308" s="2460"/>
      <c r="L1308" s="2460"/>
      <c r="M1308" s="2310">
        <v>5</v>
      </c>
      <c r="N1308" s="2460"/>
      <c r="O1308" s="2389">
        <f>'Part VIII Scoring Criteria'!O157</f>
        <v>0</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4">
      <c r="A1309" s="2390"/>
      <c r="B1309" s="2390"/>
      <c r="C1309" s="2898" t="s">
        <v>6220</v>
      </c>
      <c r="D1309" s="2390"/>
      <c r="E1309" s="2899" t="s">
        <v>6219</v>
      </c>
      <c r="F1309" s="2899"/>
      <c r="G1309" s="2899"/>
      <c r="H1309" s="2899"/>
      <c r="I1309" s="2340" t="s">
        <v>6895</v>
      </c>
      <c r="J1309" s="2899" t="s">
        <v>6219</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4.4">
      <c r="A1310" s="2390"/>
      <c r="B1310" s="2390"/>
      <c r="C1310" s="2197" t="s">
        <v>6218</v>
      </c>
      <c r="D1310" s="2390"/>
      <c r="E1310" s="2900">
        <f>'Part VIII Scoring Criteria'!E159</f>
        <v>0</v>
      </c>
      <c r="F1310" s="2900"/>
      <c r="G1310" s="2900"/>
      <c r="H1310" s="2900"/>
      <c r="I1310" s="2901">
        <f>'Part VIII Scoring Criteria'!I159</f>
        <v>0</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4.4">
      <c r="A1311" s="2390"/>
      <c r="B1311" s="2398"/>
      <c r="C1311" s="2197" t="s">
        <v>6215</v>
      </c>
      <c r="D1311" s="2390"/>
      <c r="E1311" s="2900">
        <f>'Part VIII Scoring Criteria'!E160</f>
        <v>0</v>
      </c>
      <c r="F1311" s="2900"/>
      <c r="G1311" s="2900"/>
      <c r="H1311" s="2900"/>
      <c r="I1311" s="2901">
        <f>'Part VIII Scoring Criteria'!I160</f>
        <v>0</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4.4">
      <c r="A1312" s="2390"/>
      <c r="B1312" s="2390"/>
      <c r="C1312" s="2197" t="s">
        <v>6216</v>
      </c>
      <c r="D1312" s="2390"/>
      <c r="E1312" s="2900">
        <f>'Part VIII Scoring Criteria'!E161</f>
        <v>0</v>
      </c>
      <c r="F1312" s="2900"/>
      <c r="G1312" s="2900"/>
      <c r="H1312" s="2900"/>
      <c r="I1312" s="2901">
        <f>'Part VIII Scoring Criteria'!I161</f>
        <v>0</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3.8">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3.8">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3.8">
      <c r="A1315" s="2197"/>
      <c r="B1315" s="2458" t="s">
        <v>3241</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82.8">
      <c r="A1316" s="2399" t="str">
        <f>'Part VIII Scoring Criteria'!A165</f>
        <v>Does not apply to preservation projects.</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3.8">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4.4">
      <c r="A1318" s="2197"/>
      <c r="B1318" s="2858" t="s">
        <v>1730</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3.8">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3.8">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3.8">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3.8">
      <c r="A1322" s="2457" t="s">
        <v>343</v>
      </c>
      <c r="B1322" s="2904" t="s">
        <v>4035</v>
      </c>
      <c r="C1322" s="2390"/>
      <c r="D1322" s="2390"/>
      <c r="E1322" s="2390"/>
      <c r="F1322" s="2390"/>
      <c r="G1322" s="2310" t="s">
        <v>3152</v>
      </c>
      <c r="H1322" s="2844">
        <f>IF('Part V-Revenues &amp; Expenses'!$P$67=0,0,'Part V-Revenues &amp; Expenses'!$P$64/'Part V-Revenues &amp; Expenses'!$P$67)</f>
        <v>0</v>
      </c>
      <c r="I1322" s="2390"/>
      <c r="J1322" s="2390"/>
      <c r="K1322" s="2900" t="str">
        <f>'Part V-Revenues &amp; Expenses'!$O$53</f>
        <v>40% of Units at 60% of AMI</v>
      </c>
      <c r="L1322" s="2900"/>
      <c r="M1322" s="2461">
        <v>1</v>
      </c>
      <c r="N1322" s="2340"/>
      <c r="O1322" s="2389">
        <f>'Part VIII Scoring Criteria'!O171</f>
        <v>0</v>
      </c>
      <c r="P1322" s="2389">
        <f>'Part VIII Scoring Criteria'!P171</f>
        <v>0</v>
      </c>
      <c r="Q1322" s="2461" t="s">
        <v>416</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3.8">
      <c r="A1323" s="2461" t="s">
        <v>1841</v>
      </c>
      <c r="B1323" s="2398" t="s">
        <v>3958</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3.8">
      <c r="A1324" s="2461" t="s">
        <v>1843</v>
      </c>
      <c r="B1324" s="2398" t="s">
        <v>3813</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3.8">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4.4">
      <c r="A1326" s="2197"/>
      <c r="B1326" s="2858" t="s">
        <v>1730</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3.8">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3.8">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3.8">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4.4">
      <c r="A1330" s="2457" t="s">
        <v>344</v>
      </c>
      <c r="B1330" s="2458" t="s">
        <v>3342</v>
      </c>
      <c r="C1330" s="2197"/>
      <c r="D1330" s="2458"/>
      <c r="E1330" s="2458"/>
      <c r="F1330" s="2197"/>
      <c r="G1330" s="2905"/>
      <c r="H1330" s="2197"/>
      <c r="I1330" s="2197"/>
      <c r="J1330" s="2197"/>
      <c r="K1330" s="2197"/>
      <c r="L1330" s="2462" t="str">
        <f>IF(AND(O1330&gt;0,NOT($F$31="New Supply")), "Ineligible to score in this section, not New Supply!","")</f>
        <v/>
      </c>
      <c r="M1330" s="2461">
        <v>10</v>
      </c>
      <c r="N1330" s="2310"/>
      <c r="O1330" s="2389">
        <f>'Part VIII Scoring Criteria'!O179</f>
        <v>0</v>
      </c>
      <c r="P1330" s="2389">
        <f>'Part VIII Scoring Criteria'!P179</f>
        <v>0</v>
      </c>
      <c r="Q1330" s="2461" t="s">
        <v>416</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3.8">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3.8">
      <c r="A1332" s="2461" t="s">
        <v>1841</v>
      </c>
      <c r="B1332" s="2906" t="s">
        <v>3263</v>
      </c>
      <c r="C1332" s="2390"/>
      <c r="D1332" s="2397"/>
      <c r="E1332" s="2397"/>
      <c r="F1332" s="2397"/>
      <c r="G1332" s="2397"/>
      <c r="H1332" s="2397"/>
      <c r="I1332" s="2390"/>
      <c r="J1332" s="2390"/>
      <c r="K1332" s="2390"/>
      <c r="L1332" s="2397"/>
      <c r="M1332" s="2456" t="str">
        <f>IF(AND(O1332="Yes",O1333="Yes"),"Only one category can be selected!","")</f>
        <v/>
      </c>
      <c r="N1332" s="2460"/>
      <c r="O1332" s="2461">
        <f>'Part VIII Scoring Criteria'!O181</f>
        <v>0</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3.8">
      <c r="A1333" s="2461" t="s">
        <v>1843</v>
      </c>
      <c r="B1333" s="2906" t="s">
        <v>3264</v>
      </c>
      <c r="C1333" s="2390"/>
      <c r="D1333" s="2397"/>
      <c r="E1333" s="2390"/>
      <c r="F1333" s="2390"/>
      <c r="G1333" s="2390"/>
      <c r="H1333" s="2390"/>
      <c r="I1333" s="2390"/>
      <c r="J1333" s="2390"/>
      <c r="K1333" s="2390"/>
      <c r="L1333" s="2397"/>
      <c r="M1333" s="2456"/>
      <c r="N1333" s="2460"/>
      <c r="O1333" s="2461">
        <f>'Part VIII Scoring Criteria'!O182</f>
        <v>0</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3.8">
      <c r="A1334" s="2197"/>
      <c r="B1334" s="2458" t="s">
        <v>3241</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82.8">
      <c r="A1335" s="2399" t="str">
        <f>'Part VIII Scoring Criteria'!A184</f>
        <v>Does not apply to preservation projects.</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4.4">
      <c r="A1336" s="2197"/>
      <c r="B1336" s="2858" t="s">
        <v>1730</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3.8">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3.8">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3.8">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3.8">
      <c r="A1340" s="2457" t="s">
        <v>1604</v>
      </c>
      <c r="B1340" s="2458" t="s">
        <v>4037</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416</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872"/>
      <c r="B1341" s="2396" t="s">
        <v>6257</v>
      </c>
      <c r="C1341" s="2396"/>
      <c r="D1341" s="2396"/>
      <c r="E1341" s="2396"/>
      <c r="F1341" s="2396"/>
      <c r="G1341" s="2340" t="s">
        <v>6859</v>
      </c>
      <c r="H1341" s="2390" t="s">
        <v>574</v>
      </c>
      <c r="I1341" s="2390"/>
      <c r="J1341" s="2390"/>
      <c r="K1341" s="2459" t="s">
        <v>6930</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3.8">
      <c r="A1342" s="2872"/>
      <c r="B1342" s="2872"/>
      <c r="C1342" s="2390"/>
      <c r="D1342" s="2391" t="s">
        <v>6258</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3.8">
      <c r="A1343" s="2889"/>
      <c r="B1343" s="2872"/>
      <c r="C1343" s="2197"/>
      <c r="D1343" s="2393" t="s">
        <v>6259</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3.8">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3.8">
      <c r="A1345" s="2197"/>
      <c r="B1345" s="2458" t="s">
        <v>3241</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3.8">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4.4">
      <c r="A1347" s="2390"/>
      <c r="B1347" s="2858" t="s">
        <v>1730</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3.8">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3.8">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3.8">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3.8">
      <c r="A1351" s="2457" t="s">
        <v>2495</v>
      </c>
      <c r="B1351" s="2458" t="s">
        <v>3961</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416</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3.8">
      <c r="A1352" s="2462" t="s">
        <v>1841</v>
      </c>
      <c r="B1352" s="2196" t="s">
        <v>7027</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3.8">
      <c r="A1353" s="2462" t="s">
        <v>1843</v>
      </c>
      <c r="B1353" s="2196" t="s">
        <v>6267</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3.8">
      <c r="A1354" s="2462" t="s">
        <v>698</v>
      </c>
      <c r="B1354" s="2196" t="s">
        <v>6268</v>
      </c>
      <c r="C1354" s="2390"/>
      <c r="D1354" s="2390"/>
      <c r="E1354" s="2393" t="s">
        <v>6230</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3.8">
      <c r="A1355" s="2197"/>
      <c r="B1355" s="2458" t="s">
        <v>3241</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3.8">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4.4">
      <c r="A1357" s="2390"/>
      <c r="B1357" s="2858" t="s">
        <v>1730</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3.8">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3.8">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3.8">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3.8">
      <c r="A1361" s="2904" t="s">
        <v>2080</v>
      </c>
      <c r="B1361" s="2458" t="s">
        <v>2515</v>
      </c>
      <c r="C1361" s="2390"/>
      <c r="D1361" s="2390"/>
      <c r="E1361" s="2390"/>
      <c r="F1361" s="2390"/>
      <c r="G1361" s="2390"/>
      <c r="H1361" s="2393"/>
      <c r="I1361" s="2390"/>
      <c r="J1361" s="2310"/>
      <c r="K1361" s="2197"/>
      <c r="L1361" s="2460"/>
      <c r="M1361" s="2461">
        <v>4</v>
      </c>
      <c r="N1361" s="2310"/>
      <c r="O1361" s="2389">
        <f>'Part VIII Scoring Criteria'!O210</f>
        <v>4</v>
      </c>
      <c r="P1361" s="2389">
        <f>'Part VIII Scoring Criteria'!P210</f>
        <v>0</v>
      </c>
      <c r="Q1361" s="2461" t="s">
        <v>416</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3.8">
      <c r="A1362" s="2462" t="s">
        <v>1841</v>
      </c>
      <c r="B1362" s="2196" t="s">
        <v>2065</v>
      </c>
      <c r="C1362" s="2197"/>
      <c r="D1362" s="2856"/>
      <c r="E1362" s="2856"/>
      <c r="F1362" s="2197"/>
      <c r="G1362" s="2390"/>
      <c r="H1362" s="2197"/>
      <c r="I1362" s="2197"/>
      <c r="J1362" s="2197"/>
      <c r="K1362" s="2197"/>
      <c r="L1362" s="2850"/>
      <c r="M1362" s="2310">
        <v>3</v>
      </c>
      <c r="N1362" s="2460"/>
      <c r="O1362" s="2829">
        <f>'Part VIII Scoring Criteria'!O211</f>
        <v>3</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3.8">
      <c r="A1363" s="2462"/>
      <c r="B1363" s="2889" t="s">
        <v>1844</v>
      </c>
      <c r="C1363" s="2393" t="s">
        <v>6613</v>
      </c>
      <c r="D1363" s="2856"/>
      <c r="E1363" s="2856"/>
      <c r="F1363" s="2197"/>
      <c r="G1363" s="2390"/>
      <c r="H1363" s="2197"/>
      <c r="I1363" s="2197"/>
      <c r="J1363" s="2197"/>
      <c r="K1363" s="2197"/>
      <c r="L1363" s="2850"/>
      <c r="M1363" s="2310">
        <v>3</v>
      </c>
      <c r="N1363" s="2855"/>
      <c r="O1363" s="2389" t="str">
        <f>'Part VIII Scoring Criteria'!O212</f>
        <v>Yes</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3.8">
      <c r="A1364" s="2462"/>
      <c r="B1364" s="2872" t="s">
        <v>1846</v>
      </c>
      <c r="C1364" s="2393" t="s">
        <v>6614</v>
      </c>
      <c r="D1364" s="2856"/>
      <c r="E1364" s="2856"/>
      <c r="F1364" s="2197"/>
      <c r="G1364" s="2390"/>
      <c r="H1364" s="2197"/>
      <c r="I1364" s="2197"/>
      <c r="J1364" s="2197"/>
      <c r="K1364" s="2197"/>
      <c r="L1364" s="2850"/>
      <c r="M1364" s="2310">
        <v>2</v>
      </c>
      <c r="N1364" s="2855"/>
      <c r="O1364" s="2389">
        <f>'Part VIII Scoring Criteria'!O213</f>
        <v>0</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3.8">
      <c r="A1365" s="2462"/>
      <c r="B1365" s="2872" t="s">
        <v>2332</v>
      </c>
      <c r="C1365" s="2393" t="s">
        <v>6615</v>
      </c>
      <c r="D1365" s="2856"/>
      <c r="E1365" s="2856"/>
      <c r="F1365" s="2197"/>
      <c r="G1365" s="2390"/>
      <c r="H1365" s="2197"/>
      <c r="I1365" s="2197"/>
      <c r="J1365" s="2197"/>
      <c r="K1365" s="2460"/>
      <c r="L1365" s="2197"/>
      <c r="M1365" s="2310">
        <v>1</v>
      </c>
      <c r="N1365" s="2855"/>
      <c r="O1365" s="2389">
        <f>'Part VIII Scoring Criteria'!O214</f>
        <v>0</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3.8">
      <c r="A1366" s="2462" t="s">
        <v>1843</v>
      </c>
      <c r="B1366" s="2196" t="s">
        <v>3953</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04"/>
      <c r="B1367" s="2197" t="s">
        <v>6896</v>
      </c>
      <c r="C1367" s="2431"/>
      <c r="D1367" s="2431"/>
      <c r="E1367" s="2431"/>
      <c r="F1367" s="2431"/>
      <c r="G1367" s="2431"/>
      <c r="H1367" s="2431"/>
      <c r="I1367" s="2431"/>
      <c r="J1367" s="2431"/>
      <c r="K1367" s="2431"/>
      <c r="L1367" s="2431"/>
      <c r="M1367" s="2310"/>
      <c r="N1367" s="2460"/>
      <c r="O1367" s="2389">
        <f>'Part VIII Scoring Criteria'!O216</f>
        <v>0</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3.8">
      <c r="A1368" s="2462" t="s">
        <v>698</v>
      </c>
      <c r="B1368" s="2196" t="s">
        <v>3825</v>
      </c>
      <c r="C1368" s="2390"/>
      <c r="D1368" s="2197"/>
      <c r="E1368" s="2390"/>
      <c r="F1368" s="2390"/>
      <c r="G1368" s="2390"/>
      <c r="H1368" s="2197"/>
      <c r="I1368" s="2390"/>
      <c r="J1368" s="2390"/>
      <c r="K1368" s="2197"/>
      <c r="L1368" s="2850"/>
      <c r="M1368" s="2310">
        <v>1</v>
      </c>
      <c r="N1368" s="2460"/>
      <c r="O1368" s="2829">
        <f>'Part VIII Scoring Criteria'!O217</f>
        <v>1</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7028</v>
      </c>
      <c r="C1369" s="2399"/>
      <c r="D1369" s="2399"/>
      <c r="E1369" s="2399"/>
      <c r="F1369" s="2399"/>
      <c r="G1369" s="2399"/>
      <c r="H1369" s="2399"/>
      <c r="I1369" s="2399"/>
      <c r="J1369" s="2399"/>
      <c r="K1369" s="2399"/>
      <c r="L1369" s="2399"/>
      <c r="M1369" s="2310"/>
      <c r="N1369" s="2460"/>
      <c r="O1369" s="2389" t="str">
        <f>'Part VIII Scoring Criteria'!O218</f>
        <v>Yes</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4.4">
      <c r="A1370" s="2197"/>
      <c r="B1370" s="2858" t="s">
        <v>1730</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3.8">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3.8">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3.8">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4.4">
      <c r="A1374" s="2457" t="s">
        <v>3370</v>
      </c>
      <c r="B1374" s="2458" t="s">
        <v>6573</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416</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3.8">
      <c r="A1375" s="2461"/>
      <c r="B1375" s="2397" t="s">
        <v>6860</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7" t="s">
        <v>6897</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3.8">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3.8">
      <c r="A1378" s="2197"/>
      <c r="B1378" s="2458" t="s">
        <v>3241</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3.8">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4.4">
      <c r="A1380" s="2197"/>
      <c r="B1380" s="2858" t="s">
        <v>1730</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3.8">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3.8">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3.8">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4.4">
      <c r="A1384" s="2457" t="s">
        <v>3371</v>
      </c>
      <c r="B1384" s="2458" t="s">
        <v>6578</v>
      </c>
      <c r="C1384" s="2197"/>
      <c r="D1384" s="2458"/>
      <c r="E1384" s="2458"/>
      <c r="F1384" s="2197"/>
      <c r="G1384" s="2905"/>
      <c r="H1384" s="2197"/>
      <c r="I1384" s="2197"/>
      <c r="J1384" s="2197"/>
      <c r="K1384" s="2197"/>
      <c r="L1384" s="2462" t="str">
        <f>IF(AND(O1392&gt;0,O1395&gt;0), "Choose only one option!","")</f>
        <v/>
      </c>
      <c r="M1384" s="2461">
        <v>2</v>
      </c>
      <c r="N1384" s="2310"/>
      <c r="O1384" s="2389">
        <f>'Part VIII Scoring Criteria'!O233</f>
        <v>0</v>
      </c>
      <c r="P1384" s="2389">
        <f>'Part VIII Scoring Criteria'!P233</f>
        <v>0</v>
      </c>
      <c r="Q1384" s="2461" t="s">
        <v>416</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3.8">
      <c r="A1385" s="2457"/>
      <c r="B1385" s="2197" t="s">
        <v>6898</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57"/>
      <c r="B1386" s="2197"/>
      <c r="C1386" s="2197" t="s">
        <v>6693</v>
      </c>
      <c r="D1386" s="2197"/>
      <c r="E1386" s="2197"/>
      <c r="F1386" s="2197"/>
      <c r="G1386" s="2197"/>
      <c r="H1386" s="2197"/>
      <c r="I1386" s="2197">
        <f>'Part VIII Scoring Criteria'!I235</f>
        <v>0</v>
      </c>
      <c r="J1386" s="2197"/>
      <c r="K1386" s="2197"/>
      <c r="L1386" s="2197"/>
      <c r="M1386" s="2461"/>
      <c r="N1386" s="2197"/>
      <c r="O1386" s="2459" t="s">
        <v>6899</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57"/>
      <c r="B1387" s="2197"/>
      <c r="C1387" s="2197" t="s">
        <v>6692</v>
      </c>
      <c r="D1387" s="2197"/>
      <c r="E1387" s="2197"/>
      <c r="F1387" s="2197"/>
      <c r="G1387" s="2197"/>
      <c r="H1387" s="2197"/>
      <c r="I1387" s="2197">
        <f>'Part VIII Scoring Criteria'!I236</f>
        <v>0</v>
      </c>
      <c r="J1387" s="2197"/>
      <c r="K1387" s="2197"/>
      <c r="L1387" s="2197"/>
      <c r="M1387" s="2461"/>
      <c r="N1387" s="2197"/>
      <c r="O1387" s="2459"/>
      <c r="P1387" s="2459" t="s">
        <v>3150</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3.8">
      <c r="A1388" s="2457"/>
      <c r="B1388" s="2197"/>
      <c r="C1388" s="2197" t="s">
        <v>6694</v>
      </c>
      <c r="D1388" s="2197"/>
      <c r="E1388" s="2197"/>
      <c r="F1388" s="2197"/>
      <c r="G1388" s="2197"/>
      <c r="H1388" s="2197"/>
      <c r="I1388" s="2197" t="str">
        <f>'Part VIII Scoring Criteria'!I237</f>
        <v>Select Certification</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3.8">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11"/>
      <c r="B1390" s="2460"/>
      <c r="C1390" s="2197" t="s">
        <v>6861</v>
      </c>
      <c r="D1390" s="2431"/>
      <c r="E1390" s="2431"/>
      <c r="F1390" s="2431"/>
      <c r="G1390" s="2431"/>
      <c r="H1390" s="2431"/>
      <c r="I1390" s="2431"/>
      <c r="J1390" s="2431"/>
      <c r="K1390" s="2431"/>
      <c r="L1390" s="2431"/>
      <c r="M1390" s="2197"/>
      <c r="N1390" s="2460"/>
      <c r="O1390" s="2310">
        <f>'Part VIII Scoring Criteria'!O239</f>
        <v>0</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3.8">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3.8">
      <c r="A1392" s="2461" t="s">
        <v>1841</v>
      </c>
      <c r="B1392" s="2906" t="s">
        <v>6579</v>
      </c>
      <c r="C1392" s="2390"/>
      <c r="D1392" s="2397"/>
      <c r="E1392" s="2397"/>
      <c r="F1392" s="2390"/>
      <c r="G1392" s="2397" t="s">
        <v>6587</v>
      </c>
      <c r="H1392" s="2397"/>
      <c r="I1392" s="2390"/>
      <c r="J1392" s="2390"/>
      <c r="K1392" s="2390"/>
      <c r="L1392" s="2397"/>
      <c r="M1392" s="2340">
        <v>2</v>
      </c>
      <c r="N1392" s="2460"/>
      <c r="O1392" s="2389">
        <f>'Part VIII Scoring Criteria'!O241</f>
        <v>0</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12"/>
      <c r="B1393" s="2872"/>
      <c r="C1393" s="2396" t="s">
        <v>6588</v>
      </c>
      <c r="D1393" s="2399"/>
      <c r="E1393" s="2399"/>
      <c r="F1393" s="2399"/>
      <c r="G1393" s="2399"/>
      <c r="H1393" s="2399"/>
      <c r="I1393" s="2399"/>
      <c r="J1393" s="2399"/>
      <c r="K1393" s="2399"/>
      <c r="L1393" s="2399"/>
      <c r="M1393" s="2399"/>
      <c r="N1393" s="2855"/>
      <c r="O1393" s="2310">
        <f>'Part VIII Scoring Criteria'!O242</f>
        <v>0</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12"/>
      <c r="B1394" s="2872"/>
      <c r="C1394" s="2396" t="s">
        <v>6862</v>
      </c>
      <c r="D1394" s="2399"/>
      <c r="E1394" s="2399"/>
      <c r="F1394" s="2399"/>
      <c r="G1394" s="2399"/>
      <c r="H1394" s="2399"/>
      <c r="I1394" s="2399"/>
      <c r="J1394" s="2399"/>
      <c r="K1394" s="2399"/>
      <c r="L1394" s="2399"/>
      <c r="M1394" s="2399"/>
      <c r="N1394" s="2855"/>
      <c r="O1394" s="2310">
        <f>'Part VIII Scoring Criteria'!O243</f>
        <v>0</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3.8">
      <c r="A1395" s="2461" t="s">
        <v>1843</v>
      </c>
      <c r="B1395" s="2906" t="s">
        <v>6580</v>
      </c>
      <c r="C1395" s="2390"/>
      <c r="D1395" s="2397"/>
      <c r="E1395" s="2390"/>
      <c r="F1395" s="2390"/>
      <c r="G1395" s="2390"/>
      <c r="H1395" s="2390"/>
      <c r="I1395" s="2390"/>
      <c r="J1395" s="2390"/>
      <c r="K1395" s="2390"/>
      <c r="L1395" s="2397"/>
      <c r="M1395" s="2340">
        <v>2</v>
      </c>
      <c r="N1395" s="2460"/>
      <c r="O1395" s="2389">
        <f>'Part VIII Scoring Criteria'!O244</f>
        <v>0</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3.8">
      <c r="A1396" s="2461"/>
      <c r="B1396" s="2906"/>
      <c r="C1396" s="2197" t="s">
        <v>6863</v>
      </c>
      <c r="D1396" s="2397"/>
      <c r="E1396" s="2390"/>
      <c r="F1396" s="2390"/>
      <c r="G1396" s="2390"/>
      <c r="H1396" s="2390"/>
      <c r="I1396" s="2390"/>
      <c r="J1396" s="2390"/>
      <c r="K1396" s="2390"/>
      <c r="L1396" s="2397"/>
      <c r="M1396" s="2340"/>
      <c r="N1396" s="2460"/>
      <c r="O1396" s="2310">
        <f>'Part VIII Scoring Criteria'!O245</f>
        <v>0</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12"/>
      <c r="B1397" s="2872"/>
      <c r="C1397" s="2396" t="s">
        <v>7029</v>
      </c>
      <c r="D1397" s="2399"/>
      <c r="E1397" s="2399"/>
      <c r="F1397" s="2399"/>
      <c r="G1397" s="2399"/>
      <c r="H1397" s="2399"/>
      <c r="I1397" s="2399"/>
      <c r="J1397" s="2399"/>
      <c r="K1397" s="2399"/>
      <c r="L1397" s="2399"/>
      <c r="M1397" s="2399"/>
      <c r="N1397" s="2855"/>
      <c r="O1397" s="2310">
        <f>'Part VIII Scoring Criteria'!O246</f>
        <v>0</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3.8">
      <c r="A1398" s="2197"/>
      <c r="B1398" s="2458" t="s">
        <v>3241</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13.8">
      <c r="A1399" s="2399" t="str">
        <f>'Part VIII Scoring Criteria'!A248</f>
        <v>There is no minority- and women-owned business engagement expected for this project.</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4.4">
      <c r="A1400" s="2197"/>
      <c r="B1400" s="2858" t="s">
        <v>1730</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3.8">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3.8">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3.8">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4.4">
      <c r="A1404" s="2457" t="s">
        <v>3369</v>
      </c>
      <c r="B1404" s="2458" t="s">
        <v>6584</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416</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3.8">
      <c r="A1405" s="2461" t="s">
        <v>1841</v>
      </c>
      <c r="B1405" s="2906" t="s">
        <v>6585</v>
      </c>
      <c r="C1405" s="2390"/>
      <c r="D1405" s="2397"/>
      <c r="E1405" s="2397" t="s">
        <v>6596</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3.8">
      <c r="A1406" s="2461" t="s">
        <v>1843</v>
      </c>
      <c r="B1406" s="2906" t="s">
        <v>6586</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3.8">
      <c r="A1407" s="2197"/>
      <c r="B1407" s="2458" t="s">
        <v>3241</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3.8">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4.4">
      <c r="A1409" s="2197"/>
      <c r="B1409" s="2858" t="s">
        <v>1730</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3.8">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3.8">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3.8">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3.8">
      <c r="A1413" s="2904" t="s">
        <v>3372</v>
      </c>
      <c r="B1413" s="2458" t="s">
        <v>3343</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3.8">
      <c r="A1414" s="2461" t="s">
        <v>1841</v>
      </c>
      <c r="B1414" s="2196" t="s">
        <v>3344</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3.8">
      <c r="A1415" s="2461"/>
      <c r="B1415" s="2197" t="s">
        <v>6902</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3.8">
      <c r="A1416" s="2461" t="s">
        <v>1843</v>
      </c>
      <c r="B1416" s="2196" t="s">
        <v>3345</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3.8">
      <c r="A1417" s="2904"/>
      <c r="B1417" s="2197" t="s">
        <v>6902</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4.4">
      <c r="A1418" s="2390"/>
      <c r="B1418" s="2858" t="s">
        <v>1730</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3.8">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3.8">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3.8">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3.8">
      <c r="A1422" s="2904" t="s">
        <v>3373</v>
      </c>
      <c r="B1422" s="2458" t="s">
        <v>1555</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416</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3.8">
      <c r="A1423" s="2462"/>
      <c r="B1423" s="2851" t="s">
        <v>3153</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3.8">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3.8">
      <c r="A1425" s="2197"/>
      <c r="B1425" s="2458" t="s">
        <v>3241</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3.8">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4.4">
      <c r="A1427" s="2197"/>
      <c r="B1427" s="2832" t="s">
        <v>1730</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3.8">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3.8">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3.8">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3.8">
      <c r="A1431" s="2457" t="s">
        <v>3376</v>
      </c>
      <c r="B1431" s="2458" t="s">
        <v>3347</v>
      </c>
      <c r="C1431" s="2390"/>
      <c r="D1431" s="2398"/>
      <c r="E1431" s="2398"/>
      <c r="F1431" s="2197"/>
      <c r="G1431" s="2197"/>
      <c r="H1431" s="2197"/>
      <c r="I1431" s="2390"/>
      <c r="J1431" s="2907"/>
      <c r="K1431" s="2461"/>
      <c r="L1431" s="2390"/>
      <c r="M1431" s="2389">
        <v>4</v>
      </c>
      <c r="N1431" s="2310"/>
      <c r="O1431" s="2389">
        <f>'Part VIII Scoring Criteria'!O280</f>
        <v>0</v>
      </c>
      <c r="P1431" s="2389">
        <f>'Part VIII Scoring Criteria'!P280</f>
        <v>0</v>
      </c>
      <c r="Q1431" s="2461"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3.8">
      <c r="A1432" s="2889" t="s">
        <v>1841</v>
      </c>
      <c r="B1432" s="2196" t="s">
        <v>3348</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0</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889"/>
      <c r="B1433" s="2911" t="s">
        <v>6864</v>
      </c>
      <c r="C1433" s="2913"/>
      <c r="D1433" s="2913"/>
      <c r="E1433" s="2913"/>
      <c r="F1433" s="2913"/>
      <c r="G1433" s="2913"/>
      <c r="H1433" s="2913"/>
      <c r="I1433" s="2913"/>
      <c r="J1433" s="2913"/>
      <c r="K1433" s="2913"/>
      <c r="L1433" s="2913"/>
      <c r="M1433" s="2390"/>
      <c r="N1433" s="2390"/>
      <c r="O1433" s="2310">
        <f>'Part VIII Scoring Criteria'!O282</f>
        <v>0</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4.4">
      <c r="A1434" s="2889"/>
      <c r="B1434" s="2914"/>
      <c r="C1434" s="2396"/>
      <c r="D1434" s="2396"/>
      <c r="E1434" s="2396"/>
      <c r="F1434" s="2396"/>
      <c r="G1434" s="2396"/>
      <c r="H1434" s="2396"/>
      <c r="I1434" s="2396"/>
      <c r="J1434" s="2899" t="s">
        <v>1848</v>
      </c>
      <c r="K1434" s="2899"/>
      <c r="L1434" s="2390"/>
      <c r="M1434" s="2899" t="s">
        <v>1848</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3.8">
      <c r="A1435" s="2460"/>
      <c r="B1435" s="2855" t="s">
        <v>1844</v>
      </c>
      <c r="C1435" s="2197" t="s">
        <v>1388</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3.8">
      <c r="A1436" s="2848"/>
      <c r="B1436" s="2842" t="s">
        <v>1846</v>
      </c>
      <c r="C1436" s="2197" t="s">
        <v>3155</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3.8">
      <c r="A1437" s="2390"/>
      <c r="B1437" s="2855" t="s">
        <v>2332</v>
      </c>
      <c r="C1437" s="2197" t="s">
        <v>3954</v>
      </c>
      <c r="D1437" s="2390"/>
      <c r="E1437" s="2390"/>
      <c r="F1437" s="2390"/>
      <c r="G1437" s="2390"/>
      <c r="H1437" s="2390"/>
      <c r="I1437" s="2460"/>
      <c r="J1437" s="2916">
        <f>'Part VIII Scoring Criteria'!J286</f>
        <v>0</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3.8">
      <c r="A1438" s="2848"/>
      <c r="B1438" s="2855" t="s">
        <v>1150</v>
      </c>
      <c r="C1438" s="2197" t="s">
        <v>3071</v>
      </c>
      <c r="D1438" s="2390"/>
      <c r="E1438" s="2390"/>
      <c r="F1438" s="2390"/>
      <c r="G1438" s="2390"/>
      <c r="H1438" s="2390"/>
      <c r="I1438" s="2460"/>
      <c r="J1438" s="2916">
        <f>'Part VIII Scoring Criteria'!J287</f>
        <v>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3.8">
      <c r="A1439" s="2460"/>
      <c r="B1439" s="2842" t="s">
        <v>1151</v>
      </c>
      <c r="C1439" s="2197" t="s">
        <v>2473</v>
      </c>
      <c r="D1439" s="2390"/>
      <c r="E1439" s="2390"/>
      <c r="F1439" s="2390"/>
      <c r="G1439" s="2390"/>
      <c r="H1439" s="2390"/>
      <c r="I1439" s="2857"/>
      <c r="J1439" s="2916">
        <f>'Part VIII Scoring Criteria'!J288</f>
        <v>0</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3.8">
      <c r="A1440" s="2390"/>
      <c r="B1440" s="2855" t="s">
        <v>1742</v>
      </c>
      <c r="C1440" s="2197" t="s">
        <v>1387</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3.8">
      <c r="A1441" s="2390"/>
      <c r="B1441" s="2855" t="s">
        <v>473</v>
      </c>
      <c r="C1441" s="2197" t="s">
        <v>6233</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3.8">
      <c r="A1442" s="2848"/>
      <c r="B1442" s="2855" t="s">
        <v>474</v>
      </c>
      <c r="C1442" s="2197" t="s">
        <v>3154</v>
      </c>
      <c r="D1442" s="2390"/>
      <c r="E1442" s="2390"/>
      <c r="F1442" s="2390"/>
      <c r="G1442" s="2390"/>
      <c r="H1442" s="2390"/>
      <c r="I1442" s="2460"/>
      <c r="J1442" s="2916">
        <f>'Part VIII Scoring Criteria'!J291</f>
        <v>0</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3.8">
      <c r="A1443" s="2390"/>
      <c r="B1443" s="2855" t="s">
        <v>3889</v>
      </c>
      <c r="C1443" s="2197" t="s">
        <v>6865</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3.8">
      <c r="A1444" s="2390"/>
      <c r="B1444" s="2855" t="s">
        <v>6866</v>
      </c>
      <c r="C1444" s="2197" t="s">
        <v>6903</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3.8">
      <c r="A1445" s="2390"/>
      <c r="B1445" s="2855" t="s">
        <v>6867</v>
      </c>
      <c r="C1445" s="2197" t="s">
        <v>6904</v>
      </c>
      <c r="D1445" s="2390"/>
      <c r="E1445" s="2390"/>
      <c r="F1445" s="2390"/>
      <c r="G1445" s="2390"/>
      <c r="H1445" s="2390"/>
      <c r="I1445" s="2460"/>
      <c r="J1445" s="2916">
        <f>'Part VIII Scoring Criteria'!J294</f>
        <v>0</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3.8">
      <c r="A1446" s="2390"/>
      <c r="B1446" s="2197"/>
      <c r="C1446" s="2390"/>
      <c r="D1446" s="2390"/>
      <c r="E1446" s="2390"/>
      <c r="F1446" s="2390"/>
      <c r="G1446" s="2390"/>
      <c r="H1446" s="2390"/>
      <c r="I1446" s="2462" t="s">
        <v>2413</v>
      </c>
      <c r="J1446" s="2916">
        <f>SUM(J1435:K1445)</f>
        <v>0</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3.8">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6909</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3.8">
      <c r="A1448" s="2197"/>
      <c r="B1448" s="2853"/>
      <c r="C1448" s="2398" t="s">
        <v>2412</v>
      </c>
      <c r="D1448" s="2431"/>
      <c r="E1448" s="2431"/>
      <c r="F1448" s="2390"/>
      <c r="G1448" s="2390"/>
      <c r="H1448" s="2390"/>
      <c r="I1448" s="2460" t="s">
        <v>6236</v>
      </c>
      <c r="J1448" s="2916">
        <f>'Part V-Revenues &amp; Expenses'!$P$67</f>
        <v>40</v>
      </c>
      <c r="K1448" s="2916"/>
      <c r="L1448" s="2196"/>
      <c r="M1448" s="2196"/>
      <c r="N1448" s="2196"/>
      <c r="O1448" s="2390"/>
      <c r="P1448" s="2196"/>
      <c r="Q1448" s="2390"/>
      <c r="R1448" s="2390"/>
      <c r="S1448" s="2390"/>
      <c r="T1448" s="2390"/>
      <c r="U1448" s="2917" t="s">
        <v>6907</v>
      </c>
      <c r="V1448" s="2917" t="s">
        <v>6908</v>
      </c>
      <c r="W1448" s="2917" t="s">
        <v>6907</v>
      </c>
      <c r="X1448" s="2917" t="s">
        <v>6908</v>
      </c>
      <c r="Y1448" s="2917" t="s">
        <v>6907</v>
      </c>
      <c r="Z1448" s="2917" t="s">
        <v>6908</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3.8">
      <c r="A1449" s="2390"/>
      <c r="B1449" s="2390"/>
      <c r="C1449" s="2431"/>
      <c r="D1449" s="2431"/>
      <c r="E1449" s="2431"/>
      <c r="F1449" s="2390"/>
      <c r="G1449" s="2390"/>
      <c r="H1449" s="2390"/>
      <c r="I1449" s="2848" t="s">
        <v>6237</v>
      </c>
      <c r="J1449" s="2918">
        <f>IF(J1448=0,0,J1446/J1448)</f>
        <v>0</v>
      </c>
      <c r="K1449" s="2918"/>
      <c r="L1449" s="2390"/>
      <c r="M1449" s="2918">
        <f>IF(J1448=0,0,M1446/J1448)</f>
        <v>0</v>
      </c>
      <c r="N1449" s="2918"/>
      <c r="O1449" s="2918"/>
      <c r="P1449" s="2918"/>
      <c r="Q1449" s="2390"/>
      <c r="R1449" s="2390"/>
      <c r="S1449" s="2919" t="s">
        <v>6905</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3.8">
      <c r="A1450" s="2390"/>
      <c r="B1450" s="2390"/>
      <c r="C1450" s="2431"/>
      <c r="D1450" s="2431"/>
      <c r="E1450" s="2431"/>
      <c r="F1450" s="2390"/>
      <c r="G1450" s="2390"/>
      <c r="H1450" s="2390"/>
      <c r="I1450" s="2848" t="s">
        <v>6868</v>
      </c>
      <c r="J1450" s="2918">
        <f>'Part VIII Scoring Criteria'!J299</f>
        <v>0</v>
      </c>
      <c r="K1450" s="2918"/>
      <c r="L1450" s="2390"/>
      <c r="M1450" s="2918">
        <f>'Part VIII Scoring Criteria'!M299</f>
        <v>0</v>
      </c>
      <c r="N1450" s="2918"/>
      <c r="O1450" s="2918">
        <f t="shared" ref="O1450" si="403">IF(O1446&gt;=$Y$295,$Y$297,IF(O1446&gt;=$W$295,$W$297,IF(O1446&gt;=$U$295,$U$297,0)))</f>
        <v>0</v>
      </c>
      <c r="P1450" s="2918"/>
      <c r="Q1450" s="2390"/>
      <c r="R1450" s="2390"/>
      <c r="S1450" s="2919" t="s">
        <v>6906</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3.8">
      <c r="A1451" s="2390"/>
      <c r="B1451" s="2390"/>
      <c r="C1451" s="2431"/>
      <c r="D1451" s="2431"/>
      <c r="E1451" s="2431"/>
      <c r="F1451" s="2390"/>
      <c r="G1451" s="2390"/>
      <c r="H1451" s="2390"/>
      <c r="I1451" s="2848" t="s">
        <v>6238</v>
      </c>
      <c r="J1451" s="2922">
        <f>'Part VIII Scoring Criteria'!J300</f>
        <v>0</v>
      </c>
      <c r="K1451" s="2922"/>
      <c r="L1451" s="2196"/>
      <c r="M1451" s="2922">
        <f>'Part VIII Scoring Criteria'!M300</f>
        <v>0</v>
      </c>
      <c r="N1451" s="2922"/>
      <c r="O1451" s="2922"/>
      <c r="P1451" s="2922"/>
      <c r="Q1451" s="2390"/>
      <c r="R1451" s="2390"/>
      <c r="S1451" s="2919" t="s">
        <v>6145</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3.8">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3.8">
      <c r="A1453" s="2461" t="s">
        <v>1843</v>
      </c>
      <c r="B1453" s="2851" t="s">
        <v>3157</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0</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462"/>
      <c r="B1454" s="2872"/>
      <c r="C1454" s="2399" t="s">
        <v>6869</v>
      </c>
      <c r="D1454" s="2399"/>
      <c r="E1454" s="2399"/>
      <c r="F1454" s="2399"/>
      <c r="G1454" s="2399"/>
      <c r="H1454" s="2399"/>
      <c r="I1454" s="2399"/>
      <c r="J1454" s="2399"/>
      <c r="K1454" s="2399"/>
      <c r="L1454" s="2399"/>
      <c r="M1454" s="2399"/>
      <c r="N1454" s="2873"/>
      <c r="O1454" s="2310">
        <f>'Part VIII Scoring Criteria'!O303</f>
        <v>0</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3.8">
      <c r="A1455" s="2462"/>
      <c r="B1455" s="2889"/>
      <c r="C1455" s="2197" t="s">
        <v>6870</v>
      </c>
      <c r="D1455" s="2197"/>
      <c r="E1455" s="2197"/>
      <c r="F1455" s="2197"/>
      <c r="G1455" s="2197"/>
      <c r="H1455" s="2197"/>
      <c r="I1455" s="2197"/>
      <c r="J1455" s="2197"/>
      <c r="K1455" s="2197"/>
      <c r="L1455" s="2390"/>
      <c r="M1455" s="2197"/>
      <c r="N1455" s="2833"/>
      <c r="O1455" s="2310">
        <f>'Part VIII Scoring Criteria'!O304</f>
        <v>0</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3.8">
      <c r="A1456" s="2390"/>
      <c r="B1456" s="2889"/>
      <c r="C1456" s="2390" t="s">
        <v>6871</v>
      </c>
      <c r="D1456" s="2390"/>
      <c r="E1456" s="2390"/>
      <c r="F1456" s="2390"/>
      <c r="G1456" s="2390"/>
      <c r="H1456" s="2390"/>
      <c r="I1456" s="2390"/>
      <c r="J1456" s="2390"/>
      <c r="K1456" s="2390"/>
      <c r="L1456" s="2390"/>
      <c r="M1456" s="2390"/>
      <c r="N1456" s="2833"/>
      <c r="O1456" s="2310">
        <f>'Part VIII Scoring Criteria'!O305</f>
        <v>0</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3.8">
      <c r="A1457" s="2390"/>
      <c r="B1457" s="2458" t="s">
        <v>3241</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124.2">
      <c r="A1458" s="2399" t="str">
        <f>'Part VIII Scoring Criteria'!A307</f>
        <v>The project does not involve any new favorable financing sources.</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4.4">
      <c r="A1459" s="2197"/>
      <c r="B1459" s="2832" t="s">
        <v>1730</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3.8">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3.8">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3.8">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3.8">
      <c r="A1463" s="2457" t="s">
        <v>3377</v>
      </c>
      <c r="B1463" s="2458" t="s">
        <v>2469</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416</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3.8">
      <c r="A1464" s="2904"/>
      <c r="B1464" s="2396"/>
      <c r="C1464" s="2396"/>
      <c r="D1464" s="2396"/>
      <c r="E1464" s="2896" t="s">
        <v>3072</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3.8">
      <c r="A1465" s="2843" t="s">
        <v>1841</v>
      </c>
      <c r="B1465" s="2196" t="s">
        <v>3955</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3.8">
      <c r="A1467" s="2923" t="s">
        <v>1843</v>
      </c>
      <c r="B1467" s="2875" t="s">
        <v>3956</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3.8">
      <c r="A1468" s="2197"/>
      <c r="B1468" s="2458" t="s">
        <v>3241</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3.8">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4.4">
      <c r="A1470" s="2390"/>
      <c r="B1470" s="2858" t="s">
        <v>1730</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3.8">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3.8">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3.8">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3.8">
      <c r="A1474" s="2904" t="s">
        <v>3378</v>
      </c>
      <c r="B1474" s="2458" t="s">
        <v>4036</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3.8">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3.8">
      <c r="A1476" s="2904"/>
      <c r="B1476" s="2196" t="s">
        <v>3177</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3.8">
      <c r="A1477" s="2904"/>
      <c r="B1477" s="2196" t="s">
        <v>3178</v>
      </c>
      <c r="C1477" s="2197"/>
      <c r="D1477" s="2458"/>
      <c r="E1477" s="2458"/>
      <c r="F1477" s="2197"/>
      <c r="G1477" s="2197"/>
      <c r="H1477" s="2197"/>
      <c r="I1477" s="2197"/>
      <c r="J1477" s="2197"/>
      <c r="K1477" s="2197"/>
      <c r="L1477" s="2850"/>
      <c r="M1477" s="2461"/>
      <c r="N1477" s="2310"/>
      <c r="O1477" s="2389">
        <f>'Part VIII Scoring Criteria'!O326</f>
        <v>0</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3.8">
      <c r="A1478" s="2904"/>
      <c r="B1478" s="2196" t="s">
        <v>3179</v>
      </c>
      <c r="C1478" s="2197"/>
      <c r="D1478" s="2458"/>
      <c r="E1478" s="2458"/>
      <c r="F1478" s="2197"/>
      <c r="G1478" s="2197"/>
      <c r="H1478" s="2197"/>
      <c r="I1478" s="2197"/>
      <c r="J1478" s="2197"/>
      <c r="K1478" s="2197"/>
      <c r="L1478" s="2850"/>
      <c r="M1478" s="2461"/>
      <c r="N1478" s="2310"/>
      <c r="O1478" s="2389">
        <f>'Part VIII Scoring Criteria'!O327</f>
        <v>0</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4.4">
      <c r="A1479" s="2832"/>
      <c r="B1479" s="2832" t="s">
        <v>1730</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3.8">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3.8">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3.8">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3.8">
      <c r="A1483" s="2904" t="s">
        <v>3379</v>
      </c>
      <c r="B1483" s="2458" t="s">
        <v>6605</v>
      </c>
      <c r="C1483" s="2835"/>
      <c r="D1483" s="2835"/>
      <c r="E1483" s="2835"/>
      <c r="F1483" s="2835"/>
      <c r="G1483" s="2856"/>
      <c r="H1483" s="2835"/>
      <c r="I1483" s="2390"/>
      <c r="J1483" s="2390"/>
      <c r="K1483" s="2835"/>
      <c r="L1483" s="2835"/>
      <c r="M1483" s="2461">
        <v>3</v>
      </c>
      <c r="N1483" s="2859"/>
      <c r="O1483" s="2389">
        <f>'Part VIII Scoring Criteria'!O332</f>
        <v>2</v>
      </c>
      <c r="P1483" s="2389">
        <f>'Part VIII Scoring Criteria'!P332</f>
        <v>2</v>
      </c>
      <c r="Q1483" s="2461" t="s">
        <v>416</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3.8">
      <c r="A1484" s="2461" t="s">
        <v>1841</v>
      </c>
      <c r="B1484" s="2196" t="s">
        <v>6607</v>
      </c>
      <c r="C1484" s="2197"/>
      <c r="D1484" s="2197"/>
      <c r="E1484" s="2196"/>
      <c r="F1484" s="2197"/>
      <c r="G1484" s="2197"/>
      <c r="H1484" s="2197"/>
      <c r="I1484" s="2197"/>
      <c r="J1484" s="2197"/>
      <c r="K1484" s="2310"/>
      <c r="L1484" s="2460"/>
      <c r="M1484" s="2310">
        <v>1</v>
      </c>
      <c r="N1484" s="2924"/>
      <c r="O1484" s="2389">
        <f>'Part VIII Scoring Criteria'!O333</f>
        <v>0</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3.8">
      <c r="A1485" s="2461" t="s">
        <v>1843</v>
      </c>
      <c r="B1485" s="2196" t="s">
        <v>6608</v>
      </c>
      <c r="C1485" s="2431"/>
      <c r="D1485" s="2431"/>
      <c r="E1485" s="2431"/>
      <c r="F1485" s="2431"/>
      <c r="G1485" s="2197"/>
      <c r="H1485" s="2431"/>
      <c r="I1485" s="2431"/>
      <c r="J1485" s="2431"/>
      <c r="K1485" s="2431"/>
      <c r="L1485" s="2431"/>
      <c r="M1485" s="2310">
        <v>1</v>
      </c>
      <c r="N1485" s="2924"/>
      <c r="O1485" s="2389">
        <f>'Part VIII Scoring Criteria'!O334</f>
        <v>0</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3.8">
      <c r="A1486" s="2461" t="s">
        <v>698</v>
      </c>
      <c r="B1486" s="2196" t="s">
        <v>6239</v>
      </c>
      <c r="C1486" s="2197"/>
      <c r="D1486" s="2197"/>
      <c r="E1486" s="2197"/>
      <c r="F1486" s="2197"/>
      <c r="G1486" s="2197"/>
      <c r="H1486" s="2197"/>
      <c r="I1486" s="2197"/>
      <c r="J1486" s="2197"/>
      <c r="K1486" s="2197"/>
      <c r="L1486" s="2197"/>
      <c r="M1486" s="2310">
        <v>1</v>
      </c>
      <c r="N1486" s="2924"/>
      <c r="O1486" s="2389">
        <f>'Part VIII Scoring Criteria'!O335</f>
        <v>0</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3.8">
      <c r="A1487" s="2461" t="s">
        <v>1962</v>
      </c>
      <c r="B1487" s="2196" t="s">
        <v>6609</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3.8">
      <c r="A1488" s="2904"/>
      <c r="B1488" s="2197"/>
      <c r="C1488" s="2196" t="s">
        <v>3177</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3.8">
      <c r="A1489" s="2904"/>
      <c r="B1489" s="2197"/>
      <c r="C1489" s="2196" t="s">
        <v>3178</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3.8">
      <c r="A1490" s="2197"/>
      <c r="B1490" s="2458" t="s">
        <v>3241</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13.8">
      <c r="A1491" s="2399">
        <f>'Part VIII Scoring Criteria'!A340</f>
        <v>0</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4.4">
      <c r="A1492" s="2390"/>
      <c r="B1492" s="2858" t="s">
        <v>1730</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3.8">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3.8">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3.8">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3.8">
      <c r="A1496" s="2904" t="s">
        <v>3380</v>
      </c>
      <c r="B1496" s="2458" t="s">
        <v>6240</v>
      </c>
      <c r="C1496" s="2197"/>
      <c r="D1496" s="2458"/>
      <c r="E1496" s="2458"/>
      <c r="F1496" s="2197"/>
      <c r="G1496" s="2197"/>
      <c r="H1496" s="2197"/>
      <c r="I1496" s="2197"/>
      <c r="J1496" s="2197"/>
      <c r="K1496" s="2197"/>
      <c r="L1496" s="2891"/>
      <c r="M1496" s="2461">
        <v>6</v>
      </c>
      <c r="N1496" s="2310"/>
      <c r="O1496" s="2389">
        <f>'Part VIII Scoring Criteria'!O345</f>
        <v>6</v>
      </c>
      <c r="P1496" s="2389"/>
      <c r="Q1496" s="2461" t="s">
        <v>416</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3.8">
      <c r="A1497" s="2197"/>
      <c r="B1497" s="2458" t="s">
        <v>3241</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276">
      <c r="A1498" s="2399" t="str">
        <f>'Part VIII Scoring Criteria'!A347</f>
        <v>Brightwood Lane Apartments has an average occupancy over the last 24 months of approximately 98.8% (rent rolls provided as support)</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4.4">
      <c r="A1499" s="2832"/>
      <c r="B1499" s="2832" t="s">
        <v>1730</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3.8">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3.8">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3.8">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3.8">
      <c r="A1503" s="2904" t="s">
        <v>3381</v>
      </c>
      <c r="B1503" s="2458" t="s">
        <v>6916</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416</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3.8">
      <c r="A1504" s="2904"/>
      <c r="B1504" s="2197" t="s">
        <v>6872</v>
      </c>
      <c r="C1504" s="2197"/>
      <c r="D1504" s="2458"/>
      <c r="E1504" s="2458"/>
      <c r="F1504" s="2196"/>
      <c r="G1504" s="2197"/>
      <c r="H1504" s="2197"/>
      <c r="I1504" s="2197"/>
      <c r="J1504" s="2197"/>
      <c r="K1504" s="2197"/>
      <c r="L1504" s="2891"/>
      <c r="M1504" s="2461"/>
      <c r="N1504" s="2310"/>
      <c r="O1504" s="2310" t="str">
        <f>'Part VIII Scoring Criteria'!O353</f>
        <v>No</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4.4">
      <c r="A1505" s="2832"/>
      <c r="B1505" s="2832" t="s">
        <v>1730</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3.8">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3.8">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3.8">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3.8">
      <c r="A1509" s="2904" t="s">
        <v>3803</v>
      </c>
      <c r="B1509" s="2458" t="s">
        <v>6611</v>
      </c>
      <c r="C1509" s="2197"/>
      <c r="D1509" s="2458"/>
      <c r="E1509" s="2197"/>
      <c r="F1509" s="2197"/>
      <c r="G1509" s="2197"/>
      <c r="H1509" s="2197"/>
      <c r="I1509" s="2197"/>
      <c r="J1509" s="2197"/>
      <c r="K1509" s="2197"/>
      <c r="L1509" s="2891"/>
      <c r="M1509" s="2461">
        <v>4</v>
      </c>
      <c r="N1509" s="2310"/>
      <c r="O1509" s="2389">
        <f>'Part VIII Scoring Criteria'!O358</f>
        <v>0</v>
      </c>
      <c r="P1509" s="2389">
        <f>'Part VIII Scoring Criteria'!P358</f>
        <v>0</v>
      </c>
      <c r="Q1509" s="2461" t="s">
        <v>416</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3.8">
      <c r="A1510" s="2197"/>
      <c r="B1510" s="2458" t="s">
        <v>3241</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409.6">
      <c r="A1511" s="2399" t="str">
        <f>'Part VIII Scoring Criteria'!A360</f>
        <v>Brighwood Lane Apartments has 37 units of PBRA which represents 92.5% of the total units. The minimum for points in this section is 40 units of PBRA. A copy of the Rental Assistance Agreement is provided under Tab 48.</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4.4">
      <c r="A1512" s="2832"/>
      <c r="B1512" s="2832" t="s">
        <v>1730</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3.8">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3.8">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3.8">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3.8">
      <c r="A1516" s="2904" t="s">
        <v>6556</v>
      </c>
      <c r="B1516" s="2458" t="s">
        <v>6612</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6</v>
      </c>
      <c r="P1516" s="2389">
        <f>'Part VIII Scoring Criteria'!P365</f>
        <v>0</v>
      </c>
      <c r="Q1516" s="2461" t="s">
        <v>416</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3.8">
      <c r="A1517" s="2461" t="s">
        <v>1841</v>
      </c>
      <c r="B1517" s="2196" t="s">
        <v>6133</v>
      </c>
      <c r="C1517" s="2390"/>
      <c r="D1517" s="2390"/>
      <c r="E1517" s="2398"/>
      <c r="F1517" s="2197"/>
      <c r="G1517" s="2197"/>
      <c r="H1517" s="2197"/>
      <c r="I1517" s="2390"/>
      <c r="J1517" s="2390"/>
      <c r="K1517" s="2310"/>
      <c r="L1517" s="2848"/>
      <c r="M1517" s="2310">
        <v>6</v>
      </c>
      <c r="N1517" s="2924"/>
      <c r="O1517" s="2389">
        <f>'Part VIII Scoring Criteria'!O366</f>
        <v>6</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3.8">
      <c r="A1518" s="2879" t="s">
        <v>1843</v>
      </c>
      <c r="B1518" s="2875" t="s">
        <v>6134</v>
      </c>
      <c r="C1518" s="2399"/>
      <c r="D1518" s="2399"/>
      <c r="E1518" s="2399"/>
      <c r="F1518" s="2399"/>
      <c r="G1518" s="2396"/>
      <c r="H1518" s="2399"/>
      <c r="I1518" s="2399"/>
      <c r="J1518" s="2431"/>
      <c r="K1518" s="2431"/>
      <c r="L1518" s="2431"/>
      <c r="M1518" s="2310">
        <v>4</v>
      </c>
      <c r="N1518" s="2924"/>
      <c r="O1518" s="2389">
        <f>'Part VIII Scoring Criteria'!O367</f>
        <v>0</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3.8">
      <c r="A1519" s="2197"/>
      <c r="B1519" s="2458" t="s">
        <v>3241</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151.80000000000001">
      <c r="A1520" s="2399" t="str">
        <f>'Part VIII Scoring Criteria'!A369</f>
        <v>The LURC dated December 9, 1996 is included in tab 49 of the application.</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4.4">
      <c r="A1521" s="2832"/>
      <c r="B1521" s="2832" t="s">
        <v>1730</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3.8">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3.8">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3.8">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3.8">
      <c r="A1525" s="2904" t="s">
        <v>6917</v>
      </c>
      <c r="B1525" s="2458" t="s">
        <v>6918</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6</v>
      </c>
      <c r="P1525" s="2389">
        <f>'Part VIII Scoring Criteria'!P374</f>
        <v>0</v>
      </c>
      <c r="Q1525" s="2461" t="s">
        <v>416</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3.8">
      <c r="A1526" s="2461" t="s">
        <v>1841</v>
      </c>
      <c r="B1526" s="2196" t="s">
        <v>6919</v>
      </c>
      <c r="C1526" s="2390"/>
      <c r="D1526" s="2390"/>
      <c r="E1526" s="2390" t="s">
        <v>6921</v>
      </c>
      <c r="F1526" s="2197"/>
      <c r="G1526" s="2197"/>
      <c r="H1526" s="2197"/>
      <c r="I1526" s="2390"/>
      <c r="J1526" s="2390"/>
      <c r="K1526" s="2310"/>
      <c r="L1526" s="2848"/>
      <c r="M1526" s="2310">
        <v>10</v>
      </c>
      <c r="N1526" s="2924"/>
      <c r="O1526" s="2389">
        <f>'Part VIII Scoring Criteria'!O375</f>
        <v>6</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5.9" customHeight="1">
      <c r="A1527" s="2461"/>
      <c r="B1527" s="2390" t="s">
        <v>1133</v>
      </c>
      <c r="D1527" s="2390" t="s">
        <v>6931</v>
      </c>
      <c r="E1527" s="2197"/>
      <c r="F1527" s="2197"/>
      <c r="G1527" s="2197" t="s">
        <v>6223</v>
      </c>
      <c r="H1527" s="2197"/>
      <c r="I1527" s="2197"/>
      <c r="J1527" s="2197" t="s">
        <v>575</v>
      </c>
      <c r="L1527" s="2340" t="s">
        <v>6932</v>
      </c>
      <c r="M1527" s="4079" t="s">
        <v>6942</v>
      </c>
      <c r="N1527" s="4079"/>
      <c r="O1527" s="4079"/>
      <c r="P1527" s="4079"/>
      <c r="Q1527" s="2891"/>
    </row>
    <row r="1528" spans="1:64" s="2390" customFormat="1" ht="15.9" customHeight="1">
      <c r="A1528" s="2197">
        <v>1</v>
      </c>
      <c r="B1528" s="2925" t="str">
        <f>'Part VIII Scoring Criteria'!B377</f>
        <v>Wilkes</v>
      </c>
      <c r="C1528" s="2925"/>
      <c r="D1528" s="2925" t="str">
        <f>'Part VIII Scoring Criteria'!D377</f>
        <v>Autumn Lane Apartments</v>
      </c>
      <c r="E1528" s="2925"/>
      <c r="F1528" s="2925"/>
      <c r="G1528" s="2925" t="str">
        <f>'Part VIII Scoring Criteria'!G377</f>
        <v>330 Andrew Drive</v>
      </c>
      <c r="H1528" s="2925"/>
      <c r="I1528" s="2925"/>
      <c r="J1528" s="2925" t="str">
        <f>'Part VIII Scoring Criteria'!J377</f>
        <v>Washington</v>
      </c>
      <c r="K1528" s="2925"/>
      <c r="L1528" s="2926" t="str">
        <f>'Part VIII Scoring Criteria'!L377</f>
        <v>30673-2134</v>
      </c>
      <c r="M1528" s="2925" t="str">
        <f>'Part VIII Scoring Criteria'!M377</f>
        <v>11-057-758314931 015</v>
      </c>
      <c r="N1528" s="2925"/>
      <c r="O1528" s="2925"/>
      <c r="P1528" s="2925"/>
      <c r="Q1528" s="2891"/>
    </row>
    <row r="1529" spans="1:64" s="2390" customFormat="1" ht="15.9" customHeight="1">
      <c r="A1529" s="2197">
        <v>2</v>
      </c>
      <c r="B1529" s="2925" t="str">
        <f>'Part VIII Scoring Criteria'!B378</f>
        <v>Calhoun</v>
      </c>
      <c r="C1529" s="2925"/>
      <c r="D1529" s="2925" t="str">
        <f>'Part VIII Scoring Criteria'!D378</f>
        <v>Barton Village Apartments</v>
      </c>
      <c r="E1529" s="2925"/>
      <c r="F1529" s="2925"/>
      <c r="G1529" s="2925" t="str">
        <f>'Part VIII Scoring Criteria'!G378</f>
        <v>18222 Morgan Road</v>
      </c>
      <c r="H1529" s="2925"/>
      <c r="I1529" s="2925"/>
      <c r="J1529" s="2925" t="str">
        <f>'Part VIII Scoring Criteria'!J378</f>
        <v>Arlington</v>
      </c>
      <c r="K1529" s="2925"/>
      <c r="L1529" s="2926" t="str">
        <f>'Part VIII Scoring Criteria'!L378</f>
        <v>39813-8050</v>
      </c>
      <c r="M1529" s="2925" t="str">
        <f>'Part VIII Scoring Criteria'!M378</f>
        <v>11-019-570771576 014</v>
      </c>
      <c r="N1529" s="2925"/>
      <c r="O1529" s="2925"/>
      <c r="P1529" s="2925"/>
      <c r="Q1529" s="2891"/>
    </row>
    <row r="1530" spans="1:64" s="2390" customFormat="1" ht="15.9" customHeight="1">
      <c r="A1530" s="2197">
        <v>3</v>
      </c>
      <c r="B1530" s="2925" t="str">
        <f>'Part VIII Scoring Criteria'!B379</f>
        <v>Walker</v>
      </c>
      <c r="C1530" s="2925"/>
      <c r="D1530" s="2925" t="str">
        <f>'Part VIII Scoring Criteria'!D379</f>
        <v>Carriage Hill Apartments</v>
      </c>
      <c r="E1530" s="2925"/>
      <c r="F1530" s="2925"/>
      <c r="G1530" s="2925" t="str">
        <f>'Part VIII Scoring Criteria'!G379</f>
        <v>1135 Campbell Avenue, Building A1</v>
      </c>
      <c r="H1530" s="2925"/>
      <c r="I1530" s="2925"/>
      <c r="J1530" s="2925" t="str">
        <f>'Part VIII Scoring Criteria'!J379</f>
        <v>Lafayette</v>
      </c>
      <c r="K1530" s="2925"/>
      <c r="L1530" s="2926" t="str">
        <f>'Part VIII Scoring Criteria'!L379</f>
        <v>30728-2149</v>
      </c>
      <c r="M1530" s="2925" t="str">
        <f>'Part VIII Scoring Criteria'!M379</f>
        <v>11-046-764584541 013</v>
      </c>
      <c r="N1530" s="2925"/>
      <c r="O1530" s="2925"/>
      <c r="P1530" s="2925"/>
      <c r="Q1530" s="2891"/>
    </row>
    <row r="1531" spans="1:64" s="2390" customFormat="1" ht="15.9" customHeight="1">
      <c r="A1531" s="2197">
        <v>4</v>
      </c>
      <c r="B1531" s="2925" t="str">
        <f>'Part VIII Scoring Criteria'!B380</f>
        <v>Oglethorpe</v>
      </c>
      <c r="C1531" s="2925"/>
      <c r="D1531" s="2925" t="str">
        <f>'Part VIII Scoring Criteria'!D380</f>
        <v>Forrest Hills Apartments</v>
      </c>
      <c r="E1531" s="2925"/>
      <c r="F1531" s="2925"/>
      <c r="G1531" s="2925" t="str">
        <f>'Part VIII Scoring Criteria'!G380</f>
        <v>25 Forrest Hills Circle</v>
      </c>
      <c r="H1531" s="2925"/>
      <c r="I1531" s="2925"/>
      <c r="J1531" s="2925" t="str">
        <f>'Part VIII Scoring Criteria'!J380</f>
        <v>Crawford</v>
      </c>
      <c r="K1531" s="2925"/>
      <c r="L1531" s="2926" t="str">
        <f>'Part VIII Scoring Criteria'!L380</f>
        <v>30630-2343</v>
      </c>
      <c r="M1531" s="2925" t="str">
        <f>'Part VIII Scoring Criteria'!M380</f>
        <v>11-066-902347924 010</v>
      </c>
      <c r="N1531" s="2925"/>
      <c r="O1531" s="2925"/>
      <c r="P1531" s="2925"/>
      <c r="Q1531" s="2891"/>
    </row>
    <row r="1532" spans="1:64" s="2390" customFormat="1" ht="15.9" customHeight="1">
      <c r="A1532" s="2197">
        <v>5</v>
      </c>
      <c r="B1532" s="2925" t="str">
        <f>'Part VIII Scoring Criteria'!B381</f>
        <v>Clay</v>
      </c>
      <c r="C1532" s="2925"/>
      <c r="D1532" s="2925" t="str">
        <f>'Part VIII Scoring Criteria'!D381</f>
        <v>Greenwood Village Apartments</v>
      </c>
      <c r="E1532" s="2925"/>
      <c r="F1532" s="2925"/>
      <c r="G1532" s="2925" t="str">
        <f>'Part VIII Scoring Criteria'!G381</f>
        <v>409 E Jefferson Street</v>
      </c>
      <c r="H1532" s="2925"/>
      <c r="I1532" s="2925"/>
      <c r="J1532" s="2925" t="str">
        <f>'Part VIII Scoring Criteria'!J381</f>
        <v>Fort Gaines</v>
      </c>
      <c r="K1532" s="2925"/>
      <c r="L1532" s="2926" t="str">
        <f>'Part VIII Scoring Criteria'!L381</f>
        <v>39851-3346</v>
      </c>
      <c r="M1532" s="2925" t="str">
        <f>'Part VIII Scoring Criteria'!M381</f>
        <v>11-030-553166692 012</v>
      </c>
      <c r="N1532" s="2925"/>
      <c r="O1532" s="2925"/>
      <c r="P1532" s="2925"/>
      <c r="Q1532" s="2891"/>
    </row>
    <row r="1533" spans="1:64" s="2390" customFormat="1" ht="15.9" customHeight="1">
      <c r="A1533" s="2197">
        <v>6</v>
      </c>
      <c r="B1533" s="2925" t="str">
        <f>'Part VIII Scoring Criteria'!B382</f>
        <v>Laurens</v>
      </c>
      <c r="C1533" s="2925"/>
      <c r="D1533" s="2925" t="str">
        <f>'Part VIII Scoring Criteria'!D382</f>
        <v>Jasmine Lane Apartments</v>
      </c>
      <c r="E1533" s="2925"/>
      <c r="F1533" s="2925"/>
      <c r="G1533" s="2925" t="str">
        <f>'Part VIII Scoring Criteria'!G382</f>
        <v>600 Buckeye Road</v>
      </c>
      <c r="H1533" s="2925"/>
      <c r="I1533" s="2925"/>
      <c r="J1533" s="2925" t="str">
        <f>'Part VIII Scoring Criteria'!J382</f>
        <v>East Dublin</v>
      </c>
      <c r="K1533" s="2925"/>
      <c r="L1533" s="2926" t="str">
        <f>'Part VIII Scoring Criteria'!L382</f>
        <v>31027-8310</v>
      </c>
      <c r="M1533" s="2925" t="str">
        <f>'Part VIII Scoring Criteria'!M382</f>
        <v>11-087-723170527 024</v>
      </c>
      <c r="N1533" s="2925"/>
      <c r="O1533" s="2925"/>
      <c r="P1533" s="2925"/>
      <c r="Q1533" s="2891"/>
    </row>
    <row r="1534" spans="1:64" s="2390" customFormat="1" ht="15.9" customHeight="1">
      <c r="A1534" s="2197">
        <v>7</v>
      </c>
      <c r="B1534" s="2925" t="str">
        <f>'Part VIII Scoring Criteria'!B383</f>
        <v>Macon</v>
      </c>
      <c r="C1534" s="2925"/>
      <c r="D1534" s="2925" t="str">
        <f>'Part VIII Scoring Criteria'!D383</f>
        <v>Marshall Lane Apartments</v>
      </c>
      <c r="E1534" s="2925"/>
      <c r="F1534" s="2925"/>
      <c r="G1534" s="2925" t="str">
        <f>'Part VIII Scoring Criteria'!G383</f>
        <v>310 Sleepy Hollow Road</v>
      </c>
      <c r="H1534" s="2925"/>
      <c r="I1534" s="2925"/>
      <c r="J1534" s="2925" t="str">
        <f>'Part VIII Scoring Criteria'!J383</f>
        <v>Marshallville</v>
      </c>
      <c r="K1534" s="2925"/>
      <c r="L1534" s="2926" t="str">
        <f>'Part VIII Scoring Criteria'!L383</f>
        <v>31057-9628</v>
      </c>
      <c r="M1534" s="2925" t="str">
        <f>'Part VIII Scoring Criteria'!M383</f>
        <v>11-096-725191669 011</v>
      </c>
      <c r="N1534" s="2925"/>
      <c r="O1534" s="2925"/>
      <c r="P1534" s="2925"/>
      <c r="Q1534" s="2891"/>
    </row>
    <row r="1535" spans="1:64" s="2390" customFormat="1" ht="15.9" customHeight="1">
      <c r="A1535" s="2197">
        <v>8</v>
      </c>
      <c r="B1535" s="2925" t="str">
        <f>'Part VIII Scoring Criteria'!B384</f>
        <v>Sumter</v>
      </c>
      <c r="C1535" s="2925"/>
      <c r="D1535" s="2925" t="str">
        <f>'Part VIII Scoring Criteria'!D384</f>
        <v>Meadowbrook Lane</v>
      </c>
      <c r="E1535" s="2925"/>
      <c r="F1535" s="2925"/>
      <c r="G1535" s="2925" t="str">
        <f>'Part VIII Scoring Criteria'!G384</f>
        <v>140 Lonnie Lane</v>
      </c>
      <c r="H1535" s="2925"/>
      <c r="I1535" s="2925"/>
      <c r="J1535" s="2925" t="str">
        <f>'Part VIII Scoring Criteria'!J384</f>
        <v>Americus</v>
      </c>
      <c r="K1535" s="2925"/>
      <c r="L1535" s="2926" t="str">
        <f>'Part VIII Scoring Criteria'!L384</f>
        <v>31709-4913</v>
      </c>
      <c r="M1535" s="2925" t="str">
        <f>'Part VIII Scoring Criteria'!M384</f>
        <v>11-045-893738106 011</v>
      </c>
      <c r="N1535" s="2925"/>
      <c r="O1535" s="2925"/>
      <c r="P1535" s="2925"/>
      <c r="Q1535" s="2891"/>
    </row>
    <row r="1536" spans="1:64" s="2390" customFormat="1" ht="13.8">
      <c r="A1536" s="2390">
        <v>9</v>
      </c>
      <c r="B1536" s="2925" t="str">
        <f>'Part VIII Scoring Criteria'!B385</f>
        <v>Elbert</v>
      </c>
      <c r="C1536" s="2925"/>
      <c r="D1536" s="2925" t="str">
        <f>'Part VIII Scoring Criteria'!D385</f>
        <v>Oak Lane Apartments</v>
      </c>
      <c r="E1536" s="2925"/>
      <c r="F1536" s="2925"/>
      <c r="G1536" s="2925" t="str">
        <f>'Part VIII Scoring Criteria'!G385</f>
        <v>344 Martin Luther King, Jr. Blvd</v>
      </c>
      <c r="H1536" s="2925"/>
      <c r="I1536" s="2925"/>
      <c r="J1536" s="2925" t="str">
        <f>'Part VIII Scoring Criteria'!J385</f>
        <v>Elberton</v>
      </c>
      <c r="K1536" s="2925"/>
      <c r="L1536" s="2926" t="str">
        <f>'Part VIII Scoring Criteria'!L385</f>
        <v>30635-1554</v>
      </c>
      <c r="M1536" s="2925" t="str">
        <f>'Part VIII Scoring Criteria'!M385</f>
        <v>11-052-772542592 011</v>
      </c>
      <c r="N1536" s="2925"/>
      <c r="O1536" s="2925"/>
      <c r="P1536" s="2925"/>
    </row>
    <row r="1537" spans="1:64" s="2390" customFormat="1" ht="15.9" customHeight="1">
      <c r="A1537" s="2197">
        <v>10</v>
      </c>
      <c r="B1537" s="2925" t="str">
        <f>'Part VIII Scoring Criteria'!B386</f>
        <v>Washington</v>
      </c>
      <c r="C1537" s="2925"/>
      <c r="D1537" s="2925" t="str">
        <f>'Part VIII Scoring Criteria'!D386</f>
        <v>Pecan Grove Apartments</v>
      </c>
      <c r="E1537" s="2925"/>
      <c r="F1537" s="2925"/>
      <c r="G1537" s="2925" t="str">
        <f>'Part VIII Scoring Criteria'!G386</f>
        <v>647 Ferncrest Drive</v>
      </c>
      <c r="H1537" s="2925"/>
      <c r="I1537" s="2925"/>
      <c r="J1537" s="2925" t="str">
        <f>'Part VIII Scoring Criteria'!J386</f>
        <v>Sandersville</v>
      </c>
      <c r="K1537" s="2925"/>
      <c r="L1537" s="2926" t="str">
        <f>'Part VIII Scoring Criteria'!L386</f>
        <v>31082-1303</v>
      </c>
      <c r="M1537" s="2925" t="str">
        <f>'Part VIII Scoring Criteria'!M386</f>
        <v>11-050-696826201 019</v>
      </c>
      <c r="N1537" s="2925"/>
      <c r="O1537" s="2925"/>
      <c r="P1537" s="2925"/>
      <c r="Q1537" s="2891"/>
    </row>
    <row r="1538" spans="1:64" ht="13.8">
      <c r="A1538" s="2879" t="s">
        <v>1843</v>
      </c>
      <c r="B1538" s="2875" t="s">
        <v>6920</v>
      </c>
      <c r="C1538" s="2399"/>
      <c r="D1538" s="2399"/>
      <c r="E1538" s="2399"/>
      <c r="F1538" s="2399"/>
      <c r="G1538" s="2396"/>
      <c r="H1538" s="2399"/>
      <c r="I1538" s="2399"/>
      <c r="J1538" s="2431"/>
      <c r="K1538" s="2431"/>
      <c r="L1538" s="2431"/>
      <c r="M1538" s="2310">
        <v>6</v>
      </c>
      <c r="N1538" s="2924"/>
      <c r="O1538" s="2389">
        <f>'Part VIII Scoring Criteria'!O387</f>
        <v>0</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3.8">
      <c r="A1539" s="2197"/>
      <c r="B1539" s="2458" t="s">
        <v>3241</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124.2">
      <c r="A1540" s="2399" t="str">
        <f>'Part VIII Scoring Criteria'!A389</f>
        <v>The average county vacancy rate throughout the portfolio is 15.4%</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4.4">
      <c r="A1541" s="2832"/>
      <c r="B1541" s="2832" t="s">
        <v>1730</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3.8">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3.8">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3.8">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3.8">
      <c r="A1545" s="2457" t="s">
        <v>6922</v>
      </c>
      <c r="B1545" s="2458" t="s">
        <v>6923</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3.8">
      <c r="A1546" s="2843" t="s">
        <v>1841</v>
      </c>
      <c r="B1546" s="2196" t="s">
        <v>7030</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 xml:space="preserve"> The applicant has visited the 13 sites with the project architect, general contractor and major subcontractors, has ordered and received a draft capital needs assessment, and is working with the general contractor to complete the scope of work for each project. At the time of pre-application submission, the scope of work will be complete for all projects, and the general contractor will be ready to move forward when the project is funded. Additionally, CAHEC Management is currently managing the property (and will continue to do so after construction) and will provide continuous property updates during the time from application to construction start. This will ensure rehab and resident needs will be current and incorporated in the transaction as the property moves towards a closing date and construction start.   </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3.8">
      <c r="A1548" s="2923" t="s">
        <v>1843</v>
      </c>
      <c r="B1548" s="2875" t="s">
        <v>7031</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 xml:space="preserve">The subject property is part of a 13 property portfolio. Currently there are approximately 250 USDA RD 515 properties located throughout rural GA that were built prior to 1992 and have not been recapitalized (the subject portfolio average property age is 35 years).  Financing options to modernize this state wide portfolio are limited due to property small size, location and competitiveness for housing preservation resources. Portfolio transactions are a proven structure that can address this housing need at a scale that is commensurate with the need.  One benefit of a portfolio transaction is the flexibility to include properties of varying economic strength; allowing certain properties, that by themselves, would struggle to obtain the needed resources for a sustainable recapitalization.  There are properties in this portfolio with certain application metrics that are not as compelling as new construction projects located in urban or suburban areas, however, the need for maintaining and improving this housing is probably best represented by the portfolio's overall 2-year trailing occupancy of 98%.  These occupancy levels indicate the need for this housing and the average property age indicates the need for rehabilitation to maintain housing quality for these residents.  </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3.8">
      <c r="A1550" s="2197"/>
      <c r="B1550" s="2458" t="s">
        <v>3241</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13.8">
      <c r="A1551" s="2399">
        <f>'Part VIII Scoring Criteria'!A400</f>
        <v>0</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4.4">
      <c r="A1552" s="2390"/>
      <c r="B1552" s="2858" t="s">
        <v>1730</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3.8">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40"/>
      <c r="O1554" s="2392"/>
      <c r="P1554" s="2392"/>
      <c r="Q1554" s="2431" t="s">
        <v>7032</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3.8">
      <c r="A1555" s="2196" t="s">
        <v>402</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44</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3.8">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3.8">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27" t="s">
        <v>7033</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13.8">
      <c r="A1559" s="2399">
        <f>'Part VIII Scoring Criteria'!A408</f>
        <v>0</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3.8">
      <c r="A1560" s="2390"/>
      <c r="B1560" s="2390"/>
      <c r="C1560" s="2390" t="s">
        <v>1939</v>
      </c>
      <c r="D1560" s="2390"/>
      <c r="E1560" s="2390"/>
      <c r="F1560" s="2390"/>
      <c r="G1560" s="2390"/>
      <c r="H1560" s="2390"/>
      <c r="I1560" s="2390"/>
      <c r="J1560" s="2391" t="s">
        <v>1537</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3.8">
      <c r="A1561" s="2390"/>
      <c r="B1561" s="2390"/>
      <c r="C1561" s="2390" t="s">
        <v>1940</v>
      </c>
      <c r="D1561" s="2390"/>
      <c r="E1561" s="2390"/>
      <c r="F1561" s="2390"/>
      <c r="G1561" s="2390"/>
      <c r="H1561" s="2390"/>
      <c r="I1561" s="2390"/>
      <c r="J1561" s="2391" t="s">
        <v>1538</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3.8">
      <c r="A1562" s="2390"/>
      <c r="B1562" s="2390"/>
      <c r="C1562" s="2390" t="s">
        <v>1941</v>
      </c>
      <c r="D1562" s="2390"/>
      <c r="E1562" s="2390"/>
      <c r="F1562" s="2390"/>
      <c r="G1562" s="2390"/>
      <c r="H1562" s="2390"/>
      <c r="I1562" s="2390"/>
      <c r="J1562" s="2391" t="s">
        <v>2306</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3.8">
      <c r="A1563" s="2390"/>
      <c r="B1563" s="2390"/>
      <c r="C1563" s="2390" t="s">
        <v>1942</v>
      </c>
      <c r="D1563" s="2390"/>
      <c r="E1563" s="2390"/>
      <c r="F1563" s="2390"/>
      <c r="G1563" s="2390"/>
      <c r="H1563" s="2390"/>
      <c r="I1563" s="2390"/>
      <c r="J1563" s="2391" t="s">
        <v>1539</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3.8">
      <c r="A1564" s="2390"/>
      <c r="B1564" s="2390"/>
      <c r="C1564" s="2390"/>
      <c r="D1564" s="2390"/>
      <c r="E1564" s="2390"/>
      <c r="F1564" s="2390"/>
      <c r="G1564" s="2390"/>
      <c r="H1564" s="2390"/>
      <c r="I1564" s="2390"/>
      <c r="J1564" s="2391" t="s">
        <v>1540</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3.8">
      <c r="A1565" s="2390"/>
      <c r="B1565" s="2390"/>
      <c r="C1565" s="2390" t="s">
        <v>1646</v>
      </c>
      <c r="D1565" s="2390"/>
      <c r="E1565" s="2390"/>
      <c r="F1565" s="2390"/>
      <c r="G1565" s="2390"/>
      <c r="H1565" s="2390"/>
      <c r="I1565" s="2390"/>
      <c r="J1565" s="2391" t="s">
        <v>1541</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3.8">
      <c r="A1566" s="2390"/>
      <c r="B1566" s="2390"/>
      <c r="C1566" s="2393" t="s">
        <v>1312</v>
      </c>
      <c r="D1566" s="2390"/>
      <c r="E1566" s="2390"/>
      <c r="F1566" s="2390"/>
      <c r="G1566" s="2390"/>
      <c r="H1566" s="2390"/>
      <c r="I1566" s="2390"/>
      <c r="J1566" s="2391" t="s">
        <v>1542</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6563</v>
      </c>
      <c r="BC1566" s="2196"/>
      <c r="BD1566" s="2196"/>
      <c r="BE1566" s="2196"/>
      <c r="BF1566" s="2196"/>
      <c r="BG1566" s="2196"/>
      <c r="BH1566" s="2196"/>
      <c r="BI1566" s="2196"/>
      <c r="BJ1566" s="2197"/>
      <c r="BK1566" s="2197"/>
      <c r="BL1566" s="2197"/>
    </row>
    <row r="1567" spans="1:64" ht="13.8">
      <c r="A1567" s="2390"/>
      <c r="B1567" s="2390"/>
      <c r="C1567" s="2393" t="s">
        <v>1313</v>
      </c>
      <c r="D1567" s="2390"/>
      <c r="E1567" s="2390"/>
      <c r="F1567" s="2390"/>
      <c r="G1567" s="2390"/>
      <c r="H1567" s="2390"/>
      <c r="I1567" s="2390"/>
      <c r="J1567" s="2391" t="s">
        <v>1543</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6564</v>
      </c>
      <c r="AZ1567" s="2196"/>
      <c r="BA1567" s="2196"/>
      <c r="BB1567" s="2196"/>
      <c r="BC1567" s="2196"/>
      <c r="BD1567" s="2196"/>
      <c r="BE1567" s="2196"/>
      <c r="BF1567" s="2196" t="s">
        <v>6565</v>
      </c>
      <c r="BG1567" s="2196"/>
      <c r="BH1567" s="2196"/>
      <c r="BI1567" s="2196"/>
      <c r="BJ1567" s="2196"/>
      <c r="BK1567" s="2196"/>
      <c r="BL1567" s="2196"/>
    </row>
    <row r="1568" spans="1:64" ht="13.8">
      <c r="A1568" s="2390"/>
      <c r="B1568" s="2390"/>
      <c r="C1568" s="2393" t="s">
        <v>1980</v>
      </c>
      <c r="D1568" s="2390"/>
      <c r="E1568" s="2390"/>
      <c r="F1568" s="2390"/>
      <c r="G1568" s="2390"/>
      <c r="H1568" s="2390"/>
      <c r="I1568" s="2390"/>
      <c r="J1568" s="2391" t="s">
        <v>1544</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1309</v>
      </c>
      <c r="D1569" s="2390"/>
      <c r="E1569" s="2390"/>
      <c r="F1569" s="2390"/>
      <c r="G1569" s="2390"/>
      <c r="H1569" s="2390"/>
      <c r="I1569" s="2390"/>
      <c r="J1569" s="2391" t="s">
        <v>549</v>
      </c>
      <c r="K1569" s="2390"/>
      <c r="L1569" s="2390"/>
      <c r="M1569" s="2390"/>
      <c r="N1569" s="2340"/>
      <c r="O1569" s="2392"/>
      <c r="P1569" s="2392"/>
      <c r="Q1569" s="2390"/>
      <c r="R1569" s="2390"/>
      <c r="S1569" s="2390"/>
      <c r="T1569" s="2390"/>
      <c r="U1569" s="2390"/>
      <c r="V1569" s="2390"/>
      <c r="W1569" s="2390"/>
      <c r="X1569" s="2390"/>
      <c r="Y1569" s="2390"/>
      <c r="Z1569" s="2390"/>
      <c r="AA1569" s="2457" t="s">
        <v>689</v>
      </c>
      <c r="AB1569" s="2458" t="s">
        <v>6137</v>
      </c>
      <c r="AC1569" s="2197"/>
      <c r="AD1569" s="2390"/>
      <c r="AE1569" s="2390"/>
      <c r="AF1569" s="2390"/>
      <c r="AG1569" s="2456" t="s">
        <v>6125</v>
      </c>
      <c r="AH1569" s="2456"/>
      <c r="AI1569" s="2456" t="s">
        <v>6506</v>
      </c>
      <c r="AJ1569" s="2456"/>
      <c r="AK1569" s="2456"/>
      <c r="AL1569" s="2456"/>
      <c r="AM1569" s="2456"/>
      <c r="AN1569" s="2398" t="s">
        <v>6138</v>
      </c>
      <c r="AO1569" s="2398"/>
      <c r="AP1569" s="2398"/>
      <c r="AQ1569" s="2398"/>
      <c r="AR1569" s="2390"/>
      <c r="AS1569" s="2459"/>
      <c r="AT1569" s="2458" t="s">
        <v>6137</v>
      </c>
      <c r="AU1569" s="2459"/>
      <c r="AV1569" s="2459"/>
      <c r="AW1569" s="2459"/>
      <c r="AX1569" s="2390"/>
      <c r="AY1569" s="2456" t="s">
        <v>6125</v>
      </c>
      <c r="AZ1569" s="2456"/>
      <c r="BA1569" s="2456" t="s">
        <v>6506</v>
      </c>
      <c r="BB1569" s="2456"/>
      <c r="BC1569" s="2456"/>
      <c r="BD1569" s="2456"/>
      <c r="BE1569" s="2456"/>
      <c r="BF1569" s="2456" t="s">
        <v>6125</v>
      </c>
      <c r="BG1569" s="2456"/>
      <c r="BH1569" s="2456" t="s">
        <v>6506</v>
      </c>
      <c r="BI1569" s="2456"/>
      <c r="BJ1569" s="2456"/>
      <c r="BK1569" s="2456"/>
      <c r="BL1569" s="2456"/>
    </row>
    <row r="1570" spans="1:64" ht="28.8">
      <c r="A1570" s="2390"/>
      <c r="B1570" s="2390"/>
      <c r="C1570" s="2393" t="s">
        <v>1310</v>
      </c>
      <c r="D1570" s="2390"/>
      <c r="E1570" s="2390"/>
      <c r="F1570" s="2390"/>
      <c r="G1570" s="2390"/>
      <c r="H1570" s="2390"/>
      <c r="I1570" s="2390"/>
      <c r="J1570" s="2391" t="s">
        <v>1545</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6914</v>
      </c>
      <c r="AK1570" s="2928" t="s">
        <v>6546</v>
      </c>
      <c r="AL1570" s="2928" t="s">
        <v>6547</v>
      </c>
      <c r="AM1570" s="2928" t="s">
        <v>6548</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6928</v>
      </c>
      <c r="BC1570" s="2928" t="s">
        <v>6546</v>
      </c>
      <c r="BD1570" s="2928" t="s">
        <v>6547</v>
      </c>
      <c r="BE1570" s="2928" t="s">
        <v>6548</v>
      </c>
      <c r="BF1570" s="2928">
        <v>0.09</v>
      </c>
      <c r="BG1570" s="2928">
        <v>0.04</v>
      </c>
      <c r="BH1570" s="2928">
        <v>0.04</v>
      </c>
      <c r="BI1570" s="2928" t="s">
        <v>6928</v>
      </c>
      <c r="BJ1570" s="2928" t="s">
        <v>6546</v>
      </c>
      <c r="BK1570" s="2928" t="s">
        <v>6547</v>
      </c>
      <c r="BL1570" s="2928" t="s">
        <v>6548</v>
      </c>
    </row>
    <row r="1571" spans="1:64" ht="13.8">
      <c r="A1571" s="2390"/>
      <c r="B1571" s="2390"/>
      <c r="C1571" s="2393" t="s">
        <v>1975</v>
      </c>
      <c r="D1571" s="2390"/>
      <c r="E1571" s="2390"/>
      <c r="F1571" s="2390"/>
      <c r="G1571" s="2390"/>
      <c r="H1571" s="2390"/>
      <c r="I1571" s="2390"/>
      <c r="J1571" s="2391" t="s">
        <v>1546</v>
      </c>
      <c r="K1571" s="2390"/>
      <c r="L1571" s="2390"/>
      <c r="M1571" s="2390"/>
      <c r="N1571" s="2340"/>
      <c r="O1571" s="2392"/>
      <c r="P1571" s="2392"/>
      <c r="Q1571" s="2390"/>
      <c r="R1571" s="2390"/>
      <c r="S1571" s="2390"/>
      <c r="T1571" s="2390"/>
      <c r="U1571" s="2390"/>
      <c r="V1571" s="2390"/>
      <c r="W1571" s="2390"/>
      <c r="X1571" s="2390"/>
      <c r="Y1571" s="2390"/>
      <c r="Z1571" s="2390"/>
      <c r="AA1571" s="2460" t="s">
        <v>573</v>
      </c>
      <c r="AB1571" s="2197" t="s">
        <v>6752</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573</v>
      </c>
      <c r="AT1571" s="2197" t="s">
        <v>6752</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3.8">
      <c r="A1572" s="2390"/>
      <c r="B1572" s="2390"/>
      <c r="C1572" s="2393" t="s">
        <v>1976</v>
      </c>
      <c r="D1572" s="2390"/>
      <c r="E1572" s="2390"/>
      <c r="F1572" s="2390"/>
      <c r="G1572" s="2390"/>
      <c r="H1572" s="2390"/>
      <c r="I1572" s="2390"/>
      <c r="J1572" s="2391" t="s">
        <v>1547</v>
      </c>
      <c r="K1572" s="2390"/>
      <c r="L1572" s="2390"/>
      <c r="M1572" s="2390"/>
      <c r="N1572" s="2340"/>
      <c r="O1572" s="2392"/>
      <c r="P1572" s="2392"/>
      <c r="Q1572" s="2390"/>
      <c r="R1572" s="2390"/>
      <c r="S1572" s="2390"/>
      <c r="T1572" s="2390"/>
      <c r="U1572" s="2390"/>
      <c r="V1572" s="2390"/>
      <c r="W1572" s="2390"/>
      <c r="X1572" s="2390"/>
      <c r="Y1572" s="2390"/>
      <c r="Z1572" s="2390"/>
      <c r="AA1572" s="2460" t="s">
        <v>691</v>
      </c>
      <c r="AB1572" s="2197" t="s">
        <v>6126</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691</v>
      </c>
      <c r="AT1572" s="2197" t="s">
        <v>6126</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3.8">
      <c r="A1573" s="2390"/>
      <c r="B1573" s="2390"/>
      <c r="C1573" s="2393" t="s">
        <v>1977</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1666</v>
      </c>
      <c r="AB1573" s="2197" t="s">
        <v>6127</v>
      </c>
      <c r="AC1573" s="2390"/>
      <c r="AD1573" s="2390"/>
      <c r="AE1573" s="2390"/>
      <c r="AF1573" s="2390"/>
      <c r="AG1573" s="2881">
        <v>3</v>
      </c>
      <c r="AH1573" s="2881">
        <v>3</v>
      </c>
      <c r="AI1573" s="2881"/>
      <c r="AJ1573" s="2881"/>
      <c r="AK1573" s="2881"/>
      <c r="AL1573" s="2881"/>
      <c r="AM1573" s="2881"/>
      <c r="AN1573" s="2196" t="s">
        <v>6139</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1666</v>
      </c>
      <c r="AT1573" s="2197" t="s">
        <v>6127</v>
      </c>
      <c r="AU1573" s="2390"/>
      <c r="AV1573" s="2390"/>
      <c r="AW1573" s="2390"/>
      <c r="AX1573" s="2390"/>
      <c r="AY1573" s="2929">
        <f>O1217</f>
        <v>0</v>
      </c>
      <c r="AZ1573" s="2929">
        <f>O1217</f>
        <v>0</v>
      </c>
      <c r="BA1573" s="2929"/>
      <c r="BB1573" s="2929"/>
      <c r="BC1573" s="2881"/>
      <c r="BD1573" s="2929"/>
      <c r="BE1573" s="2929"/>
      <c r="BF1573" s="2929">
        <f>P1217</f>
        <v>0</v>
      </c>
      <c r="BG1573" s="2929">
        <f>P1217</f>
        <v>0</v>
      </c>
      <c r="BH1573" s="2929"/>
      <c r="BI1573" s="2929"/>
      <c r="BJ1573" s="2881"/>
      <c r="BK1573" s="2929"/>
      <c r="BL1573" s="2929"/>
    </row>
    <row r="1574" spans="1:64" ht="13.8">
      <c r="A1574" s="2390"/>
      <c r="B1574" s="2390"/>
      <c r="C1574" s="2393" t="s">
        <v>1978</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1668</v>
      </c>
      <c r="AB1574" s="2197" t="s">
        <v>3394</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1668</v>
      </c>
      <c r="AT1574" s="2197" t="s">
        <v>3394</v>
      </c>
      <c r="AU1574" s="2390"/>
      <c r="AV1574" s="2390"/>
      <c r="AW1574" s="2390"/>
      <c r="AX1574" s="2390"/>
      <c r="AY1574" s="2930">
        <f>O1228</f>
        <v>0</v>
      </c>
      <c r="AZ1574" s="2930">
        <f>O1228</f>
        <v>0</v>
      </c>
      <c r="BA1574" s="2881"/>
      <c r="BB1574" s="2881"/>
      <c r="BC1574" s="2881"/>
      <c r="BD1574" s="2881"/>
      <c r="BE1574" s="2881"/>
      <c r="BF1574" s="2930">
        <f>P1228</f>
        <v>0</v>
      </c>
      <c r="BG1574" s="2930">
        <f>P1228</f>
        <v>0</v>
      </c>
      <c r="BH1574" s="2881"/>
      <c r="BI1574" s="2881"/>
      <c r="BJ1574" s="2881"/>
      <c r="BK1574" s="2881"/>
      <c r="BL1574" s="2881"/>
    </row>
    <row r="1575" spans="1:64" ht="13.8">
      <c r="A1575" s="2390"/>
      <c r="B1575" s="2390"/>
      <c r="C1575" s="2393" t="s">
        <v>1979</v>
      </c>
      <c r="D1575" s="2390"/>
      <c r="E1575" s="2390"/>
      <c r="F1575" s="2390"/>
      <c r="G1575" s="2390"/>
      <c r="H1575" s="2390"/>
      <c r="I1575" s="2390"/>
      <c r="J1575" s="2394" t="s">
        <v>3037</v>
      </c>
      <c r="K1575" s="2390"/>
      <c r="L1575" s="2390"/>
      <c r="M1575" s="2390"/>
      <c r="N1575" s="2340"/>
      <c r="O1575" s="2394" t="s">
        <v>3252</v>
      </c>
      <c r="P1575" s="2392"/>
      <c r="Q1575" s="2390"/>
      <c r="R1575" s="2390"/>
      <c r="S1575" s="2390"/>
      <c r="T1575" s="2390"/>
      <c r="U1575" s="2390"/>
      <c r="V1575" s="2390"/>
      <c r="W1575" s="2390"/>
      <c r="X1575" s="2390"/>
      <c r="Y1575" s="2390"/>
      <c r="Z1575" s="2390"/>
      <c r="AA1575" s="2460" t="s">
        <v>496</v>
      </c>
      <c r="AB1575" s="2197" t="s">
        <v>4038</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496</v>
      </c>
      <c r="AT1575" s="2197" t="s">
        <v>4038</v>
      </c>
      <c r="AU1575" s="2390"/>
      <c r="AV1575" s="2390"/>
      <c r="AW1575" s="2390"/>
      <c r="AX1575" s="2390"/>
      <c r="AY1575" s="2930">
        <f>O1237</f>
        <v>0</v>
      </c>
      <c r="AZ1575" s="2930">
        <f>O1237</f>
        <v>0</v>
      </c>
      <c r="BA1575" s="2881"/>
      <c r="BB1575" s="2881"/>
      <c r="BC1575" s="2881"/>
      <c r="BD1575" s="2881"/>
      <c r="BE1575" s="2881"/>
      <c r="BF1575" s="2930">
        <f>P1237</f>
        <v>0</v>
      </c>
      <c r="BG1575" s="2930">
        <f>P1237</f>
        <v>0</v>
      </c>
      <c r="BH1575" s="2881"/>
      <c r="BI1575" s="2881"/>
      <c r="BJ1575" s="2881"/>
      <c r="BK1575" s="2881"/>
      <c r="BL1575" s="2881"/>
    </row>
    <row r="1576" spans="1:64" ht="13.8">
      <c r="A1576" s="2390"/>
      <c r="B1576" s="2390"/>
      <c r="C1576" s="2393" t="s">
        <v>1311</v>
      </c>
      <c r="D1576" s="2390"/>
      <c r="E1576" s="2390"/>
      <c r="F1576" s="2390"/>
      <c r="G1576" s="2390"/>
      <c r="H1576" s="2390"/>
      <c r="I1576" s="2390"/>
      <c r="J1576" s="2391" t="s">
        <v>3038</v>
      </c>
      <c r="K1576" s="2390"/>
      <c r="L1576" s="2390"/>
      <c r="M1576" s="2390"/>
      <c r="N1576" s="2340"/>
      <c r="O1576" s="2392"/>
      <c r="P1576" s="2392"/>
      <c r="Q1576" s="2390"/>
      <c r="R1576" s="2390"/>
      <c r="S1576" s="2390"/>
      <c r="T1576" s="2390"/>
      <c r="U1576" s="2390"/>
      <c r="V1576" s="2390"/>
      <c r="W1576" s="2390"/>
      <c r="X1576" s="2390"/>
      <c r="Y1576" s="2390"/>
      <c r="Z1576" s="2390"/>
      <c r="AA1576" s="2460" t="s">
        <v>720</v>
      </c>
      <c r="AB1576" s="2197" t="s">
        <v>3339</v>
      </c>
      <c r="AC1576" s="2390"/>
      <c r="AD1576" s="2390"/>
      <c r="AE1576" s="2390"/>
      <c r="AF1576" s="2390"/>
      <c r="AG1576" s="2881">
        <v>3</v>
      </c>
      <c r="AH1576" s="2881">
        <v>2</v>
      </c>
      <c r="AI1576" s="2881"/>
      <c r="AJ1576" s="2881"/>
      <c r="AK1576" s="2881"/>
      <c r="AL1576" s="2881"/>
      <c r="AM1576" s="2881"/>
      <c r="AN1576" s="2196" t="s">
        <v>6562</v>
      </c>
      <c r="AO1576" s="2196"/>
      <c r="AP1576" s="2196"/>
      <c r="AQ1576" s="2196"/>
      <c r="AR1576" s="2390"/>
      <c r="AS1576" s="2460" t="s">
        <v>720</v>
      </c>
      <c r="AT1576" s="2197" t="s">
        <v>3339</v>
      </c>
      <c r="AU1576" s="2390"/>
      <c r="AV1576" s="2390"/>
      <c r="AW1576" s="2390"/>
      <c r="AX1576" s="2390"/>
      <c r="AY1576" s="2881">
        <f>O1257</f>
        <v>0</v>
      </c>
      <c r="AZ1576" s="2881">
        <f>O1257</f>
        <v>0</v>
      </c>
      <c r="BA1576" s="2881"/>
      <c r="BB1576" s="2881"/>
      <c r="BC1576" s="2881"/>
      <c r="BD1576" s="2881"/>
      <c r="BE1576" s="2881"/>
      <c r="BF1576" s="2881">
        <f>P1257</f>
        <v>0</v>
      </c>
      <c r="BG1576" s="2881">
        <f>P1257</f>
        <v>0</v>
      </c>
      <c r="BH1576" s="2881"/>
      <c r="BI1576" s="2881"/>
      <c r="BJ1576" s="2881"/>
      <c r="BK1576" s="2881"/>
      <c r="BL1576" s="2881"/>
    </row>
    <row r="1577" spans="1:64" ht="13.8">
      <c r="A1577" s="2390"/>
      <c r="B1577" s="2390"/>
      <c r="C1577" s="2393" t="s">
        <v>2108</v>
      </c>
      <c r="D1577" s="2390"/>
      <c r="E1577" s="2390"/>
      <c r="F1577" s="2390"/>
      <c r="G1577" s="2390"/>
      <c r="H1577" s="2390"/>
      <c r="I1577" s="2390"/>
      <c r="J1577" s="2390" t="s">
        <v>3022</v>
      </c>
      <c r="K1577" s="2390"/>
      <c r="L1577" s="2390"/>
      <c r="M1577" s="2390"/>
      <c r="N1577" s="2340"/>
      <c r="O1577" s="2392">
        <v>2</v>
      </c>
      <c r="P1577" s="2392"/>
      <c r="Q1577" s="2390"/>
      <c r="R1577" s="2390"/>
      <c r="S1577" s="2390"/>
      <c r="T1577" s="2390"/>
      <c r="U1577" s="2390"/>
      <c r="V1577" s="2390"/>
      <c r="W1577" s="2390"/>
      <c r="X1577" s="2390"/>
      <c r="Y1577" s="2390"/>
      <c r="Z1577" s="2390"/>
      <c r="AA1577" s="2460" t="s">
        <v>280</v>
      </c>
      <c r="AB1577" s="2197" t="s">
        <v>3395</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280</v>
      </c>
      <c r="AT1577" s="2197" t="s">
        <v>3395</v>
      </c>
      <c r="AU1577" s="2390"/>
      <c r="AV1577" s="2390"/>
      <c r="AW1577" s="2390"/>
      <c r="AX1577" s="2390"/>
      <c r="AY1577" s="2929">
        <f>O1273</f>
        <v>0</v>
      </c>
      <c r="AZ1577" s="2929">
        <f>O1273</f>
        <v>0</v>
      </c>
      <c r="BA1577" s="2881"/>
      <c r="BB1577" s="2881"/>
      <c r="BC1577" s="2881"/>
      <c r="BD1577" s="2881"/>
      <c r="BE1577" s="2881"/>
      <c r="BF1577" s="2929">
        <f>P1273</f>
        <v>0</v>
      </c>
      <c r="BG1577" s="2929">
        <f>P1273</f>
        <v>0</v>
      </c>
      <c r="BH1577" s="2881"/>
      <c r="BI1577" s="2881"/>
      <c r="BJ1577" s="2881"/>
      <c r="BK1577" s="2881"/>
      <c r="BL1577" s="2881"/>
    </row>
    <row r="1578" spans="1:64" ht="13.8">
      <c r="A1578" s="2390"/>
      <c r="B1578" s="2390"/>
      <c r="C1578" s="2390"/>
      <c r="D1578" s="2390"/>
      <c r="E1578" s="2390"/>
      <c r="F1578" s="2390"/>
      <c r="G1578" s="2390"/>
      <c r="H1578" s="2390"/>
      <c r="I1578" s="2390"/>
      <c r="J1578" s="2390" t="s">
        <v>3023</v>
      </c>
      <c r="K1578" s="2390"/>
      <c r="L1578" s="2390"/>
      <c r="M1578" s="2390"/>
      <c r="N1578" s="2340"/>
      <c r="O1578" s="2392">
        <v>2</v>
      </c>
      <c r="P1578" s="2392"/>
      <c r="Q1578" s="2390"/>
      <c r="R1578" s="2390"/>
      <c r="S1578" s="2390"/>
      <c r="T1578" s="2390"/>
      <c r="U1578" s="2390"/>
      <c r="V1578" s="2390"/>
      <c r="W1578" s="2390"/>
      <c r="X1578" s="2390"/>
      <c r="Y1578" s="2390"/>
      <c r="Z1578" s="2390"/>
      <c r="AA1578" s="2460" t="s">
        <v>401</v>
      </c>
      <c r="AB1578" s="2197" t="s">
        <v>3396</v>
      </c>
      <c r="AC1578" s="2390"/>
      <c r="AD1578" s="2390"/>
      <c r="AE1578" s="2390"/>
      <c r="AF1578" s="2390"/>
      <c r="AG1578" s="2881">
        <v>3</v>
      </c>
      <c r="AH1578" s="2881"/>
      <c r="AI1578" s="2881"/>
      <c r="AJ1578" s="2881"/>
      <c r="AK1578" s="2881"/>
      <c r="AL1578" s="2881"/>
      <c r="AM1578" s="2881"/>
      <c r="AN1578" s="2197" t="s">
        <v>6557</v>
      </c>
      <c r="AO1578" s="2197"/>
      <c r="AP1578" s="2197"/>
      <c r="AQ1578" s="2310"/>
      <c r="AR1578" s="2390"/>
      <c r="AS1578" s="2460" t="s">
        <v>401</v>
      </c>
      <c r="AT1578" s="2197" t="s">
        <v>3396</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3.8">
      <c r="A1579" s="2390"/>
      <c r="B1579" s="2390"/>
      <c r="C1579" s="2390"/>
      <c r="D1579" s="2390"/>
      <c r="E1579" s="2390"/>
      <c r="F1579" s="2390"/>
      <c r="G1579" s="2390" t="s">
        <v>1407</v>
      </c>
      <c r="H1579" s="2390"/>
      <c r="I1579" s="2390"/>
      <c r="J1579" s="2390" t="s">
        <v>3024</v>
      </c>
      <c r="K1579" s="2390"/>
      <c r="L1579" s="2390"/>
      <c r="M1579" s="2390"/>
      <c r="N1579" s="2340"/>
      <c r="O1579" s="2392">
        <v>2</v>
      </c>
      <c r="P1579" s="2392"/>
      <c r="Q1579" s="2390"/>
      <c r="R1579" s="2390"/>
      <c r="S1579" s="2390"/>
      <c r="T1579" s="2390"/>
      <c r="U1579" s="2390"/>
      <c r="V1579" s="2390"/>
      <c r="W1579" s="2390"/>
      <c r="X1579" s="2390"/>
      <c r="Y1579" s="2390"/>
      <c r="Z1579" s="2390"/>
      <c r="AA1579" s="2460" t="s">
        <v>342</v>
      </c>
      <c r="AB1579" s="2197" t="s">
        <v>4039</v>
      </c>
      <c r="AC1579" s="2390"/>
      <c r="AD1579" s="2390"/>
      <c r="AE1579" s="2390"/>
      <c r="AF1579" s="2390"/>
      <c r="AG1579" s="2881">
        <v>10</v>
      </c>
      <c r="AH1579" s="2881">
        <v>5</v>
      </c>
      <c r="AI1579" s="2881"/>
      <c r="AJ1579" s="2881"/>
      <c r="AK1579" s="2881"/>
      <c r="AL1579" s="2881"/>
      <c r="AM1579" s="2881"/>
      <c r="AN1579" s="2197" t="s">
        <v>3307</v>
      </c>
      <c r="AO1579" s="2197"/>
      <c r="AP1579" s="2197"/>
      <c r="AQ1579" s="2310"/>
      <c r="AR1579" s="2390"/>
      <c r="AS1579" s="2460" t="s">
        <v>342</v>
      </c>
      <c r="AT1579" s="2197" t="s">
        <v>4039</v>
      </c>
      <c r="AU1579" s="2390"/>
      <c r="AV1579" s="2390"/>
      <c r="AW1579" s="2390"/>
      <c r="AX1579" s="2390"/>
      <c r="AY1579" s="2929">
        <f>O1303</f>
        <v>0</v>
      </c>
      <c r="AZ1579" s="2929">
        <f>O1303</f>
        <v>0</v>
      </c>
      <c r="BA1579" s="2881"/>
      <c r="BB1579" s="2881"/>
      <c r="BC1579" s="2881"/>
      <c r="BD1579" s="2881"/>
      <c r="BE1579" s="2881"/>
      <c r="BF1579" s="2929">
        <f>P1303</f>
        <v>0</v>
      </c>
      <c r="BG1579" s="2929">
        <f>P1303</f>
        <v>0</v>
      </c>
      <c r="BH1579" s="2881"/>
      <c r="BI1579" s="2881"/>
      <c r="BJ1579" s="2881"/>
      <c r="BK1579" s="2881"/>
      <c r="BL1579" s="2881"/>
    </row>
    <row r="1580" spans="1:64" ht="13.8">
      <c r="A1580" s="2390"/>
      <c r="B1580" s="2390"/>
      <c r="C1580" s="2390"/>
      <c r="D1580" s="2390"/>
      <c r="E1580" s="2390"/>
      <c r="F1580" s="2390"/>
      <c r="G1580" s="2395" t="s">
        <v>4064</v>
      </c>
      <c r="H1580" s="2390" t="s">
        <v>4065</v>
      </c>
      <c r="I1580" s="2395" t="s">
        <v>4063</v>
      </c>
      <c r="J1580" s="2390" t="s">
        <v>3025</v>
      </c>
      <c r="K1580" s="2390"/>
      <c r="L1580" s="2395"/>
      <c r="M1580" s="2390"/>
      <c r="N1580" s="2340"/>
      <c r="O1580" s="2392">
        <v>2</v>
      </c>
      <c r="P1580" s="2392"/>
      <c r="Q1580" s="2390"/>
      <c r="R1580" s="2390"/>
      <c r="S1580" s="2390"/>
      <c r="T1580" s="2390"/>
      <c r="U1580" s="2390"/>
      <c r="V1580" s="2390"/>
      <c r="W1580" s="2390"/>
      <c r="X1580" s="2390"/>
      <c r="Y1580" s="2390"/>
      <c r="Z1580" s="2390"/>
      <c r="AA1580" s="2460" t="s">
        <v>343</v>
      </c>
      <c r="AB1580" s="2197" t="s">
        <v>6128</v>
      </c>
      <c r="AC1580" s="2390"/>
      <c r="AD1580" s="2390"/>
      <c r="AE1580" s="2390"/>
      <c r="AF1580" s="2390"/>
      <c r="AG1580" s="2881">
        <v>1</v>
      </c>
      <c r="AH1580" s="2881"/>
      <c r="AI1580" s="2881"/>
      <c r="AJ1580" s="2881"/>
      <c r="AK1580" s="2881"/>
      <c r="AL1580" s="2881"/>
      <c r="AM1580" s="2881"/>
      <c r="AN1580" s="2197" t="s">
        <v>6143</v>
      </c>
      <c r="AO1580" s="2197"/>
      <c r="AP1580" s="2197"/>
      <c r="AQ1580" s="2310"/>
      <c r="AR1580" s="2390"/>
      <c r="AS1580" s="2460" t="s">
        <v>343</v>
      </c>
      <c r="AT1580" s="2197" t="s">
        <v>6128</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3.8">
      <c r="A1581" s="2390"/>
      <c r="B1581" s="2390"/>
      <c r="C1581" s="2396"/>
      <c r="D1581" s="2390"/>
      <c r="E1581" s="2390"/>
      <c r="F1581" s="2390"/>
      <c r="G1581" s="2397" t="s">
        <v>2320</v>
      </c>
      <c r="H1581" s="2390"/>
      <c r="I1581" s="2397"/>
      <c r="J1581" s="2390" t="s">
        <v>3250</v>
      </c>
      <c r="K1581" s="2390"/>
      <c r="L1581" s="2397"/>
      <c r="M1581" s="2390"/>
      <c r="N1581" s="2340"/>
      <c r="O1581" s="2392">
        <v>2</v>
      </c>
      <c r="P1581" s="2392"/>
      <c r="Q1581" s="2390"/>
      <c r="R1581" s="2390"/>
      <c r="S1581" s="2390"/>
      <c r="T1581" s="2390"/>
      <c r="U1581" s="2390"/>
      <c r="V1581" s="2390"/>
      <c r="W1581" s="2390"/>
      <c r="X1581" s="2390"/>
      <c r="Y1581" s="2390"/>
      <c r="Z1581" s="2390"/>
      <c r="AA1581" s="2460" t="s">
        <v>344</v>
      </c>
      <c r="AB1581" s="2197" t="s">
        <v>3262</v>
      </c>
      <c r="AC1581" s="2390"/>
      <c r="AD1581" s="2390"/>
      <c r="AE1581" s="2390"/>
      <c r="AF1581" s="2390"/>
      <c r="AG1581" s="2881">
        <v>10</v>
      </c>
      <c r="AH1581" s="2881">
        <v>5</v>
      </c>
      <c r="AI1581" s="2881"/>
      <c r="AJ1581" s="2881"/>
      <c r="AK1581" s="2881"/>
      <c r="AL1581" s="2881"/>
      <c r="AM1581" s="2881"/>
      <c r="AN1581" s="2197" t="s">
        <v>6512</v>
      </c>
      <c r="AO1581" s="2197"/>
      <c r="AP1581" s="2197" t="s">
        <v>6946</v>
      </c>
      <c r="AQ1581" s="2310" t="str">
        <f>'Part VIII Scoring Criteria'!AQ430</f>
        <v>Yes</v>
      </c>
      <c r="AR1581" s="2390"/>
      <c r="AS1581" s="2460" t="s">
        <v>344</v>
      </c>
      <c r="AT1581" s="2197" t="s">
        <v>3262</v>
      </c>
      <c r="AU1581" s="2390"/>
      <c r="AV1581" s="2390"/>
      <c r="AW1581" s="2390"/>
      <c r="AX1581" s="2390"/>
      <c r="AY1581" s="2929">
        <f>O1330</f>
        <v>0</v>
      </c>
      <c r="AZ1581" s="2929">
        <f>O1330</f>
        <v>0</v>
      </c>
      <c r="BA1581" s="2881"/>
      <c r="BB1581" s="2881"/>
      <c r="BC1581" s="2881"/>
      <c r="BD1581" s="2881"/>
      <c r="BE1581" s="2881"/>
      <c r="BF1581" s="2929">
        <f>P1330</f>
        <v>0</v>
      </c>
      <c r="BG1581" s="2929">
        <f>P1330</f>
        <v>0</v>
      </c>
      <c r="BH1581" s="2881"/>
      <c r="BI1581" s="2881"/>
      <c r="BJ1581" s="2881"/>
      <c r="BK1581" s="2881"/>
      <c r="BL1581" s="2881"/>
    </row>
    <row r="1582" spans="1:64" ht="13.8">
      <c r="A1582" s="2390"/>
      <c r="B1582" s="2390"/>
      <c r="C1582" s="2396"/>
      <c r="D1582" s="2390"/>
      <c r="E1582" s="2390"/>
      <c r="F1582" s="2390"/>
      <c r="G1582" s="2397" t="s">
        <v>436</v>
      </c>
      <c r="H1582" s="2340" t="s">
        <v>4067</v>
      </c>
      <c r="I1582" s="2395" t="s">
        <v>2453</v>
      </c>
      <c r="J1582" s="2390" t="s">
        <v>3026</v>
      </c>
      <c r="K1582" s="2390"/>
      <c r="L1582" s="2396"/>
      <c r="M1582" s="2390"/>
      <c r="N1582" s="2340"/>
      <c r="O1582" s="2392">
        <v>1</v>
      </c>
      <c r="P1582" s="2392"/>
      <c r="Q1582" s="2390"/>
      <c r="R1582" s="2390"/>
      <c r="S1582" s="2390"/>
      <c r="T1582" s="2390"/>
      <c r="U1582" s="2390"/>
      <c r="V1582" s="2390"/>
      <c r="W1582" s="2390"/>
      <c r="X1582" s="2390"/>
      <c r="Y1582" s="2390"/>
      <c r="Z1582" s="2390"/>
      <c r="AA1582" s="2460" t="s">
        <v>1604</v>
      </c>
      <c r="AB1582" s="2197" t="s">
        <v>6129</v>
      </c>
      <c r="AC1582" s="2390"/>
      <c r="AD1582" s="2390"/>
      <c r="AE1582" s="2390"/>
      <c r="AF1582" s="2390"/>
      <c r="AG1582" s="2881">
        <v>3</v>
      </c>
      <c r="AH1582" s="2881"/>
      <c r="AI1582" s="2881"/>
      <c r="AJ1582" s="2881"/>
      <c r="AK1582" s="2881"/>
      <c r="AL1582" s="2881"/>
      <c r="AM1582" s="2881"/>
      <c r="AO1582" s="2197"/>
      <c r="AP1582" s="2393" t="s">
        <v>6142</v>
      </c>
      <c r="AQ1582" s="2310" t="str">
        <f>'Part VIII Scoring Criteria'!AQ431</f>
        <v/>
      </c>
      <c r="AR1582" s="2390"/>
      <c r="AS1582" s="2460" t="s">
        <v>1604</v>
      </c>
      <c r="AT1582" s="2197" t="s">
        <v>6129</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3.8">
      <c r="A1583" s="2390"/>
      <c r="B1583" s="2390"/>
      <c r="C1583" s="2396"/>
      <c r="D1583" s="2390"/>
      <c r="E1583" s="2390"/>
      <c r="F1583" s="2390"/>
      <c r="G1583" s="2397" t="s">
        <v>1657</v>
      </c>
      <c r="H1583" s="2340">
        <v>2020</v>
      </c>
      <c r="I1583" s="2340" t="s">
        <v>4066</v>
      </c>
      <c r="J1583" s="2390" t="s">
        <v>3027</v>
      </c>
      <c r="K1583" s="2390"/>
      <c r="L1583" s="2396"/>
      <c r="M1583" s="2390"/>
      <c r="N1583" s="2340"/>
      <c r="O1583" s="2392">
        <v>1</v>
      </c>
      <c r="P1583" s="2392"/>
      <c r="Q1583" s="2390"/>
      <c r="R1583" s="2390"/>
      <c r="S1583" s="2390"/>
      <c r="T1583" s="2390"/>
      <c r="U1583" s="2390"/>
      <c r="V1583" s="2390"/>
      <c r="W1583" s="2390"/>
      <c r="X1583" s="2390"/>
      <c r="Y1583" s="2390"/>
      <c r="Z1583" s="2390"/>
      <c r="AA1583" s="2460" t="s">
        <v>3370</v>
      </c>
      <c r="AB1583" s="2197" t="s">
        <v>4043</v>
      </c>
      <c r="AC1583" s="2390"/>
      <c r="AD1583" s="2390"/>
      <c r="AE1583" s="2390"/>
      <c r="AF1583" s="2390"/>
      <c r="AG1583" s="2881">
        <v>5</v>
      </c>
      <c r="AH1583" s="2881"/>
      <c r="AI1583" s="2881"/>
      <c r="AJ1583" s="2881"/>
      <c r="AK1583" s="2881"/>
      <c r="AL1583" s="2881"/>
      <c r="AM1583" s="2881"/>
      <c r="AN1583" s="2197"/>
      <c r="AO1583" s="2197"/>
      <c r="AP1583" s="2393" t="s">
        <v>6558</v>
      </c>
      <c r="AQ1583" s="2310" t="str">
        <f>'Part VIII Scoring Criteria'!AQ432</f>
        <v/>
      </c>
      <c r="AR1583" s="2390"/>
      <c r="AS1583" s="2460" t="s">
        <v>3370</v>
      </c>
      <c r="AT1583" s="2197" t="s">
        <v>4043</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3.8">
      <c r="A1584" s="2390"/>
      <c r="B1584" s="2390"/>
      <c r="C1584" s="2396"/>
      <c r="D1584" s="2390"/>
      <c r="E1584" s="2390"/>
      <c r="F1584" s="2390"/>
      <c r="G1584" s="2397" t="s">
        <v>2351</v>
      </c>
      <c r="H1584" s="2340" t="s">
        <v>1610</v>
      </c>
      <c r="I1584" s="2395" t="s">
        <v>2453</v>
      </c>
      <c r="J1584" s="2390" t="s">
        <v>3028</v>
      </c>
      <c r="K1584" s="2390"/>
      <c r="L1584" s="2396"/>
      <c r="M1584" s="2390"/>
      <c r="N1584" s="2340"/>
      <c r="O1584" s="2392">
        <v>1</v>
      </c>
      <c r="P1584" s="2392"/>
      <c r="Q1584" s="2390"/>
      <c r="R1584" s="2390"/>
      <c r="S1584" s="2390"/>
      <c r="T1584" s="2390"/>
      <c r="U1584" s="2390"/>
      <c r="V1584" s="2390"/>
      <c r="W1584" s="2390"/>
      <c r="X1584" s="2390"/>
      <c r="Y1584" s="2390"/>
      <c r="Z1584" s="2390"/>
      <c r="AA1584" s="2460" t="s">
        <v>2080</v>
      </c>
      <c r="AB1584" s="2197" t="s">
        <v>3804</v>
      </c>
      <c r="AC1584" s="2390"/>
      <c r="AD1584" s="2390"/>
      <c r="AE1584" s="2390"/>
      <c r="AF1584" s="2390"/>
      <c r="AG1584" s="2881">
        <v>4</v>
      </c>
      <c r="AH1584" s="2881">
        <v>4</v>
      </c>
      <c r="AI1584" s="2881">
        <v>4</v>
      </c>
      <c r="AJ1584" s="2881">
        <v>4</v>
      </c>
      <c r="AK1584" s="2881">
        <v>4</v>
      </c>
      <c r="AL1584" s="2881">
        <v>4</v>
      </c>
      <c r="AM1584" s="2881">
        <v>4</v>
      </c>
      <c r="AN1584" s="2197"/>
      <c r="AO1584" s="2197"/>
      <c r="AP1584" s="2393" t="s">
        <v>6559</v>
      </c>
      <c r="AQ1584" s="2310" t="str">
        <f>'Part VIII Scoring Criteria'!AQ433</f>
        <v/>
      </c>
      <c r="AR1584" s="2390"/>
      <c r="AS1584" s="2460" t="s">
        <v>2080</v>
      </c>
      <c r="AT1584" s="2197" t="s">
        <v>3804</v>
      </c>
      <c r="AU1584" s="2390"/>
      <c r="AV1584" s="2390"/>
      <c r="AW1584" s="2390"/>
      <c r="AX1584" s="2390"/>
      <c r="AY1584" s="2929">
        <f>O1361</f>
        <v>4</v>
      </c>
      <c r="AZ1584" s="2929">
        <f>O1361</f>
        <v>4</v>
      </c>
      <c r="BA1584" s="2929">
        <f>O1361</f>
        <v>4</v>
      </c>
      <c r="BB1584" s="2929">
        <f>O1361</f>
        <v>4</v>
      </c>
      <c r="BC1584" s="2929">
        <f>O1361</f>
        <v>4</v>
      </c>
      <c r="BD1584" s="2929">
        <f>O1361</f>
        <v>4</v>
      </c>
      <c r="BE1584" s="2929">
        <f>O1361</f>
        <v>4</v>
      </c>
      <c r="BF1584" s="2929">
        <f>P1361</f>
        <v>0</v>
      </c>
      <c r="BG1584" s="2929">
        <f>P1361</f>
        <v>0</v>
      </c>
      <c r="BH1584" s="2929">
        <f>P1361</f>
        <v>0</v>
      </c>
      <c r="BI1584" s="2929">
        <f>P1361</f>
        <v>0</v>
      </c>
      <c r="BJ1584" s="2929">
        <f>P1361</f>
        <v>0</v>
      </c>
      <c r="BK1584" s="2929">
        <f>P1361</f>
        <v>0</v>
      </c>
      <c r="BL1584" s="2929">
        <f>P1361</f>
        <v>0</v>
      </c>
    </row>
    <row r="1585" spans="1:64" ht="13.8">
      <c r="A1585" s="2390"/>
      <c r="B1585" s="2390"/>
      <c r="C1585" s="2396"/>
      <c r="D1585" s="2390"/>
      <c r="E1585" s="2390"/>
      <c r="F1585" s="2390"/>
      <c r="G1585" s="2397" t="s">
        <v>971</v>
      </c>
      <c r="H1585" s="2340">
        <v>2020</v>
      </c>
      <c r="I1585" s="2340" t="s">
        <v>4066</v>
      </c>
      <c r="J1585" s="2390" t="s">
        <v>3251</v>
      </c>
      <c r="K1585" s="2390"/>
      <c r="L1585" s="2396"/>
      <c r="M1585" s="2390"/>
      <c r="N1585" s="2340"/>
      <c r="O1585" s="2392">
        <v>1</v>
      </c>
      <c r="P1585" s="2392"/>
      <c r="Q1585" s="2390"/>
      <c r="R1585" s="2390"/>
      <c r="S1585" s="2390"/>
      <c r="T1585" s="2390"/>
      <c r="U1585" s="2390"/>
      <c r="V1585" s="2390"/>
      <c r="W1585" s="2390"/>
      <c r="X1585" s="2390"/>
      <c r="Y1585" s="2390"/>
      <c r="Z1585" s="2390"/>
      <c r="AA1585" s="2460" t="s">
        <v>3370</v>
      </c>
      <c r="AB1585" s="2197" t="s">
        <v>6549</v>
      </c>
      <c r="AC1585" s="2390"/>
      <c r="AD1585" s="2390"/>
      <c r="AE1585" s="2390"/>
      <c r="AF1585" s="2390"/>
      <c r="AG1585" s="2881">
        <v>2</v>
      </c>
      <c r="AH1585" s="2881"/>
      <c r="AI1585" s="2881"/>
      <c r="AJ1585" s="2881"/>
      <c r="AK1585" s="2881"/>
      <c r="AL1585" s="2881"/>
      <c r="AM1585" s="2881"/>
      <c r="AN1585" s="2197" t="s">
        <v>2444</v>
      </c>
      <c r="AO1585" s="2197"/>
      <c r="AP1585" s="2197"/>
      <c r="AQ1585" s="2310"/>
      <c r="AR1585" s="2390"/>
      <c r="AS1585" s="2460" t="s">
        <v>3370</v>
      </c>
      <c r="AT1585" s="2197" t="s">
        <v>6549</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3.8">
      <c r="A1586" s="2390"/>
      <c r="B1586" s="2390"/>
      <c r="C1586" s="2396"/>
      <c r="D1586" s="2390"/>
      <c r="E1586" s="2390"/>
      <c r="F1586" s="2390"/>
      <c r="G1586" s="2397" t="s">
        <v>3273</v>
      </c>
      <c r="H1586" s="2340">
        <v>2019</v>
      </c>
      <c r="I1586" s="2340" t="s">
        <v>4066</v>
      </c>
      <c r="J1586" s="2390" t="s">
        <v>3036</v>
      </c>
      <c r="K1586" s="2390"/>
      <c r="L1586" s="2396"/>
      <c r="M1586" s="2390"/>
      <c r="N1586" s="2340"/>
      <c r="O1586" s="2392">
        <v>1</v>
      </c>
      <c r="P1586" s="2392"/>
      <c r="Q1586" s="2390"/>
      <c r="R1586" s="2390"/>
      <c r="S1586" s="2390"/>
      <c r="T1586" s="2390"/>
      <c r="U1586" s="2390"/>
      <c r="V1586" s="2390"/>
      <c r="W1586" s="2390"/>
      <c r="X1586" s="2390"/>
      <c r="Y1586" s="2390"/>
      <c r="Z1586" s="2390"/>
      <c r="AA1586" s="2460" t="s">
        <v>3371</v>
      </c>
      <c r="AB1586" s="2197" t="s">
        <v>6550</v>
      </c>
      <c r="AC1586" s="2390"/>
      <c r="AD1586" s="2390"/>
      <c r="AE1586" s="2390"/>
      <c r="AF1586" s="2390"/>
      <c r="AG1586" s="2881">
        <v>2</v>
      </c>
      <c r="AH1586" s="2881">
        <v>2</v>
      </c>
      <c r="AI1586" s="2881">
        <v>2</v>
      </c>
      <c r="AJ1586" s="2881">
        <v>2</v>
      </c>
      <c r="AK1586" s="2881">
        <v>2</v>
      </c>
      <c r="AL1586" s="2881">
        <v>2</v>
      </c>
      <c r="AM1586" s="2881">
        <v>2</v>
      </c>
      <c r="AN1586" s="2197" t="s">
        <v>6560</v>
      </c>
      <c r="AO1586" s="2197"/>
      <c r="AP1586" s="2197"/>
      <c r="AQ1586" s="2310"/>
      <c r="AR1586" s="2390"/>
      <c r="AS1586" s="2460" t="s">
        <v>3371</v>
      </c>
      <c r="AT1586" s="2197" t="s">
        <v>6550</v>
      </c>
      <c r="AU1586" s="2390"/>
      <c r="AV1586" s="2390"/>
      <c r="AW1586" s="2390"/>
      <c r="AX1586" s="2390"/>
      <c r="AY1586" s="2929">
        <f>O1384</f>
        <v>0</v>
      </c>
      <c r="AZ1586" s="2929">
        <f>O1384</f>
        <v>0</v>
      </c>
      <c r="BA1586" s="2929">
        <f>O1384</f>
        <v>0</v>
      </c>
      <c r="BB1586" s="2929">
        <f>O1384</f>
        <v>0</v>
      </c>
      <c r="BC1586" s="2929">
        <f>O1384</f>
        <v>0</v>
      </c>
      <c r="BD1586" s="2929">
        <f>O1384</f>
        <v>0</v>
      </c>
      <c r="BE1586" s="2929">
        <f>O1384</f>
        <v>0</v>
      </c>
      <c r="BF1586" s="2929">
        <f>P1384</f>
        <v>0</v>
      </c>
      <c r="BG1586" s="2929">
        <f>P1384</f>
        <v>0</v>
      </c>
      <c r="BH1586" s="2929">
        <f>P1384</f>
        <v>0</v>
      </c>
      <c r="BI1586" s="2929">
        <f>P1384</f>
        <v>0</v>
      </c>
      <c r="BJ1586" s="2929">
        <f>P1384</f>
        <v>0</v>
      </c>
      <c r="BK1586" s="2929">
        <f>P1384</f>
        <v>0</v>
      </c>
      <c r="BL1586" s="2929">
        <f>P1384</f>
        <v>0</v>
      </c>
    </row>
    <row r="1587" spans="1:64" ht="13.8">
      <c r="A1587" s="2390"/>
      <c r="B1587" s="2390"/>
      <c r="C1587" s="2396"/>
      <c r="D1587" s="2390"/>
      <c r="E1587" s="2390"/>
      <c r="F1587" s="2390"/>
      <c r="G1587" s="2397" t="s">
        <v>340</v>
      </c>
      <c r="H1587" s="2340" t="s">
        <v>1610</v>
      </c>
      <c r="I1587" s="2395" t="s">
        <v>2453</v>
      </c>
      <c r="J1587" s="2390" t="s">
        <v>3029</v>
      </c>
      <c r="K1587" s="2390"/>
      <c r="L1587" s="2396"/>
      <c r="M1587" s="2390"/>
      <c r="N1587" s="2340"/>
      <c r="O1587" s="2392">
        <v>1</v>
      </c>
      <c r="P1587" s="2392"/>
      <c r="Q1587" s="2390"/>
      <c r="R1587" s="2390"/>
      <c r="S1587" s="2390"/>
      <c r="T1587" s="2390"/>
      <c r="U1587" s="2390"/>
      <c r="V1587" s="2390"/>
      <c r="W1587" s="2390"/>
      <c r="X1587" s="2390"/>
      <c r="Y1587" s="2390"/>
      <c r="Z1587" s="2390"/>
      <c r="AA1587" s="2460" t="s">
        <v>3369</v>
      </c>
      <c r="AB1587" s="2197" t="s">
        <v>6555</v>
      </c>
      <c r="AC1587" s="2390"/>
      <c r="AD1587" s="2390"/>
      <c r="AE1587" s="2390"/>
      <c r="AF1587" s="2390"/>
      <c r="AG1587" s="2881">
        <v>2</v>
      </c>
      <c r="AH1587" s="2881"/>
      <c r="AI1587" s="2881"/>
      <c r="AJ1587" s="2881"/>
      <c r="AK1587" s="2881">
        <v>2</v>
      </c>
      <c r="AL1587" s="2881">
        <v>2</v>
      </c>
      <c r="AM1587" s="2881">
        <v>2</v>
      </c>
      <c r="AN1587" s="2197" t="s">
        <v>6561</v>
      </c>
      <c r="AO1587" s="2197"/>
      <c r="AP1587" s="2197"/>
      <c r="AQ1587" s="2461" t="str">
        <f>'Part II-Sources of Funds'!$L$14</f>
        <v>No</v>
      </c>
      <c r="AR1587" s="2390"/>
      <c r="AS1587" s="2460" t="s">
        <v>3369</v>
      </c>
      <c r="AT1587" s="2197" t="s">
        <v>6555</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3.8">
      <c r="A1588" s="2390"/>
      <c r="B1588" s="2390"/>
      <c r="C1588" s="2396"/>
      <c r="D1588" s="2390"/>
      <c r="E1588" s="2390"/>
      <c r="F1588" s="2390"/>
      <c r="G1588" s="2397" t="s">
        <v>1633</v>
      </c>
      <c r="H1588" s="2340">
        <v>2020</v>
      </c>
      <c r="I1588" s="2340" t="s">
        <v>4066</v>
      </c>
      <c r="J1588" s="2390" t="s">
        <v>3030</v>
      </c>
      <c r="K1588" s="2390"/>
      <c r="L1588" s="2396"/>
      <c r="M1588" s="2390"/>
      <c r="N1588" s="2340"/>
      <c r="O1588" s="2392">
        <v>1</v>
      </c>
      <c r="P1588" s="2392"/>
      <c r="Q1588" s="2390"/>
      <c r="R1588" s="2390"/>
      <c r="S1588" s="2390"/>
      <c r="T1588" s="2390"/>
      <c r="U1588" s="2390"/>
      <c r="V1588" s="2390"/>
      <c r="W1588" s="2390"/>
      <c r="X1588" s="2390"/>
      <c r="Y1588" s="2390"/>
      <c r="Z1588" s="2390"/>
      <c r="AA1588" s="2460" t="s">
        <v>3372</v>
      </c>
      <c r="AB1588" s="2197" t="s">
        <v>6130</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3372</v>
      </c>
      <c r="AT1588" s="2197" t="s">
        <v>6130</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3.8">
      <c r="A1589" s="2390"/>
      <c r="B1589" s="2390"/>
      <c r="C1589" s="2396"/>
      <c r="D1589" s="2390"/>
      <c r="E1589" s="2390"/>
      <c r="F1589" s="2390"/>
      <c r="G1589" s="2397" t="s">
        <v>1909</v>
      </c>
      <c r="H1589" s="2340" t="s">
        <v>4067</v>
      </c>
      <c r="I1589" s="2395" t="s">
        <v>2453</v>
      </c>
      <c r="J1589" s="2390" t="s">
        <v>3031</v>
      </c>
      <c r="K1589" s="2390"/>
      <c r="L1589" s="2396"/>
      <c r="M1589" s="2390"/>
      <c r="N1589" s="2340"/>
      <c r="O1589" s="2392">
        <v>1</v>
      </c>
      <c r="P1589" s="2392"/>
      <c r="Q1589" s="2390"/>
      <c r="R1589" s="2390"/>
      <c r="S1589" s="2390"/>
      <c r="T1589" s="2390"/>
      <c r="U1589" s="2390"/>
      <c r="V1589" s="2390"/>
      <c r="W1589" s="2390"/>
      <c r="X1589" s="2390"/>
      <c r="Y1589" s="2390"/>
      <c r="Z1589" s="2390"/>
      <c r="AA1589" s="2460" t="s">
        <v>3373</v>
      </c>
      <c r="AB1589" s="2197" t="s">
        <v>3397</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3373</v>
      </c>
      <c r="AT1589" s="2197" t="s">
        <v>3397</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3.8">
      <c r="A1590" s="2390"/>
      <c r="B1590" s="2390"/>
      <c r="C1590" s="2390"/>
      <c r="D1590" s="2390"/>
      <c r="E1590" s="2390"/>
      <c r="F1590" s="2390"/>
      <c r="G1590" s="2397" t="s">
        <v>82</v>
      </c>
      <c r="H1590" s="2340" t="s">
        <v>4067</v>
      </c>
      <c r="I1590" s="2395" t="s">
        <v>2453</v>
      </c>
      <c r="J1590" s="2390" t="s">
        <v>3032</v>
      </c>
      <c r="K1590" s="2390"/>
      <c r="L1590" s="2396"/>
      <c r="M1590" s="2390"/>
      <c r="N1590" s="2340"/>
      <c r="O1590" s="2392">
        <v>1</v>
      </c>
      <c r="P1590" s="2392"/>
      <c r="Q1590" s="2390"/>
      <c r="R1590" s="2390"/>
      <c r="S1590" s="2390"/>
      <c r="T1590" s="2390"/>
      <c r="U1590" s="2390"/>
      <c r="V1590" s="2390"/>
      <c r="W1590" s="2390"/>
      <c r="X1590" s="2390"/>
      <c r="Y1590" s="2390"/>
      <c r="Z1590" s="2390"/>
      <c r="AA1590" s="2460" t="s">
        <v>3376</v>
      </c>
      <c r="AB1590" s="2197" t="s">
        <v>3398</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3376</v>
      </c>
      <c r="AT1590" s="2197" t="s">
        <v>3398</v>
      </c>
      <c r="AU1590" s="2390"/>
      <c r="AV1590" s="2390"/>
      <c r="AW1590" s="2390"/>
      <c r="AX1590" s="2390"/>
      <c r="AY1590" s="2929">
        <f>O1431</f>
        <v>0</v>
      </c>
      <c r="AZ1590" s="2929">
        <f>O1431</f>
        <v>0</v>
      </c>
      <c r="BA1590" s="2929">
        <f>O1431</f>
        <v>0</v>
      </c>
      <c r="BB1590" s="2929">
        <f>O1431</f>
        <v>0</v>
      </c>
      <c r="BC1590" s="2929">
        <f>O1431</f>
        <v>0</v>
      </c>
      <c r="BD1590" s="2929">
        <f>O1431</f>
        <v>0</v>
      </c>
      <c r="BE1590" s="2929">
        <f>O1431</f>
        <v>0</v>
      </c>
      <c r="BF1590" s="2929">
        <f>P1431</f>
        <v>0</v>
      </c>
      <c r="BG1590" s="2929">
        <f>P1431</f>
        <v>0</v>
      </c>
      <c r="BH1590" s="2929">
        <f>P1431</f>
        <v>0</v>
      </c>
      <c r="BI1590" s="2929">
        <f>P1431</f>
        <v>0</v>
      </c>
      <c r="BJ1590" s="2929">
        <f>P1431</f>
        <v>0</v>
      </c>
      <c r="BK1590" s="2929">
        <f>P1431</f>
        <v>0</v>
      </c>
      <c r="BL1590" s="2929">
        <f>P1431</f>
        <v>0</v>
      </c>
    </row>
    <row r="1591" spans="1:64" ht="13.8">
      <c r="A1591" s="2390"/>
      <c r="B1591" s="2390"/>
      <c r="C1591" s="2390"/>
      <c r="D1591" s="2390"/>
      <c r="E1591" s="2390"/>
      <c r="F1591" s="2390"/>
      <c r="G1591" s="2397" t="s">
        <v>837</v>
      </c>
      <c r="H1591" s="2340">
        <v>2019</v>
      </c>
      <c r="I1591" s="2340" t="s">
        <v>4066</v>
      </c>
      <c r="J1591" s="2390" t="s">
        <v>3035</v>
      </c>
      <c r="K1591" s="2390"/>
      <c r="L1591" s="2396"/>
      <c r="M1591" s="2390"/>
      <c r="N1591" s="2340"/>
      <c r="O1591" s="2392">
        <v>1</v>
      </c>
      <c r="P1591" s="2392"/>
      <c r="Q1591" s="2390"/>
      <c r="R1591" s="2390"/>
      <c r="S1591" s="2390"/>
      <c r="T1591" s="2390"/>
      <c r="U1591" s="2390"/>
      <c r="V1591" s="2390"/>
      <c r="W1591" s="2390"/>
      <c r="X1591" s="2390"/>
      <c r="Y1591" s="2390"/>
      <c r="Z1591" s="2390"/>
      <c r="AA1591" s="2460" t="s">
        <v>3377</v>
      </c>
      <c r="AB1591" s="2197" t="s">
        <v>3399</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3377</v>
      </c>
      <c r="AT1591" s="2197" t="s">
        <v>3399</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3.8">
      <c r="A1592" s="2390" t="s">
        <v>2498</v>
      </c>
      <c r="B1592" s="2390"/>
      <c r="C1592" s="2390"/>
      <c r="D1592" s="2390"/>
      <c r="E1592" s="2390"/>
      <c r="F1592" s="2390"/>
      <c r="G1592" s="2397" t="s">
        <v>1986</v>
      </c>
      <c r="H1592" s="2340" t="s">
        <v>4067</v>
      </c>
      <c r="I1592" s="2395" t="s">
        <v>2453</v>
      </c>
      <c r="J1592" s="2390" t="s">
        <v>3033</v>
      </c>
      <c r="K1592" s="2390"/>
      <c r="L1592" s="2396"/>
      <c r="M1592" s="2390"/>
      <c r="N1592" s="2340"/>
      <c r="O1592" s="2392">
        <v>1</v>
      </c>
      <c r="P1592" s="2392"/>
      <c r="Q1592" s="2390"/>
      <c r="R1592" s="2390"/>
      <c r="S1592" s="2390"/>
      <c r="T1592" s="2390"/>
      <c r="U1592" s="2390"/>
      <c r="V1592" s="2390"/>
      <c r="W1592" s="2390"/>
      <c r="X1592" s="2390"/>
      <c r="Y1592" s="2390"/>
      <c r="Z1592" s="2390"/>
      <c r="AA1592" s="2460" t="s">
        <v>3378</v>
      </c>
      <c r="AB1592" s="2197" t="s">
        <v>6131</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3378</v>
      </c>
      <c r="AT1592" s="2197" t="s">
        <v>6131</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3.8">
      <c r="A1593" s="2390" t="s">
        <v>2513</v>
      </c>
      <c r="B1593" s="2390"/>
      <c r="C1593" s="2390"/>
      <c r="D1593" s="2390"/>
      <c r="E1593" s="2390"/>
      <c r="F1593" s="2390"/>
      <c r="G1593" s="2397" t="s">
        <v>1907</v>
      </c>
      <c r="H1593" s="2340">
        <v>2019</v>
      </c>
      <c r="I1593" s="2340" t="s">
        <v>4066</v>
      </c>
      <c r="J1593" s="2390" t="s">
        <v>3034</v>
      </c>
      <c r="K1593" s="2390"/>
      <c r="L1593" s="2396"/>
      <c r="M1593" s="2390"/>
      <c r="N1593" s="2340"/>
      <c r="O1593" s="2392">
        <v>1</v>
      </c>
      <c r="P1593" s="2392"/>
      <c r="Q1593" s="2390"/>
      <c r="R1593" s="2390"/>
      <c r="S1593" s="2390"/>
      <c r="T1593" s="2390"/>
      <c r="U1593" s="2390"/>
      <c r="V1593" s="2390"/>
      <c r="W1593" s="2390"/>
      <c r="X1593" s="2390"/>
      <c r="Y1593" s="2390"/>
      <c r="Z1593" s="2390"/>
      <c r="AA1593" s="2460" t="s">
        <v>3379</v>
      </c>
      <c r="AB1593" s="2197" t="s">
        <v>6551</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3379</v>
      </c>
      <c r="AT1593" s="2197" t="s">
        <v>6551</v>
      </c>
      <c r="AU1593" s="2390"/>
      <c r="AV1593" s="2390"/>
      <c r="AW1593" s="2390"/>
      <c r="AX1593" s="2390"/>
      <c r="AY1593" s="2929">
        <f>O1483</f>
        <v>2</v>
      </c>
      <c r="AZ1593" s="2929">
        <f>O1483</f>
        <v>2</v>
      </c>
      <c r="BA1593" s="2929">
        <f>O1483</f>
        <v>2</v>
      </c>
      <c r="BB1593" s="2929">
        <f>O1483</f>
        <v>2</v>
      </c>
      <c r="BC1593" s="2929">
        <f>O1483</f>
        <v>2</v>
      </c>
      <c r="BD1593" s="2929">
        <f>O1483</f>
        <v>2</v>
      </c>
      <c r="BE1593" s="2929">
        <f>O1483</f>
        <v>2</v>
      </c>
      <c r="BF1593" s="2929">
        <f>P1483</f>
        <v>2</v>
      </c>
      <c r="BG1593" s="2929">
        <f>P1483</f>
        <v>2</v>
      </c>
      <c r="BH1593" s="2929">
        <f>P1483</f>
        <v>2</v>
      </c>
      <c r="BI1593" s="2929">
        <f>P1483</f>
        <v>2</v>
      </c>
      <c r="BJ1593" s="2929">
        <f>P1483</f>
        <v>2</v>
      </c>
      <c r="BK1593" s="2929">
        <f>P1483</f>
        <v>2</v>
      </c>
      <c r="BL1593" s="2929">
        <f>P1483</f>
        <v>2</v>
      </c>
    </row>
    <row r="1594" spans="1:64" ht="13.8">
      <c r="A1594" s="2396" t="s">
        <v>3005</v>
      </c>
      <c r="B1594" s="2390"/>
      <c r="C1594" s="2390"/>
      <c r="D1594" s="2396"/>
      <c r="E1594" s="2396">
        <v>3</v>
      </c>
      <c r="F1594" s="2390"/>
      <c r="G1594" s="2397" t="s">
        <v>322</v>
      </c>
      <c r="H1594" s="2340">
        <v>2019</v>
      </c>
      <c r="I1594" s="2340" t="s">
        <v>4066</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3380</v>
      </c>
      <c r="AB1594" s="2197" t="s">
        <v>6132</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3380</v>
      </c>
      <c r="AT1594" s="2197" t="s">
        <v>6132</v>
      </c>
      <c r="AU1594" s="2390"/>
      <c r="AV1594" s="2390"/>
      <c r="AW1594" s="2390"/>
      <c r="AX1594" s="2390"/>
      <c r="AY1594" s="2881"/>
      <c r="AZ1594" s="2881"/>
      <c r="BA1594" s="2929">
        <f>O1496</f>
        <v>6</v>
      </c>
      <c r="BB1594" s="2929">
        <f>O1496</f>
        <v>6</v>
      </c>
      <c r="BC1594" s="2929">
        <f>O1496</f>
        <v>6</v>
      </c>
      <c r="BD1594" s="2929">
        <f>O1496</f>
        <v>6</v>
      </c>
      <c r="BE1594" s="2929">
        <f>O1496</f>
        <v>6</v>
      </c>
      <c r="BF1594" s="2881"/>
      <c r="BG1594" s="2881"/>
      <c r="BH1594" s="2929">
        <f>P1496</f>
        <v>0</v>
      </c>
      <c r="BI1594" s="2929">
        <f>P1496</f>
        <v>0</v>
      </c>
      <c r="BJ1594" s="2929">
        <f>P1496</f>
        <v>0</v>
      </c>
      <c r="BK1594" s="2929">
        <f>P1496</f>
        <v>0</v>
      </c>
      <c r="BL1594" s="2929">
        <f>P1496</f>
        <v>0</v>
      </c>
    </row>
    <row r="1595" spans="1:64" ht="13.8">
      <c r="A1595" s="2396" t="s">
        <v>3006</v>
      </c>
      <c r="B1595" s="2390"/>
      <c r="C1595" s="2390"/>
      <c r="D1595" s="2396"/>
      <c r="E1595" s="2396">
        <v>2</v>
      </c>
      <c r="F1595" s="2390"/>
      <c r="G1595" s="2397" t="s">
        <v>815</v>
      </c>
      <c r="H1595" s="2340">
        <v>2019</v>
      </c>
      <c r="I1595" s="2340" t="s">
        <v>4066</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3381</v>
      </c>
      <c r="AB1595" s="2197" t="s">
        <v>6915</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3381</v>
      </c>
      <c r="AT1595" s="2197" t="s">
        <v>6915</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3.8">
      <c r="A1596" s="2396" t="s">
        <v>3007</v>
      </c>
      <c r="B1596" s="2390"/>
      <c r="C1596" s="2390"/>
      <c r="D1596" s="2396"/>
      <c r="E1596" s="2396">
        <v>10</v>
      </c>
      <c r="F1596" s="2390"/>
      <c r="G1596" s="2397" t="s">
        <v>1789</v>
      </c>
      <c r="H1596" s="2340">
        <v>2019</v>
      </c>
      <c r="I1596" s="2340" t="s">
        <v>4066</v>
      </c>
      <c r="J1596" s="2398" t="s">
        <v>3261</v>
      </c>
      <c r="K1596" s="2390"/>
      <c r="L1596" s="2396"/>
      <c r="M1596" s="2390"/>
      <c r="N1596" s="2340"/>
      <c r="O1596" s="2392"/>
      <c r="P1596" s="2392"/>
      <c r="Q1596" s="2390"/>
      <c r="R1596" s="2390"/>
      <c r="S1596" s="2390"/>
      <c r="T1596" s="2390"/>
      <c r="U1596" s="2390"/>
      <c r="V1596" s="2390"/>
      <c r="W1596" s="2390"/>
      <c r="X1596" s="2390"/>
      <c r="Y1596" s="2390"/>
      <c r="Z1596" s="2390"/>
      <c r="AA1596" s="2460" t="s">
        <v>3803</v>
      </c>
      <c r="AB1596" s="2197" t="s">
        <v>6553</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3803</v>
      </c>
      <c r="AT1596" s="2197" t="s">
        <v>6553</v>
      </c>
      <c r="AU1596" s="2390"/>
      <c r="AV1596" s="2390"/>
      <c r="AW1596" s="2390"/>
      <c r="AX1596" s="2390"/>
      <c r="AY1596" s="2881"/>
      <c r="AZ1596" s="2881"/>
      <c r="BA1596" s="2929">
        <f>O1509</f>
        <v>0</v>
      </c>
      <c r="BB1596" s="2929">
        <f>O1509</f>
        <v>0</v>
      </c>
      <c r="BC1596" s="2929">
        <f>O1509</f>
        <v>0</v>
      </c>
      <c r="BD1596" s="2929">
        <f>O1509</f>
        <v>0</v>
      </c>
      <c r="BE1596" s="2929">
        <f>O1509</f>
        <v>0</v>
      </c>
      <c r="BF1596" s="2881"/>
      <c r="BG1596" s="2881"/>
      <c r="BH1596" s="2929">
        <f>P1509</f>
        <v>0</v>
      </c>
      <c r="BI1596" s="2929">
        <f>P1509</f>
        <v>0</v>
      </c>
      <c r="BJ1596" s="2929">
        <f>P1509</f>
        <v>0</v>
      </c>
      <c r="BK1596" s="2929">
        <f>P1509</f>
        <v>0</v>
      </c>
      <c r="BL1596" s="2929">
        <f>P1509</f>
        <v>0</v>
      </c>
    </row>
    <row r="1597" spans="1:64" ht="13.8">
      <c r="A1597" s="2396" t="s">
        <v>2514</v>
      </c>
      <c r="B1597" s="2390"/>
      <c r="C1597" s="2390"/>
      <c r="D1597" s="2396"/>
      <c r="E1597" s="2396"/>
      <c r="F1597" s="2390"/>
      <c r="G1597" s="2397" t="s">
        <v>395</v>
      </c>
      <c r="H1597" s="2340">
        <v>2019</v>
      </c>
      <c r="I1597" s="2340" t="s">
        <v>4066</v>
      </c>
      <c r="J1597" s="2390" t="s">
        <v>3337</v>
      </c>
      <c r="K1597" s="2390"/>
      <c r="L1597" s="2396"/>
      <c r="M1597" s="2390"/>
      <c r="N1597" s="2340"/>
      <c r="O1597" s="2392"/>
      <c r="P1597" s="2392"/>
      <c r="Q1597" s="2390"/>
      <c r="R1597" s="2390"/>
      <c r="S1597" s="2390"/>
      <c r="T1597" s="2390"/>
      <c r="U1597" s="2390"/>
      <c r="V1597" s="2390"/>
      <c r="W1597" s="2390"/>
      <c r="X1597" s="2390"/>
      <c r="Y1597" s="2390"/>
      <c r="Z1597" s="2390"/>
      <c r="AA1597" s="2460" t="s">
        <v>6556</v>
      </c>
      <c r="AB1597" s="2197" t="s">
        <v>6554</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6556</v>
      </c>
      <c r="AT1597" s="2197" t="s">
        <v>6554</v>
      </c>
      <c r="AU1597" s="2390"/>
      <c r="AV1597" s="2390"/>
      <c r="AW1597" s="2390"/>
      <c r="AX1597" s="2390"/>
      <c r="AY1597" s="2881"/>
      <c r="AZ1597" s="2929"/>
      <c r="BA1597" s="2929">
        <f>O1516</f>
        <v>6</v>
      </c>
      <c r="BB1597" s="2929">
        <f>O1516</f>
        <v>6</v>
      </c>
      <c r="BC1597" s="2929">
        <f>O1516</f>
        <v>6</v>
      </c>
      <c r="BD1597" s="2929">
        <f>O1516</f>
        <v>6</v>
      </c>
      <c r="BE1597" s="2929">
        <f>O1516</f>
        <v>6</v>
      </c>
      <c r="BF1597" s="2881"/>
      <c r="BG1597" s="2929"/>
      <c r="BH1597" s="2929">
        <f>P1525</f>
        <v>0</v>
      </c>
      <c r="BI1597" s="2929">
        <f>P1525</f>
        <v>0</v>
      </c>
      <c r="BJ1597" s="2929">
        <f>P1525</f>
        <v>0</v>
      </c>
      <c r="BK1597" s="2929">
        <f>P1525</f>
        <v>0</v>
      </c>
      <c r="BL1597" s="2929">
        <f>P1525</f>
        <v>0</v>
      </c>
    </row>
    <row r="1598" spans="1:64" ht="13.8">
      <c r="A1598" s="2390"/>
      <c r="B1598" s="2390"/>
      <c r="C1598" s="2396"/>
      <c r="D1598" s="2390"/>
      <c r="E1598" s="2390"/>
      <c r="F1598" s="2390"/>
      <c r="G1598" s="2397" t="s">
        <v>921</v>
      </c>
      <c r="H1598" s="2340">
        <v>2020</v>
      </c>
      <c r="I1598" s="2340" t="s">
        <v>4066</v>
      </c>
      <c r="J1598" s="2390" t="s">
        <v>3332</v>
      </c>
      <c r="K1598" s="2390"/>
      <c r="L1598" s="2396"/>
      <c r="M1598" s="2390"/>
      <c r="N1598" s="2340"/>
      <c r="O1598" s="2392"/>
      <c r="P1598" s="2392"/>
      <c r="Q1598" s="2390"/>
      <c r="R1598" s="2390"/>
      <c r="S1598" s="2390"/>
      <c r="T1598" s="2390"/>
      <c r="U1598" s="2390"/>
      <c r="V1598" s="2390"/>
      <c r="W1598" s="2390"/>
      <c r="X1598" s="2390"/>
      <c r="Y1598" s="2390"/>
      <c r="Z1598" s="2390"/>
      <c r="AA1598" s="2460" t="s">
        <v>6922</v>
      </c>
      <c r="AB1598" s="2197" t="s">
        <v>6926</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6922</v>
      </c>
      <c r="AT1598" s="2197" t="s">
        <v>6926</v>
      </c>
      <c r="AU1598" s="2390"/>
      <c r="AV1598" s="2390"/>
      <c r="AW1598" s="2390"/>
      <c r="AX1598" s="2390"/>
      <c r="AY1598" s="2881"/>
      <c r="AZ1598" s="2929"/>
      <c r="BA1598" s="2929"/>
      <c r="BB1598" s="2929">
        <f>O1525</f>
        <v>6</v>
      </c>
      <c r="BC1598" s="2929"/>
      <c r="BD1598" s="2929"/>
      <c r="BE1598" s="2929"/>
      <c r="BF1598" s="2881"/>
      <c r="BG1598" s="2929"/>
      <c r="BH1598" s="2929"/>
      <c r="BI1598" s="2929">
        <f>P1525</f>
        <v>0</v>
      </c>
      <c r="BJ1598" s="2929"/>
      <c r="BK1598" s="2929"/>
      <c r="BL1598" s="2929"/>
    </row>
    <row r="1599" spans="1:64" ht="13.8">
      <c r="A1599" s="2390"/>
      <c r="B1599" s="2390"/>
      <c r="C1599" s="2396"/>
      <c r="D1599" s="2390"/>
      <c r="E1599" s="2390"/>
      <c r="F1599" s="2390"/>
      <c r="G1599" s="2397" t="s">
        <v>532</v>
      </c>
      <c r="H1599" s="2340">
        <v>2020</v>
      </c>
      <c r="I1599" s="2340" t="s">
        <v>4066</v>
      </c>
      <c r="J1599" s="2390" t="s">
        <v>3254</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3.8">
      <c r="A1600" s="2390"/>
      <c r="B1600" s="2390"/>
      <c r="C1600" s="2396"/>
      <c r="D1600" s="2390"/>
      <c r="E1600" s="2390"/>
      <c r="F1600" s="2390"/>
      <c r="G1600" s="2397" t="s">
        <v>809</v>
      </c>
      <c r="H1600" s="2340" t="s">
        <v>4067</v>
      </c>
      <c r="I1600" s="2395" t="s">
        <v>2453</v>
      </c>
      <c r="J1600" s="2390" t="s">
        <v>3328</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6244</v>
      </c>
      <c r="AE1600" s="2197"/>
      <c r="AF1600" s="2197"/>
      <c r="AG1600" s="2464">
        <f>'Part VIII Scoring Criteria'!AG449</f>
        <v>0</v>
      </c>
      <c r="AH1600" s="2464">
        <f>'Part VIII Scoring Criteria'!AH449</f>
        <v>91</v>
      </c>
      <c r="AI1600" s="2464">
        <f>'Part VIII Scoring Criteria'!AI449</f>
        <v>55</v>
      </c>
      <c r="AJ1600" s="2464">
        <f>'Part VIII Scoring Criteria'!AJ449</f>
        <v>65</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26</v>
      </c>
      <c r="AZ1600" s="2464">
        <f>'Part VIII Scoring Criteria'!AZ449</f>
        <v>26</v>
      </c>
      <c r="BA1600" s="2464">
        <f>'Part VIII Scoring Criteria'!BA449</f>
        <v>38</v>
      </c>
      <c r="BB1600" s="2464">
        <f>'Part VIII Scoring Criteria'!BB449</f>
        <v>44</v>
      </c>
      <c r="BC1600" s="2464">
        <f>'Part VIII Scoring Criteria'!BC449</f>
        <v>38</v>
      </c>
      <c r="BD1600" s="2464">
        <f>'Part VIII Scoring Criteria'!BD449</f>
        <v>38</v>
      </c>
      <c r="BE1600" s="2464">
        <f>'Part VIII Scoring Criteria'!BE449</f>
        <v>38</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3.8">
      <c r="A1601" s="2390"/>
      <c r="B1601" s="2390"/>
      <c r="C1601" s="2396"/>
      <c r="D1601" s="2390"/>
      <c r="E1601" s="2390"/>
      <c r="F1601" s="2390"/>
      <c r="G1601" s="2397" t="s">
        <v>3019</v>
      </c>
      <c r="H1601" s="2340">
        <v>2019</v>
      </c>
      <c r="I1601" s="2340" t="s">
        <v>4066</v>
      </c>
      <c r="J1601" s="2390" t="s">
        <v>3255</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3.8">
      <c r="A1602" s="2390"/>
      <c r="B1602" s="2390"/>
      <c r="C1602" s="2390"/>
      <c r="D1602" s="2390"/>
      <c r="E1602" s="2390"/>
      <c r="F1602" s="2390"/>
      <c r="G1602" s="2397" t="s">
        <v>764</v>
      </c>
      <c r="H1602" s="2340">
        <v>2019</v>
      </c>
      <c r="I1602" s="2340" t="s">
        <v>4066</v>
      </c>
      <c r="J1602" s="2390" t="s">
        <v>3329</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3.8">
      <c r="A1603" s="2390"/>
      <c r="B1603" s="2390"/>
      <c r="C1603" s="2390"/>
      <c r="D1603" s="2390"/>
      <c r="E1603" s="2390"/>
      <c r="F1603" s="2390"/>
      <c r="G1603" s="2397" t="s">
        <v>172</v>
      </c>
      <c r="H1603" s="2340">
        <v>2019</v>
      </c>
      <c r="I1603" s="2340" t="s">
        <v>4066</v>
      </c>
      <c r="J1603" s="2390" t="s">
        <v>3256</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3.8">
      <c r="A1604" s="2390"/>
      <c r="B1604" s="2390"/>
      <c r="C1604" s="2390"/>
      <c r="D1604" s="2390"/>
      <c r="E1604" s="2390"/>
      <c r="F1604" s="2390"/>
      <c r="G1604" s="2397" t="s">
        <v>3346</v>
      </c>
      <c r="H1604" s="2340" t="s">
        <v>4067</v>
      </c>
      <c r="I1604" s="2395" t="s">
        <v>2453</v>
      </c>
      <c r="J1604" s="2390" t="s">
        <v>3330</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3.8">
      <c r="A1605" s="2390"/>
      <c r="B1605" s="2390"/>
      <c r="C1605" s="2390"/>
      <c r="D1605" s="2390"/>
      <c r="E1605" s="2390"/>
      <c r="F1605" s="2390"/>
      <c r="G1605" s="2397" t="s">
        <v>507</v>
      </c>
      <c r="H1605" s="2340">
        <v>2020</v>
      </c>
      <c r="I1605" s="2340" t="s">
        <v>4066</v>
      </c>
      <c r="J1605" s="2390" t="s">
        <v>3333</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3.8">
      <c r="A1606" s="2390"/>
      <c r="B1606" s="2390"/>
      <c r="C1606" s="2390"/>
      <c r="D1606" s="2390"/>
      <c r="E1606" s="2390"/>
      <c r="F1606" s="2390"/>
      <c r="G1606" s="2397" t="s">
        <v>376</v>
      </c>
      <c r="H1606" s="2340">
        <v>2020</v>
      </c>
      <c r="I1606" s="2340" t="s">
        <v>4066</v>
      </c>
      <c r="J1606" s="2390" t="s">
        <v>3336</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3.8">
      <c r="A1607" s="2390"/>
      <c r="B1607" s="2390"/>
      <c r="C1607" s="2390"/>
      <c r="D1607" s="2399"/>
      <c r="E1607" s="2390"/>
      <c r="F1607" s="2390"/>
      <c r="G1607" s="2397" t="s">
        <v>1349</v>
      </c>
      <c r="H1607" s="2340" t="s">
        <v>4067</v>
      </c>
      <c r="I1607" s="2395" t="s">
        <v>2453</v>
      </c>
      <c r="J1607" s="2390" t="s">
        <v>3257</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3.8">
      <c r="A1608" s="2390"/>
      <c r="B1608" s="2390"/>
      <c r="C1608" s="2390"/>
      <c r="D1608" s="2399"/>
      <c r="E1608" s="2390"/>
      <c r="F1608" s="2390"/>
      <c r="G1608" s="2397" t="s">
        <v>1707</v>
      </c>
      <c r="H1608" s="2340" t="s">
        <v>4067</v>
      </c>
      <c r="I1608" s="2395" t="s">
        <v>2453</v>
      </c>
      <c r="J1608" s="2390" t="s">
        <v>3258</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3.8">
      <c r="A1609" s="2390"/>
      <c r="B1609" s="2390"/>
      <c r="C1609" s="2390"/>
      <c r="D1609" s="2390"/>
      <c r="E1609" s="2390"/>
      <c r="F1609" s="2390"/>
      <c r="G1609" s="2397" t="s">
        <v>1969</v>
      </c>
      <c r="H1609" s="2340">
        <v>2020</v>
      </c>
      <c r="I1609" s="2340" t="s">
        <v>4066</v>
      </c>
      <c r="J1609" s="2390" t="s">
        <v>3331</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3.8">
      <c r="A1610" s="2390"/>
      <c r="B1610" s="2390"/>
      <c r="C1610" s="2390"/>
      <c r="D1610" s="2390"/>
      <c r="E1610" s="2390"/>
      <c r="F1610" s="2390"/>
      <c r="G1610" s="2397" t="s">
        <v>1352</v>
      </c>
      <c r="H1610" s="2340">
        <v>2019</v>
      </c>
      <c r="I1610" s="2340" t="s">
        <v>4066</v>
      </c>
      <c r="J1610" s="2390" t="s">
        <v>3334</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3.8">
      <c r="A1611" s="2390"/>
      <c r="B1611" s="2390"/>
      <c r="C1611" s="2390"/>
      <c r="D1611" s="2390"/>
      <c r="E1611" s="2390"/>
      <c r="F1611" s="2390"/>
      <c r="G1611" s="2397" t="s">
        <v>235</v>
      </c>
      <c r="H1611" s="2340">
        <v>2019</v>
      </c>
      <c r="I1611" s="2340" t="s">
        <v>4066</v>
      </c>
      <c r="J1611" s="2390" t="s">
        <v>3335</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3.8">
      <c r="A1612" s="2390"/>
      <c r="B1612" s="2390"/>
      <c r="C1612" s="2390"/>
      <c r="D1612" s="2390"/>
      <c r="E1612" s="2390"/>
      <c r="F1612" s="2390"/>
      <c r="G1612" s="2397" t="s">
        <v>978</v>
      </c>
      <c r="H1612" s="2340">
        <v>2020</v>
      </c>
      <c r="I1612" s="2340" t="s">
        <v>4066</v>
      </c>
      <c r="J1612" s="2390" t="s">
        <v>3259</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3.8">
      <c r="A1613" s="2390"/>
      <c r="B1613" s="2390"/>
      <c r="C1613" s="2399"/>
      <c r="D1613" s="2390"/>
      <c r="E1613" s="2390"/>
      <c r="F1613" s="2390"/>
      <c r="G1613" s="2397" t="s">
        <v>2096</v>
      </c>
      <c r="H1613" s="2340">
        <v>2020</v>
      </c>
      <c r="I1613" s="2340" t="s">
        <v>4066</v>
      </c>
      <c r="J1613" s="2390" t="s">
        <v>3260</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3.8">
      <c r="A1614" s="2390"/>
      <c r="B1614" s="2390"/>
      <c r="C1614" s="2399"/>
      <c r="D1614" s="2390"/>
      <c r="E1614" s="2390"/>
      <c r="F1614" s="2390"/>
      <c r="G1614" s="2397" t="s">
        <v>4061</v>
      </c>
      <c r="H1614" s="2340" t="s">
        <v>4067</v>
      </c>
      <c r="I1614" s="2395" t="s">
        <v>2453</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3.8">
      <c r="A1615" s="2390"/>
      <c r="B1615" s="2390"/>
      <c r="C1615" s="2399"/>
      <c r="D1615" s="2390"/>
      <c r="E1615" s="2390"/>
      <c r="F1615" s="2390"/>
      <c r="G1615" s="2397" t="s">
        <v>1749</v>
      </c>
      <c r="H1615" s="2340" t="s">
        <v>4067</v>
      </c>
      <c r="I1615" s="2395" t="s">
        <v>2453</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3.8">
      <c r="A1616" s="2390"/>
      <c r="B1616" s="2390"/>
      <c r="C1616" s="2399"/>
      <c r="D1616" s="2390"/>
      <c r="E1616" s="2390"/>
      <c r="F1616" s="2390"/>
      <c r="G1616" s="2397" t="s">
        <v>472</v>
      </c>
      <c r="H1616" s="2340" t="s">
        <v>4067</v>
      </c>
      <c r="I1616" s="2395" t="s">
        <v>2453</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3.8">
      <c r="A1617" s="2390"/>
      <c r="B1617" s="2390"/>
      <c r="C1617" s="2399"/>
      <c r="D1617" s="2390"/>
      <c r="E1617" s="2390"/>
      <c r="F1617" s="2390"/>
      <c r="G1617" s="2397" t="s">
        <v>1951</v>
      </c>
      <c r="H1617" s="2340" t="s">
        <v>4067</v>
      </c>
      <c r="I1617" s="2395" t="s">
        <v>2453</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3.8">
      <c r="A1618" s="2390"/>
      <c r="B1618" s="2390"/>
      <c r="C1618" s="2399"/>
      <c r="D1618" s="2390"/>
      <c r="E1618" s="2390"/>
      <c r="F1618" s="2390"/>
      <c r="G1618" s="2397" t="s">
        <v>2088</v>
      </c>
      <c r="H1618" s="2340">
        <v>2020</v>
      </c>
      <c r="I1618" s="2340" t="s">
        <v>4066</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3.8">
      <c r="A1619" s="2390"/>
      <c r="B1619" s="2390"/>
      <c r="C1619" s="2399"/>
      <c r="D1619" s="2390"/>
      <c r="E1619" s="2390"/>
      <c r="F1619" s="2390"/>
      <c r="G1619" s="2397" t="s">
        <v>1974</v>
      </c>
      <c r="H1619" s="2340">
        <v>2020</v>
      </c>
      <c r="I1619" s="2340" t="s">
        <v>4066</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3.8">
      <c r="A1620" s="2390"/>
      <c r="B1620" s="2390"/>
      <c r="C1620" s="2390"/>
      <c r="D1620" s="2390"/>
      <c r="E1620" s="2390"/>
      <c r="F1620" s="2390"/>
      <c r="G1620" s="2397" t="s">
        <v>2154</v>
      </c>
      <c r="H1620" s="2340">
        <v>2019</v>
      </c>
      <c r="I1620" s="2340" t="s">
        <v>4066</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3.8">
      <c r="A1621" s="2390"/>
      <c r="B1621" s="2390"/>
      <c r="C1621" s="2390"/>
      <c r="D1621" s="2390"/>
      <c r="E1621" s="2390"/>
      <c r="F1621" s="2390"/>
      <c r="G1621" s="2397" t="s">
        <v>4062</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3.8">
      <c r="A1622" s="2390"/>
      <c r="B1622" s="2390"/>
      <c r="C1622" s="2390"/>
      <c r="D1622" s="2390"/>
      <c r="E1622" s="2390"/>
      <c r="F1622" s="2390"/>
      <c r="G1622" s="2397" t="s">
        <v>1574</v>
      </c>
      <c r="H1622" s="2340">
        <v>2019</v>
      </c>
      <c r="I1622" s="2340" t="s">
        <v>4066</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3.8">
      <c r="A1623" s="2390"/>
      <c r="B1623" s="2390"/>
      <c r="C1623" s="2390"/>
      <c r="D1623" s="2390"/>
      <c r="E1623" s="2390"/>
      <c r="F1623" s="2390"/>
      <c r="G1623" s="2397" t="s">
        <v>1577</v>
      </c>
      <c r="H1623" s="2340">
        <v>2020</v>
      </c>
      <c r="I1623" s="2340" t="s">
        <v>4066</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3.8">
      <c r="A1624" s="2390"/>
      <c r="B1624" s="2390"/>
      <c r="C1624" s="2390"/>
      <c r="D1624" s="2390"/>
      <c r="E1624" s="2390"/>
      <c r="F1624" s="2390"/>
      <c r="G1624" s="2397" t="s">
        <v>1582</v>
      </c>
      <c r="H1624" s="2340">
        <v>2020</v>
      </c>
      <c r="I1624" s="2340" t="s">
        <v>4066</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3.8">
      <c r="A1625" s="2390"/>
      <c r="B1625" s="2390"/>
      <c r="C1625" s="2390"/>
      <c r="D1625" s="2390"/>
      <c r="E1625" s="2390"/>
      <c r="F1625" s="2390"/>
      <c r="G1625" s="2397" t="s">
        <v>1590</v>
      </c>
      <c r="H1625" s="2340">
        <v>2020</v>
      </c>
      <c r="I1625" s="2340" t="s">
        <v>4066</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3.8">
      <c r="A1626" s="2390"/>
      <c r="B1626" s="2390"/>
      <c r="C1626" s="2390"/>
      <c r="D1626" s="2390"/>
      <c r="E1626" s="2390"/>
      <c r="F1626" s="2390"/>
      <c r="G1626" s="2397" t="s">
        <v>1591</v>
      </c>
      <c r="H1626" s="2340">
        <v>2019</v>
      </c>
      <c r="I1626" s="2340" t="s">
        <v>4066</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3.8">
      <c r="A1627" s="2390"/>
      <c r="B1627" s="2390"/>
      <c r="C1627" s="2390"/>
      <c r="D1627" s="2390"/>
      <c r="E1627" s="2390"/>
      <c r="F1627" s="2390"/>
      <c r="G1627" s="2397" t="s">
        <v>100</v>
      </c>
      <c r="H1627" s="2340">
        <v>2020</v>
      </c>
      <c r="I1627" s="2340" t="s">
        <v>4066</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3.8">
      <c r="A1628" s="2390"/>
      <c r="B1628" s="2390"/>
      <c r="C1628" s="2390"/>
      <c r="D1628" s="2390"/>
      <c r="E1628" s="2390"/>
      <c r="F1628" s="2390"/>
      <c r="G1628" s="2397" t="s">
        <v>285</v>
      </c>
      <c r="H1628" s="2340">
        <v>2020</v>
      </c>
      <c r="I1628" s="2340" t="s">
        <v>4066</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3.8">
      <c r="A1629" s="2390"/>
      <c r="B1629" s="2390"/>
      <c r="C1629" s="2390"/>
      <c r="D1629" s="2390"/>
      <c r="E1629" s="2390"/>
      <c r="F1629" s="2390"/>
      <c r="G1629" s="2397" t="s">
        <v>1442</v>
      </c>
      <c r="H1629" s="2340" t="s">
        <v>4067</v>
      </c>
      <c r="I1629" s="2395" t="s">
        <v>2453</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3.8">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3.8">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3.8">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3.8">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3.8">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3.8">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3.8">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3.8">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3.8">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3.8">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3.8">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3.8">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3.8">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3.8">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3.8">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3.8">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3.8">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3.8">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3.8">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3.8">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3.8">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3.8">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3.8">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3.8">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3.8">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3.8">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3.8">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3.8">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3.8">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3.8">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3.8">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3.8">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3.8">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3.8">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3.8">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3.8">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3.8">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3.8">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3.8">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3.8">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3.8">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3.8">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3.8">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3.8">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3.8">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3.8">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3.8">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3.8">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3.8">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3.8">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3.8">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3.8">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3.8">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3.8">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3.8">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3.8">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3.8">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3.8">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3.8">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3.8">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3.8">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3.8">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3.8">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3.8">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3.8">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3.8">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3.8">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3.8">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3.8">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3.8">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3.8">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3.8">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3.8">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3.8">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3.8">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3.8">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3.8">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3.8">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3.8">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3.8">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3.8">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3.8">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3.8">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3.8">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3.8">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3.8">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3.8">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3.8">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3.8">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Maile Miller</cp:lastModifiedBy>
  <cp:lastPrinted>2023-04-28T17:11:20Z</cp:lastPrinted>
  <dcterms:created xsi:type="dcterms:W3CDTF">2005-09-15T20:51:37Z</dcterms:created>
  <dcterms:modified xsi:type="dcterms:W3CDTF">2023-10-06T16:43:19Z</dcterms:modified>
</cp:coreProperties>
</file>