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Covington Hwy\Financing - Debt - Equity - Applications\A. Applications\"/>
    </mc:Choice>
  </mc:AlternateContent>
  <xr:revisionPtr revIDLastSave="0" documentId="13_ncr:1_{A878251F-CA44-4126-94E0-8CAEA0E603B3}"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31110" yWindow="2505" windowWidth="22110" windowHeight="12375"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5" i="76" l="1"/>
  <c r="K35" i="76"/>
  <c r="J35" i="76"/>
  <c r="L18" i="76"/>
  <c r="K18" i="76"/>
  <c r="J18" i="76"/>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E31" i="102" l="1"/>
  <c r="E1182" i="103" s="1"/>
  <c r="O1516" i="103"/>
  <c r="P179"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P1228" i="103"/>
  <c r="BG1574" i="103" s="1"/>
  <c r="O1219" i="103"/>
  <c r="O66" i="102"/>
  <c r="O1217" i="103" s="1"/>
  <c r="P66" i="102"/>
  <c r="P1217" i="103" s="1"/>
  <c r="BG1573" i="103" s="1"/>
  <c r="U184" i="103"/>
  <c r="BJ437" i="102"/>
  <c r="BF440" i="102"/>
  <c r="BF432" i="102"/>
  <c r="P1351" i="103"/>
  <c r="BF1583" i="103" s="1"/>
  <c r="R312" i="102"/>
  <c r="O1463" i="103"/>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AH449" i="102" s="1"/>
  <c r="AH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M404" i="102" l="1"/>
  <c r="O404" i="102"/>
  <c r="O1555" i="103" s="1"/>
  <c r="O1157" i="103" s="1"/>
  <c r="E34" i="102"/>
  <c r="C1187" i="103"/>
  <c r="BA449" i="102"/>
  <c r="BA1600" i="103" s="1"/>
  <c r="AI449" i="102"/>
  <c r="AI1600" i="103" s="1"/>
  <c r="AJ449" i="102"/>
  <c r="AJ1600" i="103" s="1"/>
  <c r="BB449" i="102"/>
  <c r="BB1600" i="103" s="1"/>
  <c r="K600"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O6" i="102" l="1"/>
  <c r="Q605" i="103"/>
  <c r="M523" i="103"/>
  <c r="M529" i="103"/>
  <c r="Q607" i="103"/>
  <c r="M618" i="103"/>
  <c r="M526" i="103"/>
  <c r="M535" i="103"/>
  <c r="M517"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K22" i="76"/>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B14" i="87"/>
  <c r="C128" i="74"/>
  <c r="E41" i="87"/>
  <c r="E21" i="87"/>
  <c r="F84" i="92"/>
  <c r="G36" i="74"/>
  <c r="H68" i="74"/>
  <c r="I36" i="74"/>
  <c r="D36" i="74"/>
  <c r="C68" i="74"/>
  <c r="E130" i="74"/>
  <c r="B23" i="87"/>
  <c r="B10" i="87"/>
  <c r="B17" i="87"/>
  <c r="D99" i="74"/>
  <c r="B68" i="74"/>
  <c r="H36" i="74"/>
  <c r="G68" i="74"/>
  <c r="B42" i="87"/>
  <c r="B44" i="87"/>
  <c r="B13" i="87"/>
  <c r="H99" i="74"/>
  <c r="B36" i="87"/>
  <c r="E39" i="87"/>
  <c r="B41" i="87"/>
  <c r="B39" i="87"/>
  <c r="B40" i="87"/>
  <c r="B28" i="87"/>
  <c r="B129" i="74"/>
  <c r="J68" i="74"/>
  <c r="E99" i="74"/>
  <c r="F69" i="74"/>
  <c r="B33" i="87"/>
  <c r="D68" i="74"/>
  <c r="E16" i="87"/>
  <c r="B22"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B27" i="87"/>
  <c r="B20" i="87"/>
  <c r="K65" i="82"/>
  <c r="B30" i="87"/>
  <c r="B11" i="87"/>
  <c r="B25" i="87"/>
  <c r="B34" i="87"/>
  <c r="B26" i="87"/>
  <c r="B43" i="87"/>
  <c r="I739" i="103"/>
  <c r="E739" i="103"/>
  <c r="K739" i="103"/>
  <c r="C771" i="103"/>
  <c r="C739" i="103"/>
  <c r="J739" i="103"/>
  <c r="B739" i="103"/>
  <c r="B44" i="74"/>
  <c r="B751" i="103" s="1"/>
  <c r="F739" i="103"/>
  <c r="E771" i="103"/>
  <c r="G739" i="103"/>
  <c r="F771" i="103"/>
  <c r="D771" i="103"/>
  <c r="H739" i="103"/>
  <c r="D739" i="103"/>
  <c r="B771" i="103"/>
  <c r="J797" i="103"/>
  <c r="B32" i="87"/>
  <c r="B35" i="87"/>
  <c r="B12" i="87"/>
  <c r="B29" i="87"/>
  <c r="B38" i="87"/>
  <c r="B31" i="87"/>
  <c r="C40" i="74"/>
  <c r="D40" i="74" s="1"/>
  <c r="D747" i="103" s="1"/>
  <c r="I75" i="100"/>
  <c r="I77" i="100" s="1"/>
  <c r="G75" i="100"/>
  <c r="G77" i="100" s="1"/>
  <c r="E75" i="100"/>
  <c r="E77" i="100" s="1"/>
  <c r="K75" i="100"/>
  <c r="K77" i="100" s="1"/>
  <c r="C77" i="100"/>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D728" i="103"/>
  <c r="D746" i="103" s="1"/>
  <c r="D39" i="74"/>
  <c r="F728" i="103"/>
  <c r="F746" i="103" s="1"/>
  <c r="F39" i="74"/>
  <c r="C728" i="103"/>
  <c r="C746" i="103" s="1"/>
  <c r="C39" i="74"/>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Q247" i="75"/>
  <c r="C66" i="84"/>
  <c r="E66" i="84" s="1"/>
  <c r="B23" i="74"/>
  <c r="B730" i="103" s="1"/>
  <c r="N235" i="75"/>
  <c r="Q235" i="75"/>
  <c r="Q694" i="103"/>
  <c r="Q682"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I24" i="74"/>
  <c r="J14" i="74"/>
  <c r="I16" i="74"/>
  <c r="I723" i="103" s="1"/>
  <c r="I15" i="74"/>
  <c r="I722" i="103" s="1"/>
  <c r="I21" i="74"/>
  <c r="I728" i="103" l="1"/>
  <c r="I746" i="103" s="1"/>
  <c r="I39" i="74"/>
  <c r="J738" i="103"/>
  <c r="F23" i="74"/>
  <c r="F730" i="103" s="1"/>
  <c r="G751" i="103"/>
  <c r="H44" i="74"/>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738" i="103"/>
  <c r="J53" i="82"/>
  <c r="K14" i="74"/>
  <c r="J24" i="74"/>
  <c r="J15" i="74"/>
  <c r="J722" i="103" s="1"/>
  <c r="J16" i="74"/>
  <c r="J723" i="103" s="1"/>
  <c r="J21" i="74"/>
  <c r="J23" i="74"/>
  <c r="J730" i="103" s="1"/>
  <c r="I17" i="74"/>
  <c r="I724" i="103" s="1"/>
  <c r="H20" i="74"/>
  <c r="H727" i="103" s="1"/>
  <c r="H732" i="103" s="1"/>
  <c r="J728" i="103" l="1"/>
  <c r="J746" i="103" s="1"/>
  <c r="J39" i="74"/>
  <c r="G25" i="74"/>
  <c r="G38" i="74" s="1"/>
  <c r="B33" i="74"/>
  <c r="S21" i="74" s="1"/>
  <c r="H740" i="103"/>
  <c r="H741" i="103"/>
  <c r="H745" i="103"/>
  <c r="F740" i="103"/>
  <c r="F741" i="103"/>
  <c r="F745" i="103"/>
  <c r="B34" i="74"/>
  <c r="B38" i="74"/>
  <c r="G740" i="103"/>
  <c r="G741" i="103"/>
  <c r="G745" i="103"/>
  <c r="E740" i="103"/>
  <c r="E745" i="103"/>
  <c r="E741" i="103"/>
  <c r="D740" i="103"/>
  <c r="D741" i="103"/>
  <c r="D745" i="103"/>
  <c r="B740" i="103"/>
  <c r="B745" i="103"/>
  <c r="B741" i="103"/>
  <c r="H751" i="103"/>
  <c r="I44"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J178" i="78"/>
  <c r="J180" i="78" s="1"/>
  <c r="I20" i="74"/>
  <c r="I727" i="103" s="1"/>
  <c r="I732" i="103" s="1"/>
  <c r="K24" i="74"/>
  <c r="B46" i="74"/>
  <c r="K15" i="74"/>
  <c r="K722" i="103" s="1"/>
  <c r="K16" i="74"/>
  <c r="K723" i="103" s="1"/>
  <c r="K21" i="74"/>
  <c r="K23" i="74"/>
  <c r="K730" i="103" s="1"/>
  <c r="H25" i="74"/>
  <c r="D33" i="86"/>
  <c r="B770" i="103"/>
  <c r="K53" i="82"/>
  <c r="J17" i="74"/>
  <c r="J724" i="103" s="1"/>
  <c r="C9" i="86" l="1"/>
  <c r="C17" i="86" s="1"/>
  <c r="C18" i="86" s="1"/>
  <c r="C20" i="86" s="1"/>
  <c r="C24" i="86" s="1"/>
  <c r="K6" i="86" s="1"/>
  <c r="G66" i="86" s="1"/>
  <c r="N92" i="85" s="1"/>
  <c r="K728" i="103"/>
  <c r="K746" i="103" s="1"/>
  <c r="K39" i="74"/>
  <c r="G34" i="74"/>
  <c r="G44" i="82"/>
  <c r="G51" i="82" s="1"/>
  <c r="G33" i="74"/>
  <c r="H9" i="86" s="1"/>
  <c r="H17" i="86" s="1"/>
  <c r="H18" i="86" s="1"/>
  <c r="H20" i="86" s="1"/>
  <c r="H24" i="86" s="1"/>
  <c r="K11" i="86" s="1"/>
  <c r="C38" i="74"/>
  <c r="C34" i="74"/>
  <c r="I740" i="103"/>
  <c r="I741" i="103"/>
  <c r="I745" i="103"/>
  <c r="C33" i="74"/>
  <c r="D9" i="86" s="1"/>
  <c r="D17" i="86" s="1"/>
  <c r="D18" i="86" s="1"/>
  <c r="D20" i="86" s="1"/>
  <c r="D24" i="86" s="1"/>
  <c r="K7" i="86" s="1"/>
  <c r="E34" i="74"/>
  <c r="E38" i="74"/>
  <c r="F34" i="74"/>
  <c r="F38" i="74"/>
  <c r="D34" i="74"/>
  <c r="D38" i="74"/>
  <c r="H34" i="74"/>
  <c r="H38" i="74"/>
  <c r="C740" i="103"/>
  <c r="C745" i="103"/>
  <c r="C741" i="103"/>
  <c r="I751" i="103"/>
  <c r="J44" i="74"/>
  <c r="E30" i="86"/>
  <c r="E33" i="74"/>
  <c r="F9" i="86" s="1"/>
  <c r="F17" i="86" s="1"/>
  <c r="F18" i="86" s="1"/>
  <c r="F20" i="86" s="1"/>
  <c r="F24" i="86" s="1"/>
  <c r="K9" i="86" s="1"/>
  <c r="D44" i="82"/>
  <c r="D46" i="82" s="1"/>
  <c r="B15" i="82"/>
  <c r="J183" i="78"/>
  <c r="M189" i="78" s="1"/>
  <c r="B72" i="74"/>
  <c r="B779" i="103" s="1"/>
  <c r="E44" i="82"/>
  <c r="E46" i="82" s="1"/>
  <c r="D33" i="74"/>
  <c r="G46" i="82"/>
  <c r="F44" i="82"/>
  <c r="F33" i="74"/>
  <c r="I25" i="74"/>
  <c r="C51" i="82"/>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S22" i="74"/>
  <c r="J740" i="103"/>
  <c r="J745" i="103"/>
  <c r="J741"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5" i="103"/>
  <c r="K741"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K34" i="74"/>
  <c r="K38" i="74"/>
  <c r="B772" i="103"/>
  <c r="B777" i="103"/>
  <c r="B773" i="103"/>
  <c r="B783" i="103"/>
  <c r="C76"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E66" i="74"/>
  <c r="E70"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G772" i="103"/>
  <c r="G773" i="103"/>
  <c r="G777"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H772" i="103"/>
  <c r="H773" i="103"/>
  <c r="H777"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7"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4" i="103"/>
  <c r="D808"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101" i="74"/>
  <c r="D97"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8" i="103"/>
  <c r="K804"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<sst xmlns="http://schemas.openxmlformats.org/spreadsheetml/2006/main" count="19333" uniqueCount="7128">
  <si>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</si>
  <si>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</si>
  <si>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</si>
  <si>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</si>
  <si>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</si>
  <si>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</si>
  <si>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</si>
  <si>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</si>
  <si>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</si>
  <si>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</si>
  <si>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</si>
  <si>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</si>
  <si>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</si>
  <si>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</si>
  <si>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</si>
  <si>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</si>
  <si>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</si>
  <si>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</si>
  <si>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</si>
  <si>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</si>
  <si>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</si>
  <si>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</si>
  <si>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</si>
  <si>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</si>
  <si>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</si>
  <si>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</si>
  <si>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</si>
  <si>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</si>
  <si>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</si>
  <si>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</si>
  <si>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</si>
  <si>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</si>
  <si>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</si>
  <si>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</si>
  <si>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</si>
  <si>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</si>
  <si>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</si>
  <si>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</si>
  <si>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</si>
  <si>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</si>
  <si>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</si>
  <si>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</si>
  <si>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</si>
  <si>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</si>
  <si>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</si>
  <si>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</si>
  <si>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</si>
  <si>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</si>
  <si>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</si>
  <si>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</si>
  <si>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</si>
  <si>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</si>
  <si>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</si>
  <si>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</si>
  <si>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</si>
  <si>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</si>
  <si>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</si>
  <si>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</si>
  <si>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</si>
  <si>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</si>
  <si>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</si>
  <si>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</si>
  <si>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</si>
  <si>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</si>
  <si>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</si>
  <si>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</si>
  <si>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</si>
  <si>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</si>
  <si>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</si>
  <si>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</si>
  <si>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</si>
  <si>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</si>
  <si>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</si>
  <si>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</si>
  <si>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</si>
  <si>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</si>
  <si>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</si>
  <si>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</si>
  <si>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</si>
  <si>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</si>
  <si>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</si>
  <si>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</si>
  <si>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</si>
  <si>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</si>
  <si>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</si>
  <si>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</si>
  <si>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</si>
  <si>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</si>
  <si>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</si>
  <si>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</si>
  <si>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</si>
  <si>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</si>
  <si>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</si>
  <si>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</si>
  <si>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</si>
  <si>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</si>
  <si>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</si>
  <si>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</si>
  <si>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</si>
  <si>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</si>
  <si>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</si>
  <si>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</si>
  <si>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</si>
  <si>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</si>
  <si>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</si>
  <si>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</si>
  <si>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</si>
  <si>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</si>
  <si>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</si>
  <si>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</si>
  <si>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</si>
  <si>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</si>
  <si>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</si>
  <si>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</si>
  <si>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</si>
  <si>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</si>
  <si>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</si>
  <si>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</si>
  <si>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</si>
  <si>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</si>
  <si>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</si>
  <si>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</si>
  <si>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</si>
  <si>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</si>
  <si>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</si>
  <si>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</si>
  <si>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</si>
  <si>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</si>
  <si>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</si>
  <si>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</si>
  <si>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</si>
  <si>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</si>
  <si>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</si>
  <si>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</si>
  <si>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</si>
  <si>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</si>
  <si>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</si>
  <si>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</si>
  <si>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</si>
  <si>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</si>
  <si>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</si>
  <si>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</si>
  <si>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</si>
  <si>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</si>
  <si>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</si>
  <si>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</si>
  <si>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</si>
  <si>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</si>
  <si>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</si>
  <si>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</si>
  <si>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</si>
  <si>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</si>
  <si>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</si>
  <si>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</si>
  <si>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</si>
  <si>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</si>
  <si>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</si>
  <si>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</si>
  <si>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</si>
  <si>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</si>
  <si>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</si>
  <si>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</si>
  <si>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</si>
  <si>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</si>
  <si>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</si>
  <si>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</si>
  <si>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</si>
  <si>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</si>
  <si>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</si>
  <si>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</si>
  <si>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</si>
  <si>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</si>
  <si>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</si>
  <si>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</si>
  <si>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</si>
  <si>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</si>
  <si>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</si>
  <si>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</si>
  <si>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</si>
  <si>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</si>
  <si>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</si>
  <si>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</si>
  <si>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</si>
  <si>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</si>
  <si>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</si>
  <si>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</si>
  <si>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</si>
  <si>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</si>
  <si>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</si>
  <si>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</si>
  <si>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</si>
  <si>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</si>
  <si>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</si>
  <si>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</si>
  <si>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</si>
  <si>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</si>
  <si>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</si>
  <si>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</si>
  <si>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</si>
  <si>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</si>
  <si>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</si>
  <si>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</si>
  <si>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</si>
  <si>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</si>
  <si>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</si>
  <si>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</si>
  <si>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</si>
  <si>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</si>
  <si>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</si>
  <si>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</si>
  <si>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</si>
  <si>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</si>
  <si>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</si>
  <si>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</si>
  <si>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</si>
  <si>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</si>
  <si>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</si>
  <si>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</si>
  <si>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</si>
  <si>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</si>
  <si>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</si>
  <si>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</si>
  <si>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</si>
  <si>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</si>
  <si>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</si>
  <si>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</si>
  <si>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</si>
  <si>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</si>
  <si>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</si>
  <si>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</si>
  <si>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</si>
  <si>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</si>
  <si>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</si>
  <si>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</si>
  <si>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</si>
  <si>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</si>
  <si>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</si>
  <si>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</si>
  <si>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</si>
  <si>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</si>
  <si>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</si>
  <si>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</si>
  <si>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</si>
  <si>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</si>
  <si>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</si>
  <si>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</si>
  <si>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</si>
  <si>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</si>
  <si>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</si>
  <si>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</si>
  <si>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</si>
  <si>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</si>
  <si>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</si>
  <si>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</si>
  <si>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</si>
  <si>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</si>
  <si>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</si>
  <si>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</si>
  <si>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</si>
  <si>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</si>
  <si>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</si>
  <si>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</si>
  <si>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</si>
  <si>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</si>
  <si>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</si>
  <si>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</si>
  <si>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</si>
  <si>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</si>
  <si>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</si>
  <si>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</si>
  <si>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</si>
  <si>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</si>
  <si>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</si>
  <si>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</si>
  <si>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</si>
  <si>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</si>
  <si>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</si>
  <si>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</si>
  <si>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</si>
  <si>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</si>
  <si>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</si>
  <si>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</si>
  <si>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</si>
  <si>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</si>
  <si>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</si>
  <si>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</si>
  <si>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</si>
  <si>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</si>
  <si>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</si>
  <si>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</si>
  <si>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</si>
  <si>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</si>
  <si>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</si>
  <si>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</si>
  <si>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</si>
  <si>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</si>
  <si>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</si>
  <si>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</si>
  <si>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</si>
  <si>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</si>
  <si>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</si>
  <si>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</si>
  <si>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</si>
  <si>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</si>
  <si>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</si>
  <si>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</si>
  <si>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</si>
  <si>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</si>
  <si>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</si>
  <si>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</si>
  <si>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</si>
  <si>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</si>
  <si>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</si>
  <si>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</si>
  <si>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</si>
  <si>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</si>
  <si>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</si>
  <si>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</si>
  <si>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</si>
  <si>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</si>
  <si>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</si>
  <si>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</si>
  <si>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</si>
  <si>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</si>
  <si>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</si>
  <si>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</si>
  <si>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</si>
  <si>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</si>
  <si>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</si>
  <si>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</si>
  <si>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</si>
  <si>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</si>
  <si>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</si>
  <si>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</si>
  <si>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</si>
  <si>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</si>
  <si>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</si>
  <si>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</si>
  <si>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</si>
  <si>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</si>
  <si>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</si>
  <si>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</si>
  <si>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</si>
  <si>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</si>
  <si>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</si>
  <si>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</si>
  <si>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</si>
  <si>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</si>
  <si>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</si>
  <si>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</si>
  <si>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</si>
  <si>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</si>
  <si>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</si>
  <si>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</si>
  <si>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</si>
  <si>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</si>
  <si>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</si>
  <si>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</si>
  <si>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</si>
  <si>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</si>
  <si>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</si>
  <si>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</si>
  <si>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</si>
  <si>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</si>
  <si>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</si>
  <si>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</si>
  <si>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</si>
  <si>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</si>
  <si>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</si>
  <si>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</si>
  <si>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</si>
  <si>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</si>
  <si>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</si>
  <si>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</si>
  <si>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</si>
  <si>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</si>
  <si>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</si>
  <si>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</si>
  <si>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</si>
  <si>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</si>
  <si>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</si>
  <si>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</si>
  <si>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</si>
  <si>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</si>
  <si>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</si>
  <si>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</si>
  <si>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</si>
  <si>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</si>
  <si>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</si>
  <si>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</si>
  <si>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</si>
  <si>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</si>
  <si>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</si>
  <si>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</si>
  <si>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</si>
  <si>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</si>
  <si>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</si>
  <si>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</si>
  <si>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</si>
  <si>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</si>
  <si>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</si>
  <si>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</si>
  <si>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</si>
  <si>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</si>
  <si>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</si>
  <si>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</si>
  <si>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</si>
  <si>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</si>
  <si>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</si>
  <si>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</si>
  <si>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</si>
  <si>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</si>
  <si>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</si>
  <si>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</si>
  <si>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</si>
  <si>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</si>
  <si>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</si>
  <si>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</si>
  <si>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</si>
  <si>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</si>
  <si>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</si>
  <si>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</si>
  <si>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</si>
  <si>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</si>
  <si>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</si>
  <si>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</si>
  <si>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</si>
  <si>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</si>
  <si>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</si>
  <si>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</si>
  <si>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</si>
  <si>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</si>
  <si>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</si>
  <si>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</si>
  <si>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</si>
  <si>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</si>
  <si>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</si>
  <si>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</si>
  <si>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</si>
  <si>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</si>
  <si>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</si>
  <si>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</si>
  <si>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</si>
  <si>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</si>
  <si>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</si>
  <si>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</si>
  <si>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</si>
  <si>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</si>
  <si>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</si>
  <si>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</si>
  <si>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</si>
  <si>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</si>
  <si>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</si>
  <si>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</si>
  <si>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</si>
  <si>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</si>
  <si>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</si>
  <si>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</si>
  <si>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</si>
  <si>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</si>
  <si>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</si>
  <si>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</si>
  <si>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</si>
  <si>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</si>
  <si>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</si>
  <si>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</si>
  <si>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</si>
  <si>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</si>
  <si>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</si>
  <si>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</si>
  <si>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</si>
  <si>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</si>
  <si>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</si>
  <si>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</si>
  <si>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</si>
  <si>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</si>
  <si>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</si>
  <si>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</si>
  <si>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</si>
  <si>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</si>
  <si>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</si>
  <si>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</si>
  <si>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</si>
  <si>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</si>
  <si>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</si>
  <si>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</si>
  <si>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</si>
  <si>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</si>
  <si>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</si>
  <si>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</si>
  <si>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</si>
  <si>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</si>
  <si>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</si>
  <si>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</si>
  <si>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</si>
  <si>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</si>
  <si>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</si>
  <si>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</si>
  <si>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</si>
  <si>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</si>
  <si>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</si>
  <si>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</si>
  <si>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</si>
  <si>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</si>
  <si>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</si>
  <si>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</si>
  <si>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</si>
  <si>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</si>
  <si>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</si>
  <si>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</si>
  <si>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</si>
  <si>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</si>
  <si>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</si>
  <si>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</si>
  <si>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</si>
  <si>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</si>
  <si>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</si>
  <si>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</si>
  <si>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</si>
  <si>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</si>
  <si>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</si>
  <si>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</si>
  <si>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</si>
  <si>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</si>
  <si>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</si>
  <si>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</si>
  <si>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</si>
  <si>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</si>
  <si>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</si>
  <si>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</si>
  <si>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</si>
  <si>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</si>
  <si>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</si>
  <si>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</si>
  <si>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</si>
  <si>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</si>
  <si>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</si>
  <si>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</si>
  <si>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</si>
  <si>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</si>
  <si>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</si>
  <si>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</si>
  <si>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</si>
  <si>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</si>
  <si>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</si>
  <si>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</si>
  <si>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</si>
  <si>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</si>
  <si>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</si>
  <si>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</si>
  <si>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</si>
  <si>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</si>
  <si>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</si>
  <si>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</si>
  <si>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</si>
  <si>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</si>
  <si>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</si>
  <si>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</si>
  <si>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</si>
  <si>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</si>
  <si>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</si>
  <si>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</si>
  <si>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</si>
  <si>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</si>
  <si>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</si>
  <si>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</si>
  <si>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</si>
  <si>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</si>
  <si>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</si>
  <si>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</si>
  <si>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</si>
  <si>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</si>
  <si>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</si>
  <si>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</si>
  <si>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</si>
  <si>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</si>
  <si>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</si>
  <si>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</si>
  <si>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</si>
  <si>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</si>
  <si>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</si>
  <si>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</si>
  <si>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</si>
  <si>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</si>
  <si>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</si>
  <si>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</si>
  <si>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</si>
  <si>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</si>
  <si>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</si>
  <si>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</si>
  <si>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</si>
  <si>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</si>
  <si>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</si>
  <si>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</si>
  <si>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</si>
  <si>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</si>
  <si>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</si>
  <si>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</si>
  <si>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</si>
  <si>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</si>
  <si>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</si>
  <si>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</si>
  <si>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</si>
  <si>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</si>
  <si>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</si>
  <si>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</si>
  <si>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</si>
  <si>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</si>
  <si>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</si>
  <si>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</si>
  <si>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</si>
  <si>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</si>
  <si>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</si>
  <si>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</si>
  <si>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</si>
  <si>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</si>
  <si>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</si>
  <si>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</si>
  <si>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</si>
  <si>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</si>
  <si>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</si>
  <si>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</si>
  <si>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</si>
  <si>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</si>
  <si>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</si>
  <si>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</si>
  <si>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</si>
  <si>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</si>
  <si>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</si>
  <si>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</si>
  <si>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</si>
  <si>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</si>
  <si>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</si>
  <si>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</si>
  <si>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</si>
  <si>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</si>
  <si>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</si>
  <si>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</si>
  <si>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</si>
  <si>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</si>
  <si>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</si>
  <si>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</si>
  <si>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</si>
  <si>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</si>
  <si>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</si>
  <si>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</si>
  <si>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</si>
  <si>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</si>
  <si>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</si>
  <si>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</si>
  <si>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</si>
  <si>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</si>
  <si>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</si>
  <si>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</si>
  <si>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</si>
  <si>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</si>
  <si>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</si>
  <si>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</si>
  <si>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</si>
  <si>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</si>
  <si>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</si>
  <si>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</si>
  <si>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</si>
  <si>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</si>
  <si>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</si>
  <si>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</si>
  <si>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</si>
  <si>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</si>
  <si>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</si>
  <si>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</si>
  <si>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</si>
  <si>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</si>
  <si>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</si>
  <si>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</si>
  <si>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</si>
  <si>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</si>
  <si>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</si>
  <si>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</si>
  <si>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</si>
  <si>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</si>
  <si>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</si>
  <si>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</si>
  <si>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</si>
  <si>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</si>
  <si>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</si>
  <si>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</si>
  <si>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</si>
  <si>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</si>
  <si>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</si>
  <si>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</si>
  <si>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</si>
  <si>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</si>
  <si>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</si>
  <si>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</si>
  <si>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</si>
  <si>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</si>
  <si>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</si>
  <si>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</si>
  <si>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</si>
  <si>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</si>
  <si>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</si>
  <si>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</si>
  <si>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</si>
  <si>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</si>
  <si>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</si>
  <si>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</si>
  <si>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</si>
  <si>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</si>
  <si>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</si>
  <si>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</si>
  <si>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</si>
  <si>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</si>
  <si>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</si>
  <si>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</si>
  <si>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</si>
  <si>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</si>
  <si>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</si>
  <si>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</si>
  <si>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</si>
  <si>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</si>
  <si>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</si>
  <si>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</si>
  <si>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</si>
  <si>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</si>
  <si>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</si>
  <si>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</si>
  <si>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</si>
  <si>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</si>
  <si>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</si>
  <si>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</si>
  <si>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</si>
  <si>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</si>
  <si>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</si>
  <si>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</si>
  <si>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</si>
  <si>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</si>
  <si>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</si>
  <si>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</si>
  <si>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</si>
  <si>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</si>
  <si>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</si>
  <si>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</si>
  <si>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</si>
  <si>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</si>
  <si>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</si>
  <si>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</si>
  <si>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</si>
  <si>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</si>
  <si>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</si>
  <si>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</si>
  <si>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</si>
  <si>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</si>
  <si>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</si>
  <si>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</si>
  <si>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</si>
  <si>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</si>
  <si>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</si>
  <si>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</si>
  <si>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</si>
  <si>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</si>
  <si>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</si>
  <si>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</si>
  <si>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</si>
  <si>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</si>
  <si>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</si>
  <si>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</si>
  <si>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</si>
  <si>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</si>
  <si>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</si>
  <si>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</si>
  <si>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</si>
  <si>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</si>
  <si>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</si>
  <si>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</si>
  <si>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</si>
  <si>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</si>
  <si>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</si>
  <si>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</si>
  <si>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</si>
  <si>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</si>
  <si>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</si>
  <si>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</si>
  <si>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</si>
  <si>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</si>
  <si>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</si>
  <si>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</si>
  <si>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</si>
  <si>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</si>
  <si>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</si>
  <si>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</si>
  <si>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</si>
  <si>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</si>
  <si>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</si>
  <si>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</si>
  <si>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</si>
  <si>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</si>
  <si>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</si>
  <si>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</si>
  <si>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</si>
  <si>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</si>
  <si>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</si>
  <si>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</si>
  <si>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</si>
  <si>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</si>
  <si>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</si>
  <si>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</si>
  <si>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</si>
  <si>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</si>
  <si>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</si>
  <si>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</si>
  <si>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</si>
  <si>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</si>
  <si>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</si>
  <si>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</si>
  <si>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</si>
  <si>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</si>
  <si>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</si>
  <si>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</si>
  <si>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</si>
  <si>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</si>
  <si>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</si>
  <si>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</si>
  <si>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</si>
  <si>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</si>
  <si>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</si>
  <si>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</si>
  <si>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</si>
  <si>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</si>
  <si>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</si>
  <si>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</si>
  <si>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</si>
  <si>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</si>
  <si>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</si>
  <si>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</si>
  <si>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</si>
  <si>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</si>
  <si>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</si>
  <si>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</si>
  <si>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</si>
  <si>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</si>
  <si>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</si>
  <si>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</si>
  <si>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</si>
  <si>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</si>
  <si>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</si>
  <si>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</si>
  <si>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</si>
  <si>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</si>
  <si>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</si>
  <si>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</si>
  <si>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</si>
  <si>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</si>
  <si>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</si>
  <si>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</si>
  <si>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</si>
  <si>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</si>
  <si>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</si>
  <si>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</si>
  <si>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</si>
  <si>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</si>
  <si>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</si>
  <si>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</si>
  <si>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</si>
  <si>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</si>
  <si>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</si>
  <si>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</si>
  <si>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</si>
  <si>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</si>
  <si>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</si>
  <si>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</si>
  <si>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</si>
  <si>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</si>
  <si>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</si>
  <si>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</si>
  <si>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</si>
  <si>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</si>
  <si>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</si>
  <si>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</si>
  <si>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</si>
  <si>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</si>
  <si>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</si>
  <si>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</si>
  <si>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</si>
  <si>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</si>
  <si>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</si>
  <si>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</si>
  <si>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</si>
  <si>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</si>
  <si>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</si>
  <si>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</si>
  <si>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</si>
  <si>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</si>
  <si>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</si>
  <si>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</si>
  <si>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</si>
  <si>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</si>
  <si>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</si>
  <si>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</si>
  <si>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</si>
  <si>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</si>
  <si>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</si>
  <si>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</si>
  <si>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</si>
  <si>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</si>
  <si>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</si>
  <si>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</si>
  <si>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</si>
  <si>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</si>
  <si>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</si>
  <si>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</si>
  <si>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</si>
  <si>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</si>
  <si>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</si>
  <si>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</si>
  <si>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</si>
  <si>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</si>
  <si>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</si>
  <si>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</si>
  <si>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</si>
  <si>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</si>
  <si>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</si>
  <si>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</si>
  <si>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</si>
  <si>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</si>
  <si>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</si>
  <si>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</si>
  <si>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</si>
  <si>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</si>
  <si>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</si>
  <si>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</si>
  <si>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</si>
  <si>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</si>
  <si>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</si>
  <si>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</si>
  <si>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</si>
  <si>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</si>
  <si>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</si>
  <si>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</si>
  <si>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</si>
  <si>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</si>
  <si>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</si>
  <si>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</si>
  <si>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</si>
  <si>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</si>
  <si>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</si>
  <si>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</si>
  <si>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</si>
  <si>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</si>
  <si>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</si>
  <si>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</si>
  <si>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</si>
  <si>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</si>
  <si>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</si>
  <si>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</si>
  <si>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</si>
  <si>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</si>
  <si>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</si>
  <si>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</si>
  <si>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</si>
  <si>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</si>
  <si>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</si>
  <si>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</si>
  <si>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</si>
  <si>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</si>
  <si>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</si>
  <si>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</si>
  <si>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</si>
  <si>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</si>
  <si>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</si>
  <si>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</si>
  <si>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</si>
  <si>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</si>
  <si>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</si>
  <si>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</si>
  <si>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</si>
  <si>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</si>
  <si>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</si>
  <si>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</si>
  <si>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</si>
  <si>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</si>
  <si>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</si>
  <si>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</si>
  <si>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</si>
  <si>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</si>
  <si>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</si>
  <si>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</si>
  <si>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</si>
  <si>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</si>
  <si>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</si>
  <si>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</si>
  <si>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</si>
  <si>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</si>
  <si>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</si>
  <si>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</si>
  <si>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</si>
  <si>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</si>
  <si>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</si>
  <si>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</si>
  <si>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</si>
  <si>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</si>
  <si>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</si>
  <si>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</si>
  <si>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</si>
  <si>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</si>
  <si>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</si>
  <si>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</si>
  <si>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</si>
  <si>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</si>
  <si>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</si>
  <si>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</si>
  <si>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</si>
  <si>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</si>
  <si>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</si>
  <si>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</si>
  <si>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</si>
  <si>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</si>
  <si>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</si>
  <si>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</si>
  <si>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</si>
  <si>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</si>
  <si>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</si>
  <si>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</si>
  <si>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</si>
  <si>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</si>
  <si>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</si>
  <si>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</si>
  <si>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</si>
  <si>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</si>
  <si>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</si>
  <si>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</si>
  <si>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</si>
  <si>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</si>
  <si>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</si>
  <si>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</si>
  <si>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</si>
  <si>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</si>
  <si>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</si>
  <si>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</si>
  <si>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</si>
  <si>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</si>
  <si>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</si>
  <si>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</si>
  <si>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</si>
  <si>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</si>
  <si>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</si>
  <si>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</si>
  <si>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</si>
  <si>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</si>
  <si>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</si>
  <si>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</si>
  <si>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</si>
  <si>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</si>
  <si>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</si>
  <si>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</si>
  <si>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</si>
  <si>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</si>
  <si>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</si>
  <si>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</si>
  <si>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</si>
  <si>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</si>
  <si>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</si>
  <si>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</si>
  <si>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</si>
  <si>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</si>
  <si>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</si>
  <si>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</si>
  <si>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</si>
  <si>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</si>
  <si>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</si>
  <si>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</si>
  <si>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</si>
  <si>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</si>
  <si>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</si>
  <si>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</si>
  <si>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</si>
  <si>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</si>
  <si>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</si>
  <si>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</si>
  <si>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</si>
  <si>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</si>
  <si>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</si>
  <si>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</si>
  <si>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</si>
  <si>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</si>
  <si>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</si>
  <si>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</si>
  <si>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</si>
  <si>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</si>
  <si>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</si>
  <si>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</si>
  <si>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</si>
  <si>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</si>
  <si>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</si>
  <si>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</si>
  <si>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</si>
  <si>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</si>
  <si>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</si>
  <si>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</si>
  <si>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</si>
  <si>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</si>
  <si>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</si>
  <si>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</si>
  <si>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</si>
  <si>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</si>
  <si>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</si>
  <si>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</si>
  <si>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</si>
  <si>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</si>
  <si>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</si>
  <si>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</si>
  <si>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</si>
  <si>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</si>
  <si>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</si>
  <si>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</si>
  <si>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</si>
  <si>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</si>
  <si>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</si>
  <si>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</si>
  <si>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</si>
  <si>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</si>
  <si>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</si>
  <si>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</si>
  <si>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</si>
  <si>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</si>
  <si>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</si>
  <si>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</si>
  <si>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</si>
  <si>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</si>
  <si>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</si>
  <si>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</si>
  <si>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</si>
  <si>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</si>
  <si>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</si>
  <si>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</si>
  <si>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</si>
  <si>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</si>
  <si>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</si>
  <si>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</si>
  <si>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</si>
  <si>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</si>
  <si>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</si>
  <si>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</si>
  <si>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</si>
  <si>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</si>
  <si>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</si>
  <si>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</si>
  <si>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</si>
  <si>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</si>
  <si>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</si>
  <si>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</si>
  <si>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</si>
  <si>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</si>
  <si>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</si>
  <si>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</si>
  <si>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</si>
  <si>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</si>
  <si>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</si>
  <si>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</si>
  <si>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</si>
  <si>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</si>
  <si>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</si>
  <si>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</si>
  <si>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</si>
  <si>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</si>
  <si>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</si>
  <si>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</si>
  <si>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</si>
  <si>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</si>
  <si>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</si>
  <si>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</si>
  <si>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</si>
  <si>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</si>
  <si>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</si>
  <si>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</si>
  <si>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</si>
  <si>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</si>
  <si>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</si>
  <si>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</si>
  <si>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</si>
  <si>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</si>
  <si>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</si>
  <si>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</si>
  <si>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</si>
  <si>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</si>
  <si>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</si>
  <si>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</si>
  <si>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</si>
  <si>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</si>
  <si>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</si>
  <si>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</si>
  <si>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</si>
  <si>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</si>
  <si>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</si>
  <si>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</si>
  <si>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</si>
  <si>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</si>
  <si>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</si>
  <si>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</si>
  <si>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</si>
  <si>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</si>
  <si>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</si>
  <si>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</si>
  <si>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</si>
  <si>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</si>
  <si>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</si>
  <si>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</si>
  <si>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</si>
  <si>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</si>
  <si>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</si>
  <si>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</si>
  <si>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</si>
  <si>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</si>
  <si>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</si>
  <si>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</si>
  <si>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</si>
  <si>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</si>
  <si>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</si>
  <si>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</si>
  <si>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</si>
  <si>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</si>
  <si>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</si>
  <si>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</si>
  <si>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</si>
  <si>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</si>
  <si>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</si>
  <si>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</si>
  <si>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</si>
  <si>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</si>
  <si>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</si>
  <si>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</si>
  <si>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</si>
  <si>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</si>
  <si>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</si>
  <si>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</si>
  <si>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</si>
  <si>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</si>
  <si>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</si>
  <si>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</si>
  <si>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</si>
  <si>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</si>
  <si>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</si>
  <si>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</si>
  <si>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</si>
  <si>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</si>
  <si>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</si>
  <si>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</si>
  <si>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</si>
  <si>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</si>
  <si>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</si>
  <si>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</si>
  <si>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</si>
  <si>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</si>
  <si>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</si>
  <si>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</si>
  <si>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</si>
  <si>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</si>
  <si>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</si>
  <si>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</si>
  <si>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</si>
  <si>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</si>
  <si>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</si>
  <si>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</si>
  <si>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</si>
  <si>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</si>
  <si>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</si>
  <si>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</si>
  <si>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</si>
  <si>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</si>
  <si>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</si>
  <si>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</si>
  <si>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</si>
  <si>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</si>
  <si>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</si>
  <si>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</si>
  <si>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</si>
  <si>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</si>
  <si>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</si>
  <si>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</si>
  <si>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</si>
  <si>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</si>
  <si>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</si>
  <si>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</si>
  <si>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</si>
  <si>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</si>
  <si>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</si>
  <si>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</si>
  <si>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</si>
  <si>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</si>
  <si>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</si>
  <si>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</si>
  <si>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</si>
  <si>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</si>
  <si>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</si>
  <si>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</si>
  <si>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</si>
  <si>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</si>
  <si>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</si>
  <si>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</si>
  <si>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</si>
  <si>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</si>
  <si>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</si>
  <si>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</si>
  <si>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</si>
  <si>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</si>
  <si>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</si>
  <si>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</si>
  <si>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</si>
  <si>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</si>
  <si>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</si>
  <si>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</si>
  <si>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</si>
  <si>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</si>
  <si>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</si>
  <si>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</si>
  <si>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</si>
  <si>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</si>
  <si>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</si>
  <si>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</si>
  <si>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</si>
  <si>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</si>
  <si>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</si>
  <si>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</si>
  <si>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</si>
  <si>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</si>
  <si>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</si>
  <si>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</si>
  <si>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</si>
  <si>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</si>
  <si>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</si>
  <si>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</si>
  <si>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</si>
  <si>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</si>
  <si>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</si>
  <si>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</si>
  <si>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</si>
  <si>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</si>
  <si>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</si>
  <si>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</si>
  <si>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</si>
  <si>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</si>
  <si>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</si>
  <si>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</si>
  <si>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</si>
  <si>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</si>
  <si>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</si>
  <si>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</si>
  <si>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</si>
  <si>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</si>
  <si>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</si>
  <si>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</si>
  <si>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</si>
  <si>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</si>
  <si>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</si>
  <si>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</si>
  <si>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</si>
  <si>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</si>
  <si>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</si>
  <si>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</si>
  <si>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</si>
  <si>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</si>
  <si>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</si>
  <si>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</si>
  <si>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</si>
  <si>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</si>
  <si>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</si>
  <si>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</si>
  <si>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</si>
  <si>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</si>
  <si>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</si>
  <si>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</si>
  <si>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</si>
  <si>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</si>
  <si>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</si>
  <si>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</si>
  <si>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</si>
  <si>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</si>
  <si>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</si>
  <si>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</si>
  <si>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</si>
  <si>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</si>
  <si>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</si>
  <si>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</si>
  <si>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</si>
  <si>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</si>
  <si>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</si>
  <si>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</si>
  <si>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</si>
  <si>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</si>
  <si>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</si>
  <si>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</si>
  <si>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</si>
  <si>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</si>
  <si>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</si>
  <si>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</si>
  <si>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</si>
  <si>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</si>
  <si>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</si>
  <si>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</si>
  <si>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</si>
  <si>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</si>
  <si>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</si>
  <si>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</si>
  <si>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</si>
  <si>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</si>
  <si>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</si>
  <si>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</si>
  <si>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</si>
  <si>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</si>
  <si>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</si>
  <si>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</si>
  <si>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</si>
  <si>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</si>
  <si>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</si>
  <si>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</si>
  <si>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</si>
  <si>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</si>
  <si>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</si>
  <si>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</si>
  <si>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</si>
  <si>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</si>
  <si>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</si>
  <si>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</si>
  <si>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</si>
  <si>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</si>
  <si>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</si>
  <si>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</si>
  <si>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</si>
  <si>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</si>
  <si>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</si>
  <si>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</si>
  <si>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</si>
  <si>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</si>
  <si>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</si>
  <si>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</si>
  <si>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</si>
  <si>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</si>
  <si>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</si>
  <si>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</si>
  <si>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</si>
  <si>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</si>
  <si>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</si>
  <si>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</si>
  <si>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</si>
  <si>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</si>
  <si>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</si>
  <si>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</si>
  <si>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</si>
  <si>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</si>
  <si>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</si>
  <si>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</si>
  <si>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</si>
  <si>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</si>
  <si>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</si>
  <si>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</si>
  <si>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</si>
  <si>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</si>
  <si>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</si>
  <si>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</si>
  <si>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</si>
  <si>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</si>
  <si>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</si>
  <si>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</si>
  <si>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</si>
  <si>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</si>
  <si>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</si>
  <si>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</si>
  <si>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</si>
  <si>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</si>
  <si>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</si>
  <si>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</si>
  <si>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</si>
  <si>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</si>
  <si>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</si>
  <si>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</si>
  <si>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</si>
  <si>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</si>
  <si>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</si>
  <si>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</si>
  <si>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</si>
  <si>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</si>
  <si>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</si>
  <si>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</si>
  <si>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</si>
  <si>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</si>
  <si>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</si>
  <si>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</si>
  <si>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</si>
  <si>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</si>
  <si>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</si>
  <si>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</si>
  <si>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</si>
  <si>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</si>
  <si>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</si>
  <si>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</si>
  <si>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</si>
  <si>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</si>
  <si>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</si>
  <si>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</si>
  <si>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</si>
  <si>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</si>
  <si>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</si>
  <si>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</si>
  <si>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</si>
  <si>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</si>
  <si>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</si>
  <si>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</si>
  <si>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</si>
  <si>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</si>
  <si>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</si>
  <si>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</si>
  <si>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</si>
  <si>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</si>
  <si>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</si>
  <si>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</si>
  <si>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</si>
  <si>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</si>
  <si>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</si>
  <si>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</si>
  <si>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</si>
  <si>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</si>
  <si>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</si>
  <si>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</si>
  <si>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</si>
  <si>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</si>
  <si>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</si>
  <si>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</si>
  <si>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</si>
  <si>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</si>
  <si>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</si>
  <si>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</si>
  <si>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</si>
  <si>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</si>
  <si>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</si>
  <si>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</si>
  <si>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</si>
  <si>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</si>
  <si>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</si>
  <si>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</si>
  <si>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</si>
  <si>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</si>
  <si>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</si>
  <si>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</si>
  <si>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</si>
  <si>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</si>
  <si>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</si>
  <si>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</si>
  <si>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</si>
  <si>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</si>
  <si>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</si>
  <si>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</si>
  <si>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</si>
  <si>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</si>
  <si>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</si>
  <si>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</si>
  <si>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</si>
  <si>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</si>
  <si>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</si>
  <si>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</si>
  <si>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</si>
  <si>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</si>
  <si>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</si>
  <si>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</si>
  <si>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</si>
  <si>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</si>
  <si>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</si>
  <si>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</si>
  <si>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</si>
  <si>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</si>
  <si>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</si>
  <si>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</si>
  <si>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</si>
  <si>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</si>
  <si>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</si>
  <si>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</si>
  <si>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</si>
  <si>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</si>
  <si>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</si>
  <si>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</si>
  <si>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</si>
  <si>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</si>
  <si>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</si>
  <si>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</si>
  <si>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</si>
  <si>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</si>
  <si>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</si>
  <si>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</si>
  <si>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</si>
  <si>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</si>
  <si>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</si>
  <si>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</si>
  <si>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</si>
  <si>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</si>
  <si>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</si>
  <si>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</si>
  <si>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</si>
  <si>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</si>
  <si>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</si>
  <si>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</si>
  <si>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</si>
  <si>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</si>
  <si>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</si>
  <si>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</si>
  <si>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</si>
  <si>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</si>
  <si>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</si>
  <si>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</si>
  <si>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</si>
  <si>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</si>
  <si>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</si>
  <si>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</si>
  <si>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</si>
  <si>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</si>
  <si>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</si>
  <si>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</si>
  <si>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</si>
  <si>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</si>
  <si>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</si>
  <si>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</si>
  <si>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</si>
  <si>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</si>
  <si>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</si>
  <si>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</si>
  <si>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</si>
  <si>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</si>
  <si>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</si>
  <si>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</si>
  <si>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</si>
  <si>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</si>
  <si>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</si>
  <si>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</si>
  <si>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</si>
  <si>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</si>
  <si>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</si>
  <si>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</si>
  <si>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</si>
  <si>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</si>
  <si>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</si>
  <si>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</si>
  <si>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</si>
  <si>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</si>
  <si>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</si>
  <si>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</si>
  <si>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</si>
  <si>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</si>
  <si>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</si>
  <si>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</si>
  <si>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</si>
  <si>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</si>
  <si>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</si>
  <si>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</si>
  <si>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</si>
  <si>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</si>
  <si>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</si>
  <si>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</si>
  <si>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</si>
  <si>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</si>
  <si>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</si>
  <si>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</si>
  <si>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</si>
  <si>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</si>
  <si>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</si>
  <si>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</si>
  <si>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</si>
  <si>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</si>
  <si>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</si>
  <si>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</si>
  <si>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</si>
  <si>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</si>
  <si>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</si>
  <si>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</si>
  <si>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</si>
  <si>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</si>
  <si>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</si>
  <si>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</si>
  <si>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</si>
  <si>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</si>
  <si>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</si>
  <si>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</si>
  <si>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</si>
  <si>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</si>
  <si>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</si>
  <si>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</si>
  <si>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</si>
  <si>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</si>
  <si>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</si>
  <si>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</si>
  <si>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</si>
  <si>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</si>
  <si>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</si>
  <si>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</si>
  <si>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</si>
  <si>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</si>
  <si>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</si>
  <si>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</si>
  <si>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</si>
  <si>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</si>
  <si>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</si>
  <si>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</si>
  <si>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</si>
  <si>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</si>
  <si>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</si>
  <si>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</si>
  <si>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</si>
  <si>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</si>
  <si>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</si>
  <si>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</si>
  <si>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</si>
  <si>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</si>
  <si>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</si>
  <si>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</si>
  <si>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</si>
  <si>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</si>
  <si>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</si>
  <si>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</si>
  <si>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</si>
  <si>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</si>
  <si>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</si>
  <si>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</si>
  <si>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</si>
  <si>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</si>
  <si>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</si>
  <si>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</si>
  <si>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</si>
  <si>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</si>
  <si>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</si>
  <si>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</si>
  <si>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</si>
  <si>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</si>
  <si>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</si>
  <si>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</si>
  <si>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</si>
  <si>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</si>
  <si>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</si>
  <si>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</si>
  <si>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</si>
  <si>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</si>
  <si>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</si>
  <si>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</si>
  <si>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</si>
  <si>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</si>
  <si>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</si>
  <si>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</si>
  <si>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</si>
  <si>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</si>
  <si>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</si>
  <si>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</si>
  <si>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</si>
  <si>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</si>
  <si>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</si>
  <si>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</si>
  <si>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</si>
  <si>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</si>
  <si>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</si>
  <si>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</si>
  <si>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</si>
  <si>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</si>
  <si>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</si>
  <si>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</si>
  <si>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</si>
  <si>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</si>
  <si>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</si>
  <si>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</si>
  <si>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</si>
  <si>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</si>
  <si>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</si>
  <si>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</si>
  <si>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</si>
  <si>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</si>
  <si>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</si>
  <si>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</si>
  <si>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</si>
  <si>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</si>
  <si>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</si>
  <si>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</si>
  <si>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</si>
  <si>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</si>
  <si>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</si>
  <si>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</si>
  <si>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</si>
  <si>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</si>
  <si>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</si>
  <si>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</si>
  <si>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</si>
  <si>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</si>
  <si>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</si>
  <si>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</si>
  <si>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</si>
  <si>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</si>
  <si>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</si>
  <si>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</si>
  <si>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</si>
  <si>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</si>
  <si>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</si>
  <si>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</si>
  <si>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</si>
  <si>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</si>
  <si>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</si>
  <si>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</si>
  <si>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</si>
  <si>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</si>
  <si>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</si>
  <si>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</si>
  <si>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</si>
  <si>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</si>
  <si>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</si>
  <si>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</si>
  <si>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</si>
  <si>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</si>
  <si>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</si>
  <si>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</si>
  <si>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</si>
  <si>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</si>
  <si>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</si>
  <si>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</si>
  <si>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</si>
  <si>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</si>
  <si>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</si>
  <si>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</si>
  <si>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</si>
  <si>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</si>
  <si>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</si>
  <si>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</si>
  <si>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</si>
  <si>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</si>
  <si>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</si>
  <si>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</si>
  <si>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</si>
  <si>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</si>
  <si>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</si>
  <si>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</si>
  <si>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</si>
  <si>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</si>
  <si>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</si>
  <si>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</si>
  <si>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</si>
  <si>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</si>
  <si>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</si>
  <si>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</si>
  <si>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</si>
  <si>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</si>
  <si>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</si>
  <si>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</si>
  <si>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</si>
  <si>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</si>
  <si>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</si>
  <si>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</si>
  <si>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</si>
  <si>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</si>
  <si>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</si>
  <si>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</si>
  <si>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</si>
  <si>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</si>
  <si>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</si>
  <si>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</si>
  <si>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</si>
  <si>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</si>
  <si>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</si>
  <si>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</si>
  <si>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</si>
  <si>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</si>
  <si>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</si>
  <si>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</si>
  <si>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</si>
  <si>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</si>
  <si>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</si>
  <si>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</si>
  <si>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</si>
  <si>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</si>
  <si>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</si>
  <si>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</si>
  <si>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</si>
  <si>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</si>
  <si>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</si>
  <si>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</si>
  <si>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</si>
  <si>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</si>
  <si>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</si>
  <si>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</si>
  <si>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</si>
  <si>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</si>
  <si>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</si>
  <si>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</si>
  <si>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</si>
  <si>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</si>
  <si>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</si>
  <si>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</si>
  <si>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</si>
  <si>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</si>
  <si>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</si>
  <si>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</si>
  <si>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</si>
  <si>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</si>
  <si>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</si>
  <si>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</si>
  <si>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</si>
  <si>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</si>
  <si>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</si>
  <si>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</si>
  <si>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</si>
  <si>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</si>
  <si>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</si>
  <si>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</si>
  <si>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</si>
  <si>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</si>
  <si>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</si>
  <si>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</si>
  <si>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</si>
  <si>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</si>
  <si>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</si>
  <si>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</si>
  <si>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</si>
  <si>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</si>
  <si>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</si>
  <si>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</si>
  <si>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</si>
  <si>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</si>
  <si>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</si>
  <si>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</si>
  <si>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</si>
  <si>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</si>
  <si>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</si>
  <si>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</si>
  <si>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</si>
  <si>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</si>
  <si>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</si>
  <si>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</si>
  <si>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</si>
  <si>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</si>
  <si>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</si>
  <si>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</si>
  <si>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</si>
  <si>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</si>
  <si>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</si>
  <si>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</si>
  <si>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</si>
  <si>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</si>
  <si>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</si>
  <si>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</si>
  <si>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</si>
  <si>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</si>
  <si>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</si>
  <si>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</si>
  <si>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</si>
  <si>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</si>
  <si>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</si>
  <si>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</si>
  <si>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</si>
  <si>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</si>
  <si>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</si>
  <si>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</si>
  <si>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</si>
  <si>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</si>
  <si>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</si>
  <si>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</si>
  <si>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</si>
  <si>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</si>
  <si>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</si>
  <si>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</si>
  <si>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</si>
  <si>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</si>
  <si>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</si>
  <si>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</si>
  <si>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</si>
  <si>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</si>
  <si>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</si>
  <si>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</si>
  <si>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</si>
  <si>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</si>
  <si>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</si>
  <si>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</si>
  <si>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</si>
  <si>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</si>
  <si>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</si>
  <si>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</si>
  <si>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</si>
  <si>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</si>
  <si>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</si>
  <si>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</si>
  <si>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</si>
  <si>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</si>
  <si>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</si>
  <si>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</si>
  <si>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</si>
  <si>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</si>
  <si>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</si>
  <si>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</si>
  <si>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</si>
  <si>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</si>
  <si>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</si>
  <si>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</si>
  <si>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</si>
  <si>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</si>
  <si>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</si>
  <si>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</si>
  <si>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</si>
  <si>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</si>
  <si>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</si>
  <si>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</si>
  <si>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</si>
  <si>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</si>
  <si>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</si>
  <si>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</si>
  <si>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</si>
  <si>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</si>
  <si>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</si>
  <si>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</si>
  <si>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</si>
  <si>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</si>
  <si>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</si>
  <si>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</si>
  <si>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</si>
  <si>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</si>
  <si>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</si>
  <si>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</si>
  <si>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</si>
  <si>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</si>
  <si>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</si>
  <si>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</si>
  <si>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</si>
  <si>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</si>
  <si>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</si>
  <si>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</si>
  <si>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</si>
  <si>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</si>
  <si>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</si>
  <si>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</si>
  <si>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</si>
  <si>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</si>
  <si>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</si>
  <si>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</si>
  <si>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</si>
  <si>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</si>
  <si>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</si>
  <si>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</si>
  <si>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</si>
  <si>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</si>
  <si>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</si>
  <si>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</si>
  <si>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</si>
  <si>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</si>
  <si>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</si>
  <si>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</si>
  <si>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</si>
  <si>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</si>
  <si>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</si>
  <si>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</si>
  <si>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</si>
  <si>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</si>
  <si>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</si>
  <si>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</si>
  <si>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</si>
  <si>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</si>
  <si>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</si>
  <si>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</si>
  <si>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</si>
  <si>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</si>
  <si>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</si>
  <si>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</si>
  <si>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</si>
  <si>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</si>
  <si>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</si>
  <si>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</si>
  <si>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</si>
  <si>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</si>
  <si>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</si>
  <si>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</si>
  <si>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</si>
  <si>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</si>
  <si>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</si>
  <si>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</si>
  <si>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</si>
  <si>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</si>
  <si>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</si>
  <si>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</si>
  <si>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</si>
  <si>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</si>
  <si>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</si>
  <si>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</si>
  <si>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</si>
  <si>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</si>
  <si>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</si>
  <si>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</si>
  <si>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</si>
  <si>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</si>
  <si>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</si>
  <si>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</si>
  <si>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</si>
  <si>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</si>
  <si>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</si>
  <si>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</si>
  <si>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</si>
  <si>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</si>
  <si>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</si>
  <si>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</si>
  <si>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</si>
  <si>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</si>
  <si>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</si>
  <si>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</si>
  <si>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</si>
  <si>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</si>
  <si>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</si>
  <si>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</si>
  <si>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</si>
  <si>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</si>
  <si>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</si>
  <si>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</si>
  <si>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</si>
  <si>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</si>
  <si>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</si>
  <si>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</si>
  <si>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</si>
  <si>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</si>
  <si>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</si>
  <si>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</si>
  <si>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</si>
  <si>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</si>
  <si>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</si>
  <si>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</si>
  <si>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</si>
  <si>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</si>
  <si>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</si>
  <si>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</si>
  <si>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</si>
  <si>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</si>
  <si>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</si>
  <si>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</si>
  <si>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</si>
  <si>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</si>
  <si>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</si>
  <si>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</si>
  <si>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</si>
  <si>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</si>
  <si>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</si>
  <si>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</si>
  <si>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</si>
  <si>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</si>
  <si>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</si>
  <si>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</si>
  <si>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</si>
  <si>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</si>
  <si>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</si>
  <si>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</si>
  <si>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</si>
  <si>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</si>
  <si>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</si>
  <si>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</si>
  <si>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</si>
  <si>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</si>
  <si>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</si>
  <si>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</si>
  <si>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</si>
  <si>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</si>
  <si>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</si>
  <si>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</si>
  <si>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</si>
  <si>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</si>
  <si>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</si>
  <si>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</si>
  <si>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</si>
  <si>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</si>
  <si>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</si>
  <si>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</si>
  <si>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</si>
  <si>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</si>
  <si>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</si>
  <si>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</si>
  <si>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</si>
  <si>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</si>
  <si>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</si>
  <si>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</si>
  <si>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</si>
  <si>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</si>
  <si>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</si>
  <si>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</si>
  <si>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</si>
  <si>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</si>
  <si>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</si>
  <si>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</si>
  <si>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</si>
  <si>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</si>
  <si>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</si>
  <si>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</si>
  <si>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</si>
  <si>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</si>
  <si>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</si>
  <si>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</si>
  <si>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</si>
  <si>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</si>
  <si>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</si>
  <si>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</si>
  <si>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</si>
  <si>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</si>
  <si>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</si>
  <si>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</si>
  <si>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</si>
  <si>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</si>
  <si>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</si>
  <si>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</si>
  <si>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</si>
  <si>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</si>
  <si>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</si>
  <si>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</si>
  <si>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</si>
  <si>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</si>
  <si>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</si>
  <si>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</si>
  <si>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</si>
  <si>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</si>
  <si>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</si>
  <si>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</si>
  <si>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</si>
  <si>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</si>
  <si>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</si>
  <si>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</si>
  <si>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</si>
  <si>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</si>
  <si>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</si>
  <si>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</si>
  <si>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</si>
  <si>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</si>
  <si>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</si>
  <si>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</si>
  <si>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</si>
  <si>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</si>
  <si>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</si>
  <si>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</si>
  <si>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</si>
  <si>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</si>
  <si>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</si>
  <si>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</si>
  <si>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</si>
  <si>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</si>
  <si>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</si>
  <si>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</si>
  <si>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</si>
  <si>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</si>
  <si>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</si>
  <si>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</si>
  <si>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</si>
  <si>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</si>
  <si>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</si>
  <si>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</si>
  <si>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</si>
  <si>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</si>
  <si>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</si>
  <si>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</si>
  <si>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</si>
  <si>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</si>
  <si>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</si>
  <si>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</si>
  <si>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</si>
  <si>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</si>
  <si>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</si>
  <si>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</si>
  <si>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</si>
  <si>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</si>
  <si>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</si>
  <si>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</si>
  <si>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</si>
  <si>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</si>
  <si>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</si>
  <si>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</si>
  <si>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</si>
  <si>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</si>
  <si>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</si>
  <si>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</si>
  <si>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</si>
  <si>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</si>
  <si>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</si>
  <si>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</si>
  <si>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</si>
  <si>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</si>
  <si>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</si>
  <si>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</si>
  <si>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</si>
  <si>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</si>
  <si>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</si>
  <si>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</si>
  <si>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</si>
  <si>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</si>
  <si>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</si>
  <si>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</si>
  <si>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</si>
  <si>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</si>
  <si>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</si>
  <si>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</si>
  <si>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</si>
  <si>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</si>
  <si>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</si>
  <si>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</si>
  <si>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</si>
  <si>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</si>
  <si>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</si>
  <si>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</si>
  <si>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</si>
  <si>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</si>
  <si>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</si>
  <si>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</si>
  <si>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</si>
  <si>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</si>
  <si>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</si>
  <si>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</si>
  <si>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</si>
  <si>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</si>
  <si>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</si>
  <si>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</si>
  <si>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</si>
  <si>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</si>
  <si>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</si>
  <si>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</si>
  <si>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</si>
  <si>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</si>
  <si>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</si>
  <si>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</si>
  <si>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</si>
  <si>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</si>
  <si>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</si>
  <si>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</si>
  <si>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</si>
  <si>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</si>
  <si>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</si>
  <si>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</si>
  <si>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</si>
  <si>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</si>
  <si>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</si>
  <si>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</si>
  <si>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</si>
  <si>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</si>
  <si>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</si>
  <si>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</si>
  <si>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</si>
  <si>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</si>
  <si>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</si>
  <si>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</si>
  <si>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</si>
  <si>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</si>
  <si>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</si>
  <si>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</si>
  <si>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</si>
  <si>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</si>
  <si>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</si>
  <si>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</si>
  <si>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</si>
  <si>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</si>
  <si>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</si>
  <si>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</si>
  <si>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</si>
  <si>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</si>
  <si>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</si>
  <si>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</si>
  <si>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</si>
  <si>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</si>
  <si>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</si>
  <si>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</si>
  <si>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</si>
  <si>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</si>
  <si>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</si>
  <si>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</si>
  <si>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</si>
  <si>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</si>
  <si>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</si>
  <si>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</si>
  <si>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</si>
  <si>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</si>
  <si>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</si>
  <si>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</si>
  <si>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</si>
  <si>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</si>
  <si>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</si>
  <si>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</si>
  <si>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</si>
  <si>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</si>
  <si>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</si>
  <si>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</si>
  <si>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</si>
  <si>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</si>
  <si>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</si>
  <si>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</si>
  <si>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</si>
  <si>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</si>
  <si>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</si>
  <si>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</si>
  <si>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</si>
  <si>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</si>
  <si>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</si>
  <si>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</si>
  <si>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</si>
  <si>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</si>
  <si>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</si>
  <si>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</si>
  <si>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</si>
  <si>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</si>
  <si>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</si>
  <si>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</si>
  <si>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</si>
  <si>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</si>
  <si>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</si>
  <si>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</si>
  <si>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</si>
  <si>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</si>
  <si>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</si>
  <si>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</si>
  <si>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</si>
  <si>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</si>
  <si>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</si>
  <si>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</si>
  <si>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</si>
  <si>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</si>
  <si>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</si>
  <si>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</si>
  <si>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</si>
  <si>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</si>
  <si>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</si>
  <si>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</si>
  <si>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</si>
  <si>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</si>
  <si>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</si>
  <si>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</si>
  <si>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</si>
  <si>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</si>
  <si>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</si>
  <si>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</si>
  <si>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</si>
  <si>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</si>
  <si>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</si>
  <si>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</si>
  <si>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</si>
  <si>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</si>
  <si>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</si>
  <si>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</si>
  <si>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</si>
  <si>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</si>
  <si>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</si>
  <si>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</si>
  <si>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</si>
  <si>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</si>
  <si>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</si>
  <si>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</si>
  <si>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</si>
  <si>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</si>
  <si>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</si>
  <si>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</si>
  <si>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</si>
  <si>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</si>
  <si>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</si>
  <si>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</si>
  <si>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</si>
  <si>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</si>
  <si>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</si>
  <si>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</si>
  <si>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</si>
  <si>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</si>
  <si>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</si>
  <si>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</si>
  <si>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</si>
  <si>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</si>
  <si>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</si>
  <si>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</si>
  <si>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</si>
  <si>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</si>
  <si>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</si>
  <si>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</si>
  <si>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</si>
  <si>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</si>
  <si>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</si>
  <si>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</si>
  <si>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</si>
  <si>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</si>
  <si>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</si>
  <si>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</si>
  <si>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</si>
  <si>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</si>
  <si>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</si>
  <si>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</si>
  <si>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</si>
  <si>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</si>
  <si>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</si>
  <si>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</si>
  <si>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</si>
  <si>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</si>
  <si>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</si>
  <si>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</si>
  <si>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</si>
  <si>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</si>
  <si>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</si>
  <si>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</si>
  <si>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</si>
  <si>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</si>
  <si>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</si>
  <si>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</si>
  <si>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</si>
  <si>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</si>
  <si>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</si>
  <si>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</si>
  <si>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</si>
  <si>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</si>
  <si>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</si>
  <si>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</si>
  <si>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</si>
  <si>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</si>
  <si>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</si>
  <si>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</si>
  <si>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</si>
  <si>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</si>
  <si>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</si>
  <si>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</si>
  <si>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</si>
  <si>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</si>
  <si>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</si>
  <si>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</si>
  <si>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</si>
  <si>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</si>
  <si>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</si>
  <si>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</si>
  <si>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</si>
  <si>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</si>
  <si>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</si>
  <si>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</si>
  <si>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</si>
  <si>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</si>
  <si>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</si>
  <si>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</si>
  <si>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</si>
  <si>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</si>
  <si>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</si>
  <si>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</si>
  <si>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</si>
  <si>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</si>
  <si>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</si>
  <si>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</si>
  <si>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</si>
  <si>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</si>
  <si>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</si>
  <si>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</si>
  <si>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</si>
  <si>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</si>
  <si>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</si>
  <si>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</si>
  <si>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</si>
  <si>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</si>
  <si>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</si>
  <si>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</si>
  <si>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</si>
  <si>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</si>
  <si>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</si>
  <si>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</si>
  <si>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</si>
  <si>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</si>
  <si>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</si>
  <si>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</si>
  <si>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</si>
  <si>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</si>
  <si>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</si>
  <si>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</si>
  <si>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</si>
  <si>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</si>
  <si>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</si>
  <si>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</si>
  <si>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</si>
  <si>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</si>
  <si>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</si>
  <si>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</si>
  <si>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</si>
  <si>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</si>
  <si>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</si>
  <si>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</si>
  <si>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</si>
  <si>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</si>
  <si>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</si>
  <si>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</si>
  <si>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</si>
  <si>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</si>
  <si>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</si>
  <si>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</si>
  <si>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</si>
  <si>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</si>
  <si>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</si>
  <si>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</si>
  <si>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</si>
  <si>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</si>
  <si>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</si>
  <si>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</si>
  <si>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</si>
  <si>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</si>
  <si>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</si>
  <si>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</si>
  <si>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</si>
  <si>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</si>
  <si>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</si>
  <si>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</si>
  <si>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</si>
  <si>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</si>
  <si>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</si>
  <si>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</si>
  <si>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</si>
  <si>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</si>
  <si>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</si>
  <si>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</si>
  <si>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</si>
  <si>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</si>
  <si>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</si>
  <si>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</si>
  <si>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</si>
  <si>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</si>
  <si>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</si>
  <si>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</si>
  <si>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</si>
  <si>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</si>
  <si>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</si>
  <si>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</si>
  <si>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</si>
  <si>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</si>
  <si>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</si>
  <si>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</si>
  <si>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</si>
  <si>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</si>
  <si>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</si>
  <si>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</si>
  <si>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</si>
  <si>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</si>
  <si>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</si>
  <si>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</si>
  <si>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</si>
  <si>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</si>
  <si>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</si>
  <si>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</si>
  <si>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</si>
  <si>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</si>
  <si>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</si>
  <si>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</si>
  <si>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</si>
  <si>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</si>
  <si>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</si>
  <si>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</si>
  <si>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</si>
  <si>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</si>
  <si>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</si>
  <si>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</si>
  <si>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</si>
  <si>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</si>
  <si>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</si>
  <si>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</si>
  <si>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</si>
  <si>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</si>
  <si>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</si>
  <si>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</si>
  <si>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</si>
  <si>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</si>
  <si>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</si>
  <si>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</si>
  <si>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</si>
  <si>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</si>
  <si>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</si>
  <si>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</si>
  <si>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</si>
  <si>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</si>
  <si>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</si>
  <si>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</si>
  <si>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</si>
  <si>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</si>
  <si>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</si>
  <si>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</si>
  <si>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</si>
  <si>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</si>
  <si>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</si>
  <si>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</si>
  <si>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</si>
  <si>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</si>
  <si>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</si>
  <si>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</si>
  <si>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</si>
  <si>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</si>
  <si>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</si>
  <si>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</si>
  <si>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</si>
  <si>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</si>
  <si>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</si>
  <si>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</si>
  <si>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</si>
  <si>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</si>
  <si>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</si>
  <si>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</si>
  <si>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</si>
  <si>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</si>
  <si>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</si>
  <si>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</si>
  <si>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</si>
  <si>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</si>
  <si>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</si>
  <si>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</si>
  <si>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</si>
  <si>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</si>
  <si>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</si>
  <si>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</si>
  <si>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</si>
  <si>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</si>
  <si>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</si>
  <si>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</si>
  <si>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</si>
  <si>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</si>
  <si>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</si>
  <si>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</si>
  <si>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</si>
  <si>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</si>
  <si>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</si>
  <si>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</si>
  <si>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</si>
  <si>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</si>
  <si>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</si>
  <si>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</si>
  <si>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</si>
  <si>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</si>
  <si>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</si>
  <si>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</si>
  <si>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</si>
  <si>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</si>
  <si>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</si>
  <si>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</si>
  <si>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</si>
  <si>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</si>
  <si>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</si>
  <si>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</si>
  <si>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</si>
  <si>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</si>
  <si>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</si>
  <si>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</si>
  <si>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</si>
  <si>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</si>
  <si>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</si>
  <si>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</si>
  <si>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</si>
  <si>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</si>
  <si>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</si>
  <si>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</si>
  <si>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</si>
  <si>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</si>
  <si>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</si>
  <si>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</si>
  <si>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</si>
  <si>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</si>
  <si>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</si>
  <si>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</si>
  <si>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</si>
  <si>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</si>
  <si>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</si>
  <si>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</si>
  <si>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</si>
  <si>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</si>
  <si>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</si>
  <si>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</si>
  <si>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</si>
  <si>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</si>
  <si>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</si>
  <si>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</si>
  <si>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</si>
  <si>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</si>
  <si>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</si>
  <si>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</si>
  <si>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</si>
  <si>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</si>
  <si>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</si>
  <si>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</si>
  <si>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</si>
  <si>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</si>
  <si>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</si>
  <si>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</si>
  <si>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</si>
  <si>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</si>
  <si>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</si>
  <si>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</si>
  <si>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</si>
  <si>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</si>
  <si>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</si>
  <si>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</si>
  <si>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</si>
  <si>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</si>
  <si>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</si>
  <si>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</si>
  <si>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</si>
  <si>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</si>
  <si>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</si>
  <si>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</si>
  <si>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</si>
  <si>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</si>
  <si>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</si>
  <si>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</si>
  <si>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</si>
  <si>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</si>
  <si>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</si>
  <si>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</si>
  <si>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</si>
  <si>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</si>
  <si>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</si>
  <si>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</si>
  <si>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</si>
  <si>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</si>
  <si>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</si>
  <si>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</si>
  <si>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</si>
  <si>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</si>
  <si>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</si>
  <si>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</si>
  <si>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</si>
  <si>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</si>
  <si>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</si>
  <si>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</si>
  <si>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</si>
  <si>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</si>
  <si>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</si>
  <si>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</si>
  <si>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</si>
  <si>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</si>
  <si>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</si>
  <si>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</si>
  <si>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</si>
  <si>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</si>
  <si>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</si>
  <si>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</si>
  <si>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</si>
  <si>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</si>
  <si>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</si>
  <si>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</si>
  <si>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</si>
  <si>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</si>
  <si>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</si>
  <si>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</si>
  <si>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</si>
  <si>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</si>
  <si>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</si>
  <si>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</si>
  <si>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</si>
  <si>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</si>
  <si>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</si>
  <si>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</si>
  <si>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</si>
  <si>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</si>
  <si>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</si>
  <si>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</si>
  <si>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</si>
  <si>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</si>
  <si>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</si>
  <si>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</si>
  <si>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</si>
  <si>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</si>
  <si>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</si>
  <si>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</si>
  <si>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</si>
  <si>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</si>
  <si>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</si>
  <si>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</si>
  <si>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</si>
  <si>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</si>
  <si>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</si>
  <si>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</si>
  <si>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</si>
  <si>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</si>
  <si>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</si>
  <si>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</si>
  <si>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</si>
  <si>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</si>
  <si>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</si>
  <si>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</si>
  <si>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</si>
  <si>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</si>
  <si>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</si>
  <si>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</si>
  <si>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</si>
  <si>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</si>
  <si>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</si>
  <si>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</si>
  <si>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</si>
  <si>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</si>
  <si>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</si>
  <si>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</si>
  <si>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</si>
  <si>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</si>
  <si>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</si>
  <si>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</si>
  <si>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</si>
  <si>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</si>
  <si>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</si>
  <si>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</si>
  <si>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</si>
  <si>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</si>
  <si>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</si>
  <si>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</si>
  <si>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</si>
  <si>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</si>
  <si>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</si>
  <si>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</si>
  <si>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</si>
  <si>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</si>
  <si>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</si>
  <si>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</si>
  <si>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</si>
  <si>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</si>
  <si>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</si>
  <si>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</si>
  <si>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</si>
  <si>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</si>
  <si>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</si>
  <si>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</si>
  <si>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</si>
  <si>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</si>
  <si>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</si>
  <si>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</si>
  <si>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</si>
  <si>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</si>
  <si>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</si>
  <si>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</si>
  <si>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</si>
  <si>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</si>
  <si>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</si>
  <si>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</si>
  <si>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</si>
  <si>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</si>
  <si>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</si>
  <si>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</si>
  <si>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</si>
  <si>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</si>
  <si>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</si>
  <si>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</si>
  <si>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</si>
  <si>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</si>
  <si>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</si>
  <si>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</si>
  <si>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</si>
  <si>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</si>
  <si>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</si>
  <si>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</si>
  <si>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</si>
  <si>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</si>
  <si>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</si>
  <si>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</si>
  <si>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</si>
  <si>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</si>
  <si>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</si>
  <si>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</si>
  <si>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</si>
  <si>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</si>
  <si>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</si>
  <si>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</si>
  <si>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</si>
  <si>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</si>
  <si>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</si>
  <si>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</si>
  <si>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</si>
  <si>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</si>
  <si>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</si>
  <si>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</si>
  <si>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</si>
  <si>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</si>
  <si>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</si>
  <si>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</si>
  <si>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</si>
  <si>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</si>
  <si>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</si>
  <si>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</si>
  <si>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</si>
  <si>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</si>
  <si>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</si>
  <si>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</si>
  <si>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</si>
  <si>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</si>
  <si>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</si>
  <si>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</si>
  <si>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</si>
  <si>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</si>
  <si>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</si>
  <si>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</si>
  <si>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</si>
  <si>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</si>
  <si>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</si>
  <si>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</si>
  <si>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</si>
  <si>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</si>
  <si>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</si>
  <si>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</si>
  <si>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</si>
  <si>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</si>
  <si>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</si>
  <si>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</si>
  <si>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</si>
  <si>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</si>
  <si>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</si>
  <si>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</si>
  <si>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</si>
  <si>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</si>
  <si>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</si>
  <si>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</si>
  <si>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</si>
  <si>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</si>
  <si>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</si>
  <si>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</si>
  <si>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</si>
  <si>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</si>
  <si>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</si>
  <si>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</si>
  <si>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</si>
  <si>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</si>
  <si>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</si>
  <si>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</si>
  <si>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</si>
  <si>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</si>
  <si>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</si>
  <si>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</si>
  <si>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</si>
  <si>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</si>
  <si>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</si>
  <si>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</si>
  <si>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</si>
  <si>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</si>
  <si>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</si>
  <si>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</si>
  <si>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</si>
  <si>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</si>
  <si>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</si>
  <si>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</si>
  <si>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</si>
  <si>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</si>
  <si>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</si>
  <si>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</si>
  <si>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</si>
  <si>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</si>
  <si>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</si>
  <si>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</si>
  <si>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</si>
  <si>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</si>
  <si>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</si>
  <si>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</si>
  <si>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</si>
  <si>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</si>
  <si>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</si>
  <si>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</si>
  <si>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</si>
  <si>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</si>
  <si>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</si>
  <si>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</si>
  <si>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</si>
  <si>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</si>
  <si>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</si>
  <si>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</si>
  <si>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</si>
  <si>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</si>
  <si>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</si>
  <si>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</si>
  <si>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</si>
  <si>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</si>
  <si>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</si>
  <si>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</si>
  <si>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</si>
  <si>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</si>
  <si>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</si>
  <si>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</si>
  <si>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</si>
  <si>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</si>
  <si>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</si>
  <si>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</si>
  <si>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</si>
  <si>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</si>
  <si>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</si>
  <si>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</si>
  <si>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</si>
  <si>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</si>
  <si>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</si>
  <si>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</si>
  <si>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</si>
  <si>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</si>
  <si>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</si>
  <si>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</si>
  <si>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</si>
  <si>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</si>
  <si>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</si>
  <si>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</si>
  <si>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</si>
  <si>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</si>
  <si>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</si>
  <si>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</si>
  <si>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</si>
  <si>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</si>
  <si>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</si>
  <si>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</si>
  <si>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</si>
  <si>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</si>
  <si>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</si>
  <si>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</si>
  <si>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</si>
  <si>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</si>
  <si>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</si>
  <si>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</si>
  <si>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</si>
  <si>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</si>
  <si>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</si>
  <si>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</si>
  <si>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</si>
  <si>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</si>
  <si>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</si>
  <si>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</si>
  <si>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</si>
  <si>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</si>
  <si>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</si>
  <si>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</si>
  <si>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</si>
  <si>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</si>
  <si>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</si>
  <si>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</si>
  <si>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</si>
  <si>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</si>
  <si>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</si>
  <si>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</si>
  <si>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</si>
  <si>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</si>
  <si>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</si>
  <si>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</si>
  <si>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</si>
  <si>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</si>
  <si>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</si>
  <si>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</si>
  <si>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</si>
  <si>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</si>
  <si>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</si>
  <si>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</si>
  <si>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</si>
  <si>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</si>
  <si>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</si>
  <si>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</si>
  <si>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</si>
  <si>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</si>
  <si>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</si>
  <si>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</si>
  <si>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</si>
  <si>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</si>
  <si>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</si>
  <si>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</si>
  <si>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</si>
  <si>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</si>
  <si>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</si>
  <si>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</si>
  <si>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</si>
  <si>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</si>
  <si>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</si>
  <si>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</si>
  <si>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</si>
  <si>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</si>
  <si>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</si>
  <si>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</si>
  <si>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</si>
  <si>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</si>
  <si>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</si>
  <si>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</si>
  <si>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</si>
  <si>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</si>
  <si>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</si>
  <si>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</si>
  <si>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</si>
  <si>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</si>
  <si>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</si>
  <si>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</si>
  <si>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</si>
  <si>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</si>
  <si>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</si>
  <si>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</si>
  <si>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</si>
  <si>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</si>
  <si>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</si>
  <si>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</si>
  <si>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</si>
  <si>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</si>
  <si>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</si>
  <si>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</si>
  <si>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</si>
  <si>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</si>
  <si>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</si>
  <si>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</si>
  <si>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</si>
  <si>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</si>
  <si>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</si>
  <si>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</si>
  <si>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</si>
  <si>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</si>
  <si>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</si>
  <si>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</si>
  <si>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</si>
  <si>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</si>
  <si>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</si>
  <si>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</si>
  <si>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</si>
  <si>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</si>
  <si>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</si>
  <si>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</si>
  <si>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</si>
  <si>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</si>
  <si>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</si>
  <si>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</si>
  <si>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</si>
  <si>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</si>
  <si>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</si>
  <si>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</si>
  <si>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</si>
  <si>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</si>
  <si>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</si>
  <si>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</si>
  <si>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</si>
  <si>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</si>
  <si>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</si>
  <si>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</si>
  <si>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</si>
  <si>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</si>
  <si>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</si>
  <si>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</si>
  <si>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</si>
  <si>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</si>
  <si>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</si>
  <si>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</si>
  <si>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</si>
  <si>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</si>
  <si>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</si>
  <si>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</si>
  <si>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</si>
  <si>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</si>
  <si>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</si>
  <si>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</si>
  <si>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</si>
  <si>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</si>
  <si>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</si>
  <si>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</si>
  <si>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</si>
  <si>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</si>
  <si>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</si>
  <si>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</si>
  <si>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</si>
  <si>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</si>
  <si>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</si>
  <si>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</si>
  <si>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</si>
  <si>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</si>
  <si>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</si>
  <si>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</si>
  <si>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</si>
  <si>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</si>
  <si>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</si>
  <si>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</si>
  <si>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</si>
  <si>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</si>
  <si>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</si>
  <si>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</si>
  <si>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</si>
  <si>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</si>
  <si>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</si>
  <si>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</si>
  <si>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</si>
  <si>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</si>
  <si>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</si>
  <si>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</si>
  <si>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</si>
  <si>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</si>
  <si>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</si>
  <si>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</si>
  <si>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</si>
  <si>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</si>
  <si>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</si>
  <si>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</si>
  <si>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</si>
  <si>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</si>
  <si>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</si>
  <si>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</si>
  <si>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</si>
  <si>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</si>
  <si>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</si>
  <si>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</si>
  <si>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</si>
  <si>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</si>
  <si>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</si>
  <si>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</si>
  <si>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</si>
  <si>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</si>
  <si>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</si>
  <si>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</si>
  <si>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</si>
  <si>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</si>
  <si>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</si>
  <si>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</si>
  <si>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</si>
  <si>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</si>
  <si>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</si>
  <si>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</si>
  <si>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</si>
  <si>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</si>
  <si>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</si>
  <si>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</si>
  <si>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</si>
  <si>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</si>
  <si>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</si>
  <si>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</si>
  <si>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</si>
  <si>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</si>
  <si>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</si>
  <si>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</si>
  <si>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</si>
  <si>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</si>
  <si>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</si>
  <si>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</si>
  <si>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</si>
  <si>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</si>
  <si>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</si>
  <si>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</si>
  <si>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</si>
  <si>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</si>
  <si>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</si>
  <si>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</si>
  <si>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</si>
  <si>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</si>
  <si>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</si>
  <si>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</si>
  <si>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</si>
  <si>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</si>
  <si>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</si>
  <si>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</si>
  <si>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</si>
  <si>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</si>
  <si>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</si>
  <si>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</si>
  <si>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</si>
  <si>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</si>
  <si>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</si>
  <si>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</si>
  <si>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</si>
  <si>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</si>
  <si>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</si>
  <si>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</si>
  <si>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</si>
  <si>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</si>
  <si>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</si>
  <si>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</si>
  <si>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</si>
  <si>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</si>
  <si>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</si>
  <si>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</si>
  <si>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</si>
  <si>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</si>
  <si>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</si>
  <si>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</si>
  <si>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</si>
  <si>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</si>
  <si>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</si>
  <si>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</si>
  <si>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</si>
  <si>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</si>
  <si>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</si>
  <si>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</si>
  <si>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</si>
  <si>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</si>
  <si>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</si>
  <si>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</si>
  <si>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</si>
  <si>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</si>
  <si>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</si>
  <si>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</si>
  <si>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</si>
  <si>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</si>
  <si>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</si>
  <si>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</si>
  <si>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</si>
  <si>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</si>
  <si>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</si>
  <si>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</si>
  <si>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</si>
  <si>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</si>
  <si>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</si>
  <si>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</si>
  <si>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</si>
  <si>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</si>
  <si>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</si>
  <si>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</si>
  <si>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</si>
  <si>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</si>
  <si>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</si>
  <si>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</si>
  <si>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</si>
  <si>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</si>
  <si>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</si>
  <si>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</si>
  <si>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</si>
  <si>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</si>
  <si>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</si>
  <si>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</si>
  <si>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</si>
  <si>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</si>
  <si>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</si>
  <si>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</si>
  <si>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</si>
  <si>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</si>
  <si>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</si>
  <si>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</si>
  <si>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</si>
  <si>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</si>
  <si>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</si>
  <si>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</si>
  <si>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</si>
  <si>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</si>
  <si>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</si>
  <si>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</si>
  <si>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</si>
  <si>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</si>
  <si>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</si>
  <si>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</si>
  <si>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</si>
  <si>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</si>
  <si>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</si>
  <si>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</si>
  <si>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</si>
  <si>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</si>
  <si>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</si>
  <si>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</si>
  <si>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</si>
  <si>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</si>
  <si>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</si>
  <si>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</si>
  <si>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</si>
  <si>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</si>
  <si>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</si>
  <si>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</si>
  <si>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</si>
  <si>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</si>
  <si>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</si>
  <si>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</si>
  <si>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</si>
  <si>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</si>
  <si>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</si>
  <si>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</si>
  <si>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</si>
  <si>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</si>
  <si>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</si>
  <si>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</si>
  <si>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</si>
  <si>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</si>
  <si>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</si>
  <si>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</si>
  <si>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</si>
  <si>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</si>
  <si>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</si>
  <si>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</si>
  <si>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</si>
  <si>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</si>
  <si>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</si>
  <si>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</si>
  <si>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</si>
  <si>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</si>
  <si>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</si>
  <si>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</si>
  <si>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</si>
  <si>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</si>
  <si>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</si>
  <si>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</si>
  <si>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</si>
  <si>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</si>
  <si>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</si>
  <si>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</si>
  <si>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</si>
  <si>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</si>
  <si>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</si>
  <si>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</si>
  <si>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</si>
  <si>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</si>
  <si>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</si>
  <si>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</si>
  <si>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</si>
  <si>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</si>
  <si>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</si>
  <si>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</si>
  <si>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</si>
  <si>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</si>
  <si>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</si>
  <si>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</si>
  <si>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</si>
  <si>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</si>
  <si>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</si>
  <si>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</si>
  <si>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</si>
  <si>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</si>
  <si>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</si>
  <si>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</si>
  <si>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</si>
  <si>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</si>
  <si>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</si>
  <si>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</si>
  <si>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</si>
  <si>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</si>
  <si>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</si>
  <si>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</si>
  <si>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</si>
  <si>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</si>
  <si>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</si>
  <si>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</si>
  <si>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</si>
  <si>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</si>
  <si>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</si>
  <si>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</si>
  <si>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</si>
  <si>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</si>
  <si>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</si>
  <si>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</si>
  <si>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</si>
  <si>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</si>
  <si>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</si>
  <si>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</si>
  <si>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</si>
  <si>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</si>
  <si>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</si>
  <si>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</si>
  <si>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</si>
  <si>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</si>
  <si>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</si>
  <si>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</si>
  <si>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</si>
  <si>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</si>
  <si>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</si>
  <si>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</si>
  <si>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</si>
  <si>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</si>
  <si>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</si>
  <si>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</si>
  <si>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</si>
  <si>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</si>
  <si>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</si>
  <si>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</si>
  <si>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</si>
  <si>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</si>
  <si>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</si>
  <si>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</si>
  <si>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</si>
  <si>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</si>
  <si>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</si>
  <si>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</si>
  <si>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</si>
  <si>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</si>
  <si>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</si>
  <si>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</si>
  <si>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</si>
  <si>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</si>
  <si>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</si>
  <si>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</si>
  <si>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</si>
  <si>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</si>
  <si>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</si>
  <si>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</si>
  <si>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</si>
  <si>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</si>
  <si>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</si>
  <si>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</si>
  <si>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</si>
  <si>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</si>
  <si>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</si>
  <si>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</si>
  <si>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</si>
  <si>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</si>
  <si>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</si>
  <si>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</si>
  <si>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</si>
  <si>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</si>
  <si>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</si>
  <si>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</si>
  <si>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</si>
  <si>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</si>
  <si>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</si>
  <si>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</si>
  <si>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</si>
  <si>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</si>
  <si>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</si>
  <si>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</si>
  <si>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</si>
  <si>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</si>
  <si>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</si>
  <si>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</si>
  <si>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</si>
  <si>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</si>
  <si>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</si>
  <si>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</si>
  <si>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</si>
  <si>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</si>
  <si>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</si>
  <si>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</si>
  <si>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</si>
  <si>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</si>
  <si>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</si>
  <si>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</si>
  <si>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</si>
  <si>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</si>
  <si>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</si>
  <si>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</si>
  <si>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</si>
  <si>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</si>
  <si>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</si>
  <si>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</si>
  <si>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</si>
  <si>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</si>
  <si>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</si>
  <si>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</si>
  <si>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</si>
  <si>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</si>
  <si>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</si>
  <si>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</si>
  <si>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</si>
  <si>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</si>
  <si>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</si>
  <si>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</si>
  <si>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</si>
  <si>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</si>
  <si>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</si>
  <si>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</si>
  <si>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</si>
  <si>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</si>
  <si>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</si>
  <si>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</si>
  <si>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</si>
  <si>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</si>
  <si>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</si>
  <si>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</si>
  <si>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</si>
  <si>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</si>
  <si>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</si>
  <si>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</si>
  <si>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</si>
  <si>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</si>
  <si>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</si>
  <si>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</si>
  <si>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</si>
  <si>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</si>
  <si>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</si>
  <si>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</si>
  <si>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</si>
  <si>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</si>
  <si>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</si>
  <si>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</si>
  <si>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</si>
  <si>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</si>
  <si>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</si>
  <si>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</si>
  <si>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</si>
  <si>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</si>
  <si>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</si>
  <si>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</si>
  <si>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</si>
  <si>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</si>
  <si>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</si>
  <si>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</si>
  <si>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</si>
  <si>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</si>
  <si>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</si>
  <si>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</si>
  <si>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</si>
  <si>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</si>
  <si>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</si>
  <si>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</si>
  <si>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</si>
  <si>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</si>
  <si>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</si>
  <si>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</si>
  <si>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</si>
  <si>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</si>
  <si>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</si>
  <si>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</si>
  <si>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</si>
  <si>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</si>
  <si>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</si>
  <si>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</si>
  <si>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</si>
  <si>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</si>
  <si>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</si>
  <si>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</si>
  <si>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</si>
  <si>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</si>
  <si>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</si>
  <si>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</si>
  <si>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</si>
  <si>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</si>
  <si>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</si>
  <si>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</si>
  <si>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</si>
  <si>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</si>
  <si>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</si>
  <si>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</si>
  <si>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</si>
  <si>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</si>
  <si>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</si>
  <si>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</si>
  <si>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</si>
  <si>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</si>
  <si>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</si>
  <si>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</si>
  <si>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</si>
  <si>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</si>
  <si>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</si>
  <si>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</si>
  <si>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</si>
  <si>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</si>
  <si>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</si>
  <si>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</si>
  <si>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</si>
  <si>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</si>
  <si>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</si>
  <si>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</si>
  <si>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</si>
  <si>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</si>
  <si>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</si>
  <si>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</si>
  <si>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</si>
  <si>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</si>
  <si>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</si>
  <si>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</si>
  <si>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</si>
  <si>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</si>
  <si>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</si>
  <si>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</si>
  <si>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</si>
  <si>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</si>
  <si>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</si>
  <si>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</si>
  <si>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</si>
  <si>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</si>
  <si>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</si>
  <si>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</si>
  <si>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</si>
  <si>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</si>
  <si>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</si>
  <si>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</si>
  <si>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</si>
  <si>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</si>
  <si>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</si>
  <si>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</si>
  <si>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</si>
  <si>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</si>
  <si>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</si>
  <si>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</si>
  <si>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</si>
  <si>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</si>
  <si>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</si>
  <si>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</si>
  <si>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</si>
  <si>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</si>
  <si>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</si>
  <si>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</si>
  <si>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</si>
  <si>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</si>
  <si>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</si>
  <si>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</si>
  <si>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</si>
  <si>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</si>
  <si>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</si>
  <si>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</si>
  <si>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</si>
  <si>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</si>
  <si>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</si>
  <si>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</si>
  <si>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</si>
  <si>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</si>
  <si>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</si>
  <si>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</si>
  <si>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</si>
  <si>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</si>
  <si>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</si>
  <si>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</si>
  <si>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</si>
  <si>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</si>
  <si>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</si>
  <si>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</si>
  <si>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</si>
  <si>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</si>
  <si>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</si>
  <si>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</si>
  <si>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</si>
  <si>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</si>
  <si>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</si>
  <si>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</si>
  <si>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</si>
  <si>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</si>
  <si>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</si>
  <si>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</si>
  <si>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</si>
  <si>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</si>
  <si>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</si>
  <si>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</si>
  <si>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</si>
  <si>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</si>
  <si>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</si>
  <si>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</si>
  <si>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</si>
  <si>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</si>
  <si>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</si>
  <si>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</si>
  <si>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</si>
  <si>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</si>
  <si>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</si>
  <si>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</si>
  <si>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</si>
  <si>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</si>
  <si>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</si>
  <si>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</si>
  <si>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</si>
  <si>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</si>
  <si>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</si>
  <si>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</si>
  <si>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</si>
  <si>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</si>
  <si>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</si>
  <si>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</si>
  <si>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</si>
  <si>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</si>
  <si>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</si>
  <si>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</si>
  <si>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</si>
  <si>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</si>
  <si>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</si>
  <si>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</si>
  <si>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</si>
  <si>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</si>
  <si>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</si>
  <si>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</si>
  <si>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</si>
  <si>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</si>
  <si>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</si>
  <si>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</si>
  <si>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</si>
  <si>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</si>
  <si>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</si>
  <si>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</si>
  <si>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</si>
  <si>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</si>
  <si>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</si>
  <si>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</si>
  <si>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</si>
  <si>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</si>
  <si>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</si>
  <si>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</si>
  <si>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</si>
  <si>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</si>
  <si>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</si>
  <si>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</si>
  <si>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</si>
  <si>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</si>
  <si>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</si>
  <si>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</si>
  <si>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</si>
  <si>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</si>
  <si>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</si>
  <si>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</si>
  <si>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</si>
  <si>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</si>
  <si>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</si>
  <si>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</si>
  <si>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</si>
  <si>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</si>
  <si>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</si>
  <si>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</si>
  <si>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</si>
  <si>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</si>
  <si>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</si>
  <si>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</si>
  <si>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</si>
  <si>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</si>
  <si>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</si>
  <si>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</si>
  <si>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</si>
  <si>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</si>
  <si>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</si>
  <si>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</si>
  <si>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</si>
  <si>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</si>
  <si>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</si>
  <si>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</si>
  <si>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</si>
  <si>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</si>
  <si>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</si>
  <si>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</si>
  <si>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</si>
  <si>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</si>
  <si>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</si>
  <si>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</si>
  <si>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</si>
  <si>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</si>
  <si>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</si>
  <si>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</si>
  <si>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</si>
  <si>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</si>
  <si>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</si>
  <si>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</si>
  <si>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</si>
  <si>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</si>
  <si>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</si>
  <si>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</si>
  <si>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</si>
  <si>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</si>
  <si>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</si>
  <si>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</si>
  <si>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</si>
  <si>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</si>
  <si>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</si>
  <si>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</si>
  <si>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</si>
  <si>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</si>
  <si>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</si>
  <si>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</si>
  <si>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</si>
  <si>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</si>
  <si>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</si>
  <si>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</si>
  <si>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</si>
  <si>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</si>
  <si>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</si>
  <si>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</si>
  <si>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</si>
  <si>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</si>
  <si>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</si>
  <si>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</si>
  <si>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</si>
  <si>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</si>
  <si>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</si>
  <si>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</si>
  <si>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</si>
  <si>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</si>
  <si>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</si>
  <si>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</si>
  <si>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</si>
  <si>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</si>
  <si>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</si>
  <si>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</si>
  <si>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</si>
  <si>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</si>
  <si>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</si>
  <si>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</si>
  <si>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</si>
  <si>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</si>
  <si>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</si>
  <si>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</si>
  <si>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</si>
  <si>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</si>
  <si>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</si>
  <si>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</si>
  <si>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</si>
  <si>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</si>
  <si>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</si>
  <si>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</si>
  <si>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</si>
  <si>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</si>
  <si>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</si>
  <si>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</si>
  <si>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</si>
  <si>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</si>
  <si>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</si>
  <si>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</si>
  <si>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</si>
  <si>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</si>
  <si>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</si>
  <si>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</si>
  <si>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</si>
  <si>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</si>
  <si>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</si>
  <si>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</si>
  <si>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</si>
  <si>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</si>
  <si>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</si>
  <si>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</si>
  <si>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</si>
  <si>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</si>
  <si>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</si>
  <si>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</si>
  <si>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</si>
  <si>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</si>
  <si>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</si>
  <si>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</si>
  <si>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</si>
  <si>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</si>
  <si>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</si>
  <si>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</si>
  <si>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</si>
  <si>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</si>
  <si>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</si>
  <si>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</si>
  <si>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</si>
  <si>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</si>
  <si>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</si>
  <si>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</si>
  <si>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</si>
  <si>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</si>
  <si>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</si>
  <si>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</si>
  <si>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</si>
  <si>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</si>
  <si>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</si>
  <si>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</si>
  <si>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</si>
  <si>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</si>
  <si>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</si>
  <si>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</si>
  <si>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</si>
  <si>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</si>
  <si>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</si>
  <si>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</si>
  <si>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</si>
  <si>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</si>
  <si>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</si>
  <si>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</si>
  <si>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</si>
  <si>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</si>
  <si>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</si>
  <si>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</si>
  <si>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</si>
  <si>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</si>
  <si>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</si>
  <si>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</si>
  <si>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</si>
  <si>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</si>
  <si>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</si>
  <si>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</si>
  <si>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</si>
  <si>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</si>
  <si>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</si>
  <si>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</si>
  <si>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</si>
  <si>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</si>
  <si>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</si>
  <si>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</si>
  <si>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</si>
  <si>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</si>
  <si>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</si>
  <si>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</si>
  <si>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</si>
  <si>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</si>
  <si>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</si>
  <si>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</si>
  <si>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</si>
  <si>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</si>
  <si>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</si>
  <si>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</si>
  <si>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</si>
  <si>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</si>
  <si>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</si>
  <si>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</si>
  <si>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</si>
  <si>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</si>
  <si>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</si>
  <si>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</si>
  <si>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</si>
  <si>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</si>
  <si>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</si>
  <si>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</si>
  <si>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</si>
  <si>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</si>
  <si>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</si>
  <si>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</si>
  <si>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</si>
  <si>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</si>
  <si>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</si>
  <si>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</si>
  <si>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</si>
  <si>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</si>
  <si>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</si>
  <si>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</si>
  <si>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</si>
  <si>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</si>
  <si>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</si>
  <si>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</si>
  <si>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</si>
  <si>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</si>
  <si>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</si>
  <si>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</si>
  <si>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</si>
  <si>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</si>
  <si>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</si>
  <si>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</si>
  <si>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</si>
  <si>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</si>
  <si>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</si>
  <si>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</si>
  <si>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</si>
  <si>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</si>
  <si>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</si>
  <si>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</si>
  <si>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</si>
  <si>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</si>
  <si>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</si>
  <si>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</si>
  <si>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</si>
  <si>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</si>
  <si>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</si>
  <si>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</si>
  <si>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</si>
  <si>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</si>
  <si>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</si>
  <si>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</si>
  <si>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</si>
  <si>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</si>
  <si>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</si>
  <si>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</si>
  <si>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</si>
  <si>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</si>
  <si>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</si>
  <si>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</si>
  <si>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</si>
  <si>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</si>
  <si>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</si>
  <si>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</si>
  <si>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</si>
  <si>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</si>
  <si>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</si>
  <si>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</si>
  <si>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</si>
  <si>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</si>
  <si>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</si>
  <si>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</si>
  <si>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</si>
  <si>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</si>
  <si>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</si>
  <si>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</si>
  <si>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</si>
  <si>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</si>
  <si>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</si>
  <si>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</si>
  <si>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</si>
  <si>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</si>
  <si>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</si>
  <si>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</si>
  <si>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</si>
  <si>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</si>
  <si>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</si>
  <si>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</si>
  <si>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</si>
  <si>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</si>
  <si>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</si>
  <si>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</si>
  <si>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</si>
  <si>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</si>
  <si>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</si>
  <si>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</si>
  <si>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</si>
  <si>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</si>
  <si>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</si>
  <si>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</si>
  <si>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</si>
  <si>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</si>
  <si>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</si>
  <si>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</si>
  <si>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</si>
  <si>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</si>
  <si>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</si>
  <si>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</si>
  <si>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</si>
  <si>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</si>
  <si>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</si>
  <si>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</si>
  <si>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</si>
  <si>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</si>
  <si>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</si>
  <si>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</si>
  <si>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</si>
  <si>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</si>
  <si>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</si>
  <si>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</si>
  <si>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</si>
  <si>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</si>
  <si>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</si>
  <si>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</si>
  <si>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</si>
  <si>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</si>
  <si>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</si>
  <si>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</si>
  <si>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</si>
  <si>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</si>
  <si>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</si>
  <si>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</si>
  <si>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</si>
  <si>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</si>
  <si>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</si>
  <si>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</si>
  <si>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</si>
  <si>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</si>
  <si>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</si>
  <si>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</si>
  <si>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</si>
  <si>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</si>
  <si>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</si>
  <si>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</si>
  <si>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</si>
  <si>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</si>
  <si>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</si>
  <si>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</si>
  <si>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</si>
  <si>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</si>
  <si>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</si>
  <si>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</si>
  <si>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</si>
  <si>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</si>
  <si>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</si>
  <si>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</si>
  <si>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</si>
  <si>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</si>
  <si>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</si>
  <si>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</si>
  <si>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</si>
  <si>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</si>
  <si>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</si>
  <si>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</si>
  <si>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</si>
  <si>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</si>
  <si>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</si>
  <si>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</si>
  <si>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</si>
  <si>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</si>
  <si>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</si>
  <si>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</si>
  <si>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</si>
  <si>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</si>
  <si>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</si>
  <si>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</si>
  <si>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</si>
  <si>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</si>
  <si>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</si>
  <si>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</si>
  <si>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</si>
  <si>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</si>
  <si>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</si>
  <si>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</si>
  <si>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</si>
  <si>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</si>
  <si>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</si>
  <si>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</si>
  <si>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</si>
  <si>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</si>
  <si>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</si>
  <si>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</si>
  <si>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</si>
  <si>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</si>
  <si>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</si>
  <si>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</si>
  <si>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</si>
  <si>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</si>
  <si>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</si>
  <si>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</si>
  <si>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</si>
  <si>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</si>
  <si>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</si>
  <si>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</si>
  <si>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</si>
  <si>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</si>
  <si>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</si>
  <si>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</si>
  <si>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</si>
  <si>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</si>
  <si>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</si>
  <si>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</si>
  <si>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</si>
  <si>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</si>
  <si>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</si>
  <si>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</si>
  <si>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</si>
  <si>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</si>
  <si>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</si>
  <si>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</si>
  <si>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</si>
  <si>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</si>
  <si>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</si>
  <si>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</si>
  <si>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</si>
  <si>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</si>
  <si>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</si>
  <si>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</si>
  <si>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</si>
  <si>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</si>
  <si>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</si>
  <si>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</si>
  <si>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</si>
  <si>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</si>
  <si>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</si>
  <si>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</si>
  <si>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</si>
  <si>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</si>
  <si>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</si>
  <si>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</si>
  <si>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</si>
  <si>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</si>
  <si>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</si>
  <si>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</si>
  <si>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</si>
  <si>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</si>
  <si>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</si>
  <si>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</si>
  <si>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</si>
  <si>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</si>
  <si>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</si>
  <si>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</si>
  <si>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</si>
  <si>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</si>
  <si>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</si>
  <si>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</si>
  <si>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</si>
  <si>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</si>
  <si>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</si>
  <si>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</si>
  <si>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</si>
  <si>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</si>
  <si>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</si>
  <si>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</si>
  <si>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</si>
  <si>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</si>
  <si>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</si>
  <si>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</si>
  <si>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</si>
  <si>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</si>
  <si>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</si>
  <si>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</si>
  <si>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</si>
  <si>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</si>
  <si>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</si>
  <si>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</si>
  <si>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</si>
  <si>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</si>
  <si>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</si>
  <si>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</si>
  <si>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</si>
  <si>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</si>
  <si>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</si>
  <si>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</si>
  <si>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</si>
  <si>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</si>
  <si>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</si>
  <si>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</si>
  <si>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</si>
  <si>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</si>
  <si>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</si>
  <si>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</si>
  <si>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</si>
  <si>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</si>
  <si>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</si>
  <si>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</si>
  <si>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</si>
  <si>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</si>
  <si>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</si>
  <si>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</si>
  <si>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</si>
  <si>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</si>
  <si>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</si>
  <si>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</si>
  <si>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</si>
  <si>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</si>
  <si>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</si>
  <si>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</si>
  <si>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</si>
  <si>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</si>
  <si>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</si>
  <si>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</si>
  <si>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</si>
  <si>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</si>
  <si>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</si>
  <si>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</si>
  <si>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</si>
  <si>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</si>
  <si>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</si>
  <si>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</si>
  <si>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</si>
  <si>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</si>
  <si>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</si>
  <si>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</si>
  <si>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</si>
  <si>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</si>
  <si>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</si>
  <si>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</si>
  <si>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</si>
  <si>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</si>
  <si>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</si>
  <si>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</si>
  <si>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</si>
  <si>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</si>
  <si>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</si>
  <si>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</si>
  <si>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</si>
  <si>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</si>
  <si>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</si>
  <si>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</si>
  <si>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</si>
  <si>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</si>
  <si>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</si>
  <si>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</si>
  <si>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</si>
  <si>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</si>
  <si>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</si>
  <si>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</si>
  <si>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</si>
  <si>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</si>
  <si>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</si>
  <si>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</si>
  <si>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</si>
  <si>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</si>
  <si>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</si>
  <si>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</si>
  <si>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</si>
  <si>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</si>
  <si>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</si>
  <si>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</si>
  <si>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</si>
  <si>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</si>
  <si>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</si>
  <si>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</si>
  <si>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</si>
  <si>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</si>
  <si>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</si>
  <si>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</si>
  <si>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</si>
  <si>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</si>
  <si>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</si>
  <si>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</si>
  <si>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</si>
  <si>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</si>
  <si>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</si>
  <si>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</si>
  <si>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</si>
  <si>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</si>
  <si>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</si>
  <si>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</si>
  <si>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</si>
  <si>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</si>
  <si>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</si>
  <si>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</si>
  <si>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</si>
  <si>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</si>
  <si>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</si>
  <si>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</si>
  <si>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</si>
  <si>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</si>
  <si>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</si>
  <si>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</si>
  <si>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</si>
  <si>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</si>
  <si>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</si>
  <si>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</si>
  <si>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</si>
  <si>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</si>
  <si>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</si>
  <si>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</si>
  <si>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</si>
  <si>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</si>
  <si>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</si>
  <si>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</si>
  <si>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</si>
  <si>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</si>
  <si>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</si>
  <si>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</si>
  <si>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</si>
  <si>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</si>
  <si>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</si>
  <si>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</si>
  <si>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</si>
  <si>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</si>
  <si>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</si>
  <si>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</si>
  <si>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</si>
  <si>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</si>
  <si>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</si>
  <si>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</si>
  <si>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</si>
  <si>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</si>
  <si>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</si>
  <si>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</si>
  <si>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</si>
  <si>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</si>
  <si>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</si>
  <si>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</si>
  <si>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</si>
  <si>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</si>
  <si>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</si>
  <si>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</si>
  <si>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</si>
  <si>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</si>
  <si>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</si>
  <si>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</si>
  <si>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</si>
  <si>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</si>
  <si>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</si>
  <si>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</si>
  <si>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</si>
  <si>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</si>
  <si>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</si>
  <si>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</si>
  <si>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</si>
  <si>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</si>
  <si>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</si>
  <si>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</si>
  <si>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</si>
  <si>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</si>
  <si>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</si>
  <si>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</si>
  <si>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</si>
  <si>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</si>
  <si>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</si>
  <si>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</si>
  <si>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</si>
  <si>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</si>
  <si>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</si>
  <si>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</si>
  <si>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</si>
  <si>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</si>
  <si>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</si>
  <si>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</si>
  <si>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</si>
  <si>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</si>
  <si>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</si>
  <si>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</si>
  <si>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</si>
  <si>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</si>
  <si>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</si>
  <si>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</si>
  <si>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</si>
  <si>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</si>
  <si>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</si>
  <si>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</si>
  <si>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</si>
  <si>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</si>
  <si>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</si>
  <si>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</si>
  <si>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</si>
  <si>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</si>
  <si>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</si>
  <si>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</si>
  <si>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</si>
  <si>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</si>
  <si>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</si>
  <si>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</si>
  <si>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</si>
  <si>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</si>
  <si>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</si>
  <si>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</si>
  <si>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</si>
  <si>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</si>
  <si>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</si>
  <si>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</si>
  <si>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</si>
  <si>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</si>
  <si>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</si>
  <si>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</si>
  <si>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</si>
  <si>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</si>
  <si>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</si>
  <si>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</si>
  <si>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</si>
  <si>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</si>
  <si>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</si>
  <si>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</si>
  <si>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</si>
  <si>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</si>
  <si>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</si>
  <si>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</si>
  <si>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</si>
  <si>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</si>
  <si>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</si>
  <si>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</si>
  <si>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</si>
  <si>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</si>
  <si>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</si>
  <si>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</si>
  <si>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</si>
  <si>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</si>
  <si>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</si>
  <si>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</si>
  <si>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</si>
  <si>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</si>
  <si>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</si>
  <si>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</si>
  <si>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</si>
  <si>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</si>
  <si>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</si>
  <si>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</si>
  <si>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</si>
  <si>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</si>
  <si>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</si>
  <si>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</si>
  <si>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</si>
  <si>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</si>
  <si>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</si>
  <si>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</si>
  <si>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</si>
  <si>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</si>
  <si>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</si>
  <si>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</si>
  <si>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</si>
  <si>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</si>
  <si>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</si>
  <si>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</si>
  <si>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</si>
  <si>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</si>
  <si>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</si>
  <si>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</si>
  <si>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</si>
  <si>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</si>
  <si>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</si>
  <si>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</si>
  <si>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</si>
  <si>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</si>
  <si>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</si>
  <si>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</si>
  <si>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</si>
  <si>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</si>
  <si>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</si>
  <si>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</si>
  <si>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</si>
  <si>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</si>
  <si>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</si>
  <si>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</si>
  <si>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</si>
  <si>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</si>
  <si>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</si>
  <si>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</si>
  <si>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</si>
  <si>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</si>
  <si>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</si>
  <si>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</si>
  <si>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</si>
  <si>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</si>
  <si>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</si>
  <si>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</si>
  <si>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</si>
  <si>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</si>
  <si>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</si>
  <si>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</si>
  <si>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</si>
  <si>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</si>
  <si>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</si>
  <si>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</si>
  <si>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</si>
  <si>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</si>
  <si>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</si>
  <si>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</si>
  <si>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</si>
  <si>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</si>
  <si>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</si>
  <si>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</si>
  <si>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</si>
  <si>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</si>
  <si>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</si>
  <si>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</si>
  <si>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</si>
  <si>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</si>
  <si>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</si>
  <si>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</si>
  <si>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</si>
  <si>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</si>
  <si>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</si>
  <si>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</si>
  <si>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</si>
  <si>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</si>
  <si>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</si>
  <si>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</si>
  <si>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</si>
  <si>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</si>
  <si>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</si>
  <si>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</si>
  <si>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</si>
  <si>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</si>
  <si>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</si>
  <si>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</si>
  <si>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</si>
  <si>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</si>
  <si>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</si>
  <si>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</si>
  <si>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</si>
  <si>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</si>
  <si>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</si>
  <si>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</si>
  <si>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</si>
  <si>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</si>
  <si>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</si>
  <si>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</si>
  <si>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</si>
  <si>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</si>
  <si>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</si>
  <si>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</si>
  <si>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</si>
  <si>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</si>
  <si>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</si>
  <si>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</si>
  <si>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</si>
  <si>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</si>
  <si>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</si>
  <si>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</si>
  <si>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</si>
  <si>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</si>
  <si>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</si>
  <si>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</si>
  <si>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</si>
  <si>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</si>
  <si>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</si>
  <si>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</si>
  <si>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</si>
  <si>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</si>
  <si>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</si>
  <si>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</si>
  <si>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</si>
  <si>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</si>
  <si>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</si>
  <si>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</si>
  <si>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</si>
  <si>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</si>
  <si>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</si>
  <si>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</si>
  <si>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</si>
  <si>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</si>
  <si>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</si>
  <si>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</si>
  <si>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</si>
  <si>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</si>
  <si>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</si>
  <si>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</si>
  <si>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</si>
  <si>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</si>
  <si>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</si>
  <si>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</si>
  <si>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</si>
  <si>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</si>
  <si>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</si>
  <si>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</si>
  <si>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</si>
  <si>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</si>
  <si>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</si>
  <si>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</si>
  <si>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</si>
  <si>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</si>
  <si>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</si>
  <si>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</si>
  <si>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</si>
  <si>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</si>
  <si>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</si>
  <si>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</si>
  <si>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</si>
  <si>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</si>
  <si>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</si>
  <si>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</si>
  <si>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</si>
  <si>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</si>
  <si>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</si>
  <si>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</si>
  <si>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</si>
  <si>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</si>
  <si>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</si>
  <si>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</si>
  <si>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</si>
  <si>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</si>
  <si>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</si>
  <si>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</si>
  <si>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</si>
  <si>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</si>
  <si>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</si>
  <si>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</si>
  <si>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</si>
  <si>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</si>
  <si>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</si>
  <si>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</si>
  <si>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</si>
  <si>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</si>
  <si>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</si>
  <si>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</si>
  <si>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</si>
  <si>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</si>
  <si>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</si>
  <si>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</si>
  <si>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</si>
  <si>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</si>
  <si>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</si>
  <si>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</si>
  <si>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</si>
  <si>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</si>
  <si>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</si>
  <si>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</si>
  <si>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</si>
  <si>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</si>
  <si>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</si>
  <si>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</si>
  <si>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</si>
  <si>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</si>
  <si>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</si>
  <si>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</si>
  <si>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</si>
  <si>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</si>
  <si>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</si>
  <si>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</si>
  <si>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</si>
  <si>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</si>
  <si>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</si>
  <si>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</si>
  <si>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</si>
  <si>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</si>
  <si>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</si>
  <si>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</si>
  <si>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</si>
  <si>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</si>
  <si>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</si>
  <si>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</si>
  <si>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</si>
  <si>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</si>
  <si>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</si>
  <si>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</si>
  <si>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</si>
  <si>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</si>
  <si>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</si>
  <si>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</si>
  <si>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</si>
  <si>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</si>
  <si>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</si>
  <si>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</si>
  <si>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</si>
  <si>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</si>
  <si>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</si>
  <si>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</si>
  <si>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</si>
  <si>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</si>
  <si>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</si>
  <si>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</si>
  <si>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</si>
  <si>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</si>
  <si>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</si>
  <si>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</si>
  <si>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</si>
  <si>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</si>
  <si>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</si>
  <si>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</si>
  <si>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</si>
  <si>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</si>
  <si>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</si>
  <si>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</si>
  <si>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</si>
  <si>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</si>
  <si>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</si>
  <si>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</si>
  <si>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</si>
  <si>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</si>
  <si>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</si>
  <si>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</si>
  <si>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</si>
  <si>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</si>
  <si>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</si>
  <si>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</si>
  <si>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</si>
  <si>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</si>
  <si>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</si>
  <si>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</si>
  <si>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</si>
  <si>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</si>
  <si>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</si>
  <si>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</si>
  <si>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</si>
  <si>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</si>
  <si>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</si>
  <si>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</si>
  <si>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</si>
  <si>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</si>
  <si>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</si>
  <si>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</si>
  <si>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</si>
  <si>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</si>
  <si>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</si>
  <si>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</si>
  <si>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</si>
  <si>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</si>
  <si>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</si>
  <si>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</si>
  <si>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</si>
  <si>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</si>
  <si>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</si>
  <si>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</si>
  <si>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</si>
  <si>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</si>
  <si>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</si>
  <si>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</si>
  <si>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</si>
  <si>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</si>
  <si>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</si>
  <si>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</si>
  <si>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</si>
  <si>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</si>
  <si>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</si>
  <si>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</si>
  <si>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</si>
  <si>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</si>
  <si>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</si>
  <si>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</si>
  <si>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</si>
  <si>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</si>
  <si>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</si>
  <si>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</si>
  <si>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</si>
  <si>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</si>
  <si>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</si>
  <si>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</si>
  <si>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</si>
  <si>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</si>
  <si>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</si>
  <si>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</si>
  <si>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</si>
  <si>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</si>
  <si>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</si>
  <si>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</si>
  <si>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</si>
  <si>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</si>
  <si>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</si>
  <si>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</si>
  <si>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</si>
  <si>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</si>
  <si>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</si>
  <si>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</si>
  <si>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</si>
  <si>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</si>
  <si>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</si>
  <si>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</si>
  <si>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</si>
  <si>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</si>
  <si>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</si>
  <si>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</si>
  <si>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</si>
  <si>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</si>
  <si>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</si>
  <si>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</si>
  <si>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</si>
  <si>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</si>
  <si>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</si>
  <si>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</si>
  <si>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</si>
  <si>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</si>
  <si>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</si>
  <si>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</si>
  <si>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</si>
  <si>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</si>
  <si>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</si>
  <si>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</si>
  <si>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</si>
  <si>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</si>
  <si>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</si>
  <si>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</si>
  <si>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</si>
  <si>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</si>
  <si>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</si>
  <si>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</si>
  <si>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</si>
  <si>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</si>
  <si>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</si>
  <si>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</si>
  <si>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</si>
  <si>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</si>
  <si>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</si>
  <si>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</si>
  <si>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</si>
  <si>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</si>
  <si>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</si>
  <si>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</si>
  <si>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</si>
  <si>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</si>
  <si>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</si>
  <si>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</si>
  <si>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</si>
  <si>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</si>
  <si>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</si>
  <si>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</si>
  <si>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</si>
  <si>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</si>
  <si>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</si>
  <si>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</si>
  <si>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</si>
  <si>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</si>
  <si>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</si>
  <si>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</si>
  <si>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</si>
  <si>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</si>
  <si>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</si>
  <si>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</si>
  <si>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</si>
  <si>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</si>
  <si>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</si>
  <si>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</si>
  <si>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</si>
  <si>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</si>
  <si>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</si>
  <si>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</si>
  <si>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</si>
  <si>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</si>
  <si>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</si>
  <si>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</si>
  <si>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</si>
  <si>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</si>
  <si>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</si>
  <si>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</si>
  <si>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</si>
  <si>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</si>
  <si>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</si>
  <si>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</si>
  <si>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</si>
  <si>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</si>
  <si>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</si>
  <si>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</si>
  <si>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</si>
  <si>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</si>
  <si>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</si>
  <si>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</si>
  <si>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</si>
  <si>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</si>
  <si>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</si>
  <si>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</si>
  <si>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</si>
  <si>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</si>
  <si>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</si>
  <si>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</si>
  <si>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</si>
  <si>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</si>
  <si>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</si>
  <si>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</si>
  <si>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</si>
  <si>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</si>
  <si>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</si>
  <si>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</si>
  <si>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</si>
  <si>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</si>
  <si>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</si>
  <si>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</si>
  <si>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</si>
  <si>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</si>
  <si>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</si>
  <si>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</si>
  <si>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</si>
  <si>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</si>
  <si>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</si>
  <si>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</si>
  <si>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</si>
  <si>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</si>
  <si>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</si>
  <si>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</si>
  <si>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</si>
  <si>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</si>
  <si>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</si>
  <si>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</si>
  <si>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</si>
  <si>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</si>
  <si>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</si>
  <si>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</si>
  <si>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</si>
  <si>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</si>
  <si>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</si>
  <si>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</si>
  <si>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</si>
  <si>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</si>
  <si>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</si>
  <si>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</si>
  <si>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</si>
  <si>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</si>
  <si>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</si>
  <si>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</si>
  <si>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</si>
  <si>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</si>
  <si>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</si>
  <si>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</si>
  <si>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</si>
  <si>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</si>
  <si>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</si>
  <si>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</si>
  <si>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</si>
  <si>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</si>
  <si>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</si>
  <si>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</si>
  <si>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</si>
  <si>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</si>
  <si>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</si>
  <si>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</si>
  <si>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</si>
  <si>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</si>
  <si>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</si>
  <si>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</si>
  <si>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</si>
  <si>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</si>
  <si>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</si>
  <si>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</si>
  <si>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</si>
  <si>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</si>
  <si>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</si>
  <si>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</si>
  <si>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</si>
  <si>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</si>
  <si>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</si>
  <si>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</si>
  <si>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</si>
  <si>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</si>
  <si>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</si>
  <si>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</si>
  <si>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</si>
  <si>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</si>
  <si>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</si>
  <si>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</si>
  <si>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</si>
  <si>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</si>
  <si>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</si>
  <si>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</si>
  <si>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</si>
  <si>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</si>
  <si>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</si>
  <si>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</si>
  <si>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</si>
  <si>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</si>
  <si>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</si>
  <si>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</si>
  <si>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</si>
  <si>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</si>
  <si>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</si>
  <si>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</si>
  <si>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</si>
  <si>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</si>
  <si>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</si>
  <si>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</si>
  <si>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</si>
  <si>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</si>
  <si>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</si>
  <si>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</si>
  <si>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</si>
  <si>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</si>
  <si>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</si>
  <si>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</si>
  <si>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</si>
  <si>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</si>
  <si>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</si>
  <si>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</si>
  <si>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</si>
  <si>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</si>
  <si>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</si>
  <si>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</si>
  <si>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</si>
  <si>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</si>
  <si>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</si>
  <si>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</si>
  <si>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</si>
  <si>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</si>
  <si>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</si>
  <si>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</si>
  <si>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</si>
  <si>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</si>
  <si>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</si>
  <si>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</si>
  <si>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</si>
  <si>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</si>
  <si>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</si>
  <si>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</si>
  <si>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</si>
  <si>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</si>
  <si>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</si>
  <si>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</si>
  <si>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</si>
  <si>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</si>
  <si>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</si>
  <si>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</si>
  <si>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</si>
  <si>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</si>
  <si>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</si>
  <si>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</si>
  <si>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</si>
  <si>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</si>
  <si>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</si>
  <si>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</si>
  <si>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</si>
  <si>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</si>
  <si>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</si>
  <si>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</si>
  <si>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</si>
  <si>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</si>
  <si>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</si>
  <si>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</si>
  <si>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</si>
  <si>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</si>
  <si>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</si>
  <si>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</si>
  <si>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</si>
  <si>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</si>
  <si>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</si>
  <si>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</si>
  <si>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</si>
  <si>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</si>
  <si>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</si>
  <si>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</si>
  <si>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</si>
  <si>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</si>
  <si>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</si>
  <si>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</si>
  <si>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</si>
  <si>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</si>
  <si>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</si>
  <si>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</si>
  <si>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</si>
  <si>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</si>
  <si>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</si>
  <si>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</si>
  <si>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</si>
  <si>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</si>
  <si>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</si>
  <si>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</si>
  <si>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</si>
  <si>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</si>
  <si>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</si>
  <si>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</si>
  <si>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</si>
  <si>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</si>
  <si>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</si>
  <si>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</si>
  <si>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</si>
  <si>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</si>
  <si>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</si>
  <si>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</si>
  <si>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</si>
  <si>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</si>
  <si>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</si>
  <si>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</si>
  <si>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</si>
  <si>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</si>
  <si>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</si>
  <si>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</si>
  <si>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</si>
  <si>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</si>
  <si>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</si>
  <si>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</si>
  <si>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</si>
  <si>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</si>
  <si>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</si>
  <si>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</si>
  <si>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</si>
  <si>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</si>
  <si>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</si>
  <si>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</si>
  <si>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</si>
  <si>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</si>
  <si>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</si>
  <si>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</si>
  <si>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</si>
  <si>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</si>
  <si>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</si>
  <si>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</si>
  <si>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</si>
  <si>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</si>
  <si>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</si>
  <si>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</si>
  <si>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</si>
  <si>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</si>
  <si>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</si>
  <si>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</si>
  <si>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</si>
  <si>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</si>
  <si>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</si>
  <si>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</si>
  <si>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</si>
  <si>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</si>
  <si>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</si>
  <si>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</si>
  <si>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</si>
  <si>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</si>
  <si>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</si>
  <si>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</si>
  <si>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</si>
  <si>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</si>
  <si>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</si>
  <si>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</si>
  <si>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</si>
  <si>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</si>
  <si>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</si>
  <si>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</si>
  <si>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</si>
  <si>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</si>
  <si>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</si>
  <si>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</si>
  <si>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</si>
  <si>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</si>
  <si>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</si>
  <si>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</si>
  <si>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</si>
  <si>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</si>
  <si>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</si>
  <si>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</si>
  <si>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</si>
  <si>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</si>
  <si>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</si>
  <si>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</si>
  <si>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</si>
  <si>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</si>
  <si>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</si>
  <si>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</si>
  <si>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</si>
  <si>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</si>
  <si>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</si>
  <si>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</si>
  <si>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</si>
  <si>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</si>
  <si>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</si>
  <si>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</si>
  <si>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</si>
  <si>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</si>
  <si>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</si>
  <si>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</si>
  <si>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</si>
  <si>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</si>
  <si>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</si>
  <si>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</si>
  <si>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</si>
  <si>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</si>
  <si>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</si>
  <si>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</si>
  <si>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</si>
  <si>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</si>
  <si>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</si>
  <si>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</si>
  <si>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</si>
  <si>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</si>
  <si>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</si>
  <si>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</si>
  <si>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</si>
  <si>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</si>
  <si>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</si>
  <si>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</si>
  <si>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</si>
  <si>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</si>
  <si>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</si>
  <si>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</si>
  <si>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</si>
  <si>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</si>
  <si>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</si>
  <si>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</si>
  <si>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</si>
  <si>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</si>
  <si>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</si>
  <si>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</si>
  <si>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</si>
  <si>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</si>
  <si>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</si>
  <si>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</si>
  <si>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</si>
  <si>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</si>
  <si>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</si>
  <si>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</si>
  <si>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</si>
  <si>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</si>
  <si>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</si>
  <si>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</si>
  <si>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</si>
  <si>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</si>
  <si>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</si>
  <si>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</si>
  <si>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</si>
  <si>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</si>
  <si>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</si>
  <si>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</si>
  <si>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</si>
  <si>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</si>
  <si>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</si>
  <si>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</si>
  <si>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</si>
  <si>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</si>
  <si>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</si>
  <si>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</si>
  <si>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</si>
  <si>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</si>
  <si>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</si>
  <si>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</si>
  <si>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</si>
  <si>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</si>
  <si>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</si>
  <si>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</si>
  <si>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</si>
  <si>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</si>
  <si>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</si>
  <si>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</si>
  <si>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</si>
  <si>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</si>
  <si>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</si>
  <si>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</si>
  <si>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</si>
  <si>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</si>
  <si>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</si>
  <si>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</si>
  <si>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</si>
  <si>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</si>
  <si>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</si>
  <si>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</si>
  <si>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</si>
  <si>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</si>
  <si>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</si>
  <si>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</si>
  <si>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</si>
  <si>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</si>
  <si>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</si>
  <si>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</si>
  <si>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</si>
  <si>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</si>
  <si>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</si>
  <si>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</si>
  <si>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</si>
  <si>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</si>
  <si>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</si>
  <si>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</si>
  <si>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</si>
  <si>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</si>
  <si>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</si>
  <si>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</si>
  <si>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</si>
  <si>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</si>
  <si>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</si>
  <si>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</si>
  <si>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</si>
  <si>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</si>
  <si>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</si>
  <si>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</si>
  <si>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</si>
  <si>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</si>
  <si>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</si>
  <si>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</si>
  <si>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</si>
  <si>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</si>
  <si>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</si>
  <si>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</si>
  <si>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</si>
  <si>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</si>
  <si>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</si>
  <si>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</si>
  <si>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</si>
  <si>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</si>
  <si>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</si>
  <si>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</si>
  <si>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</si>
  <si>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</si>
  <si>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</si>
  <si>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</si>
  <si>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</si>
  <si>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</si>
  <si>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</si>
  <si>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</si>
  <si>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</si>
  <si>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</si>
  <si>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</si>
  <si>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</si>
  <si>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</si>
  <si>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</si>
  <si>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</si>
  <si>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</si>
  <si>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</si>
  <si>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</si>
  <si>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</si>
  <si>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</si>
  <si>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</si>
  <si>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</si>
  <si>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</si>
  <si>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</si>
  <si>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</si>
  <si>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</si>
  <si>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</si>
  <si>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</si>
  <si>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</si>
  <si>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</si>
  <si>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</si>
  <si>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</si>
  <si>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</si>
  <si>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</si>
  <si>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</si>
  <si>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</si>
  <si>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</si>
  <si>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</si>
  <si>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</si>
  <si>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</si>
  <si>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</si>
  <si>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</si>
  <si>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</si>
  <si>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</si>
  <si>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</si>
  <si>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</si>
  <si>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</si>
  <si>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</si>
  <si>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</si>
  <si>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</si>
  <si>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</si>
  <si>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</si>
  <si>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</si>
  <si>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</si>
  <si>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</si>
  <si>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</si>
  <si>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</si>
  <si>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</si>
  <si>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</si>
  <si>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</si>
  <si>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</si>
  <si>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</si>
  <si>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</si>
  <si>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</si>
  <si>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</si>
  <si>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</si>
  <si>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</si>
  <si>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</si>
  <si>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</si>
  <si>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</si>
  <si>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</si>
  <si>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</si>
  <si>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</si>
  <si>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</si>
  <si>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</si>
  <si>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</si>
  <si>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</si>
  <si>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</si>
  <si>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</si>
  <si>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</si>
  <si>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</si>
  <si>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</si>
  <si>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</si>
  <si>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</si>
  <si>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</si>
  <si>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</si>
  <si>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</si>
  <si>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</si>
  <si>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</si>
  <si>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</si>
  <si>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</si>
  <si>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</si>
  <si>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</si>
  <si>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</si>
  <si>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</si>
  <si>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</si>
  <si>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</si>
  <si>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</si>
  <si>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</si>
  <si>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</si>
  <si>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</si>
  <si>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</si>
  <si>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</si>
  <si>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</si>
  <si>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</si>
  <si>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</si>
  <si>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</si>
  <si>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</si>
  <si>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</si>
  <si>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</si>
  <si>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</si>
  <si>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</si>
  <si>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</si>
  <si>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</si>
  <si>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</si>
  <si>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</si>
  <si>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</si>
  <si>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</si>
  <si>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</si>
  <si>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</si>
  <si>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</si>
  <si>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</si>
  <si>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</si>
  <si>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</si>
  <si>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</si>
  <si>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</si>
  <si>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</si>
  <si>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</si>
  <si>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</si>
  <si>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</si>
  <si>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</si>
  <si>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</si>
  <si>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</si>
  <si>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</si>
  <si>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</si>
  <si>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</si>
  <si>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</si>
  <si>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</si>
  <si>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</si>
  <si>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</si>
  <si>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</si>
  <si>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</si>
  <si>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</si>
  <si>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</si>
  <si>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</si>
  <si>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</si>
  <si>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</si>
  <si>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</si>
  <si>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</si>
  <si>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</si>
  <si>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</si>
  <si>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</si>
  <si>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</si>
  <si>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</si>
  <si>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</si>
  <si>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</si>
  <si>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</si>
  <si>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</si>
  <si>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</si>
  <si>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</si>
  <si>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</si>
  <si>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</si>
  <si>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</si>
  <si>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</si>
  <si>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</si>
  <si>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</si>
  <si>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</si>
  <si>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</si>
  <si>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</si>
  <si>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</si>
  <si>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</si>
  <si>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</si>
  <si>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</si>
  <si>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</si>
  <si>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</si>
  <si>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</si>
  <si>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</si>
  <si>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</si>
  <si>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</si>
  <si>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</si>
  <si>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</si>
  <si>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</si>
  <si>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</si>
  <si>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</si>
  <si>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</si>
  <si>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</si>
  <si>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</si>
  <si>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</si>
  <si>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</si>
  <si>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</si>
  <si>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</si>
  <si>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</si>
  <si>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</si>
  <si>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</si>
  <si>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</si>
  <si>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</si>
  <si>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</si>
  <si>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</si>
  <si>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</si>
  <si>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</si>
  <si>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</si>
  <si>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</si>
  <si>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</si>
  <si>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</si>
  <si>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</si>
  <si>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</si>
  <si>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</si>
  <si>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</si>
  <si>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</si>
  <si>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</si>
  <si>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</si>
  <si>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</si>
  <si>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</si>
  <si>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</si>
  <si>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</si>
  <si>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</si>
  <si>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</si>
  <si>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</si>
  <si>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</si>
  <si>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</si>
  <si>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</si>
  <si>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</si>
  <si>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</si>
  <si>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</si>
  <si>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</si>
  <si>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</si>
  <si>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</si>
  <si>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</si>
  <si>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</si>
  <si>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</si>
  <si>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</si>
  <si>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</si>
  <si>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</si>
  <si>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</si>
  <si>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</si>
  <si>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</si>
  <si>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</si>
  <si>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</si>
  <si>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</si>
  <si>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</si>
  <si>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</si>
  <si>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</si>
  <si>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</si>
  <si>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</si>
  <si>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</si>
  <si>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</si>
  <si>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</si>
  <si>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</si>
  <si>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</si>
  <si>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</si>
  <si>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</si>
  <si>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</si>
  <si>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</si>
  <si>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</si>
  <si>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</si>
  <si>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</si>
  <si>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</si>
  <si>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</si>
  <si>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</si>
  <si>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</si>
  <si>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</si>
  <si>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</si>
  <si>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</si>
  <si>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</si>
  <si>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</si>
  <si>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</si>
  <si>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</si>
  <si>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</si>
  <si>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</si>
  <si>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</si>
  <si>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</si>
  <si>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</si>
  <si>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</si>
  <si>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</si>
  <si>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</si>
  <si>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</si>
  <si>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</si>
  <si>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</si>
  <si>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</si>
  <si>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</si>
  <si>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</si>
  <si>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</si>
  <si>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</si>
  <si>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</si>
  <si>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</si>
  <si>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</si>
  <si>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</si>
  <si>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</si>
  <si>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</si>
  <si>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</si>
  <si>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</si>
  <si>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</si>
  <si>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</si>
  <si>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</si>
  <si>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</si>
  <si>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</si>
  <si>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</si>
  <si>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</si>
  <si>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</si>
  <si>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</si>
  <si>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</si>
  <si>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</si>
  <si>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</si>
  <si>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</si>
  <si>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</si>
  <si>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</si>
  <si>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</si>
  <si>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</si>
  <si>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</si>
  <si>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</si>
  <si>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</si>
  <si>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</si>
  <si>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</si>
  <si>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</si>
  <si>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</si>
  <si>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</si>
  <si>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</si>
  <si>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</si>
  <si>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</si>
  <si>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</si>
  <si>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</si>
  <si>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</si>
  <si>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</si>
  <si>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</si>
  <si>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</si>
  <si>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</si>
  <si>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</si>
  <si>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</si>
  <si>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</si>
  <si>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</si>
  <si>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</si>
  <si>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</si>
  <si>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</si>
  <si>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</si>
  <si>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</si>
  <si>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</si>
  <si>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</si>
  <si>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</si>
  <si>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</si>
  <si>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</si>
  <si>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</si>
  <si>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</si>
  <si>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</si>
  <si>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</si>
  <si>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</si>
  <si>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</si>
  <si>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</si>
  <si>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</si>
  <si>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</si>
  <si>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</si>
  <si>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</si>
  <si>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</si>
  <si>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</si>
  <si>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</si>
  <si>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</si>
  <si>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</si>
  <si>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</si>
  <si>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</si>
  <si>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</si>
  <si>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</si>
  <si>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</si>
  <si>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</si>
  <si>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</si>
  <si>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</si>
  <si>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</si>
  <si>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</si>
  <si>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</si>
  <si>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</si>
  <si>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</si>
  <si>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</si>
  <si>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</si>
  <si>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</si>
  <si>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</si>
  <si>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</si>
  <si>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</si>
  <si>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</si>
  <si>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</si>
  <si>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</si>
  <si>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</si>
  <si>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</si>
  <si>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</si>
  <si>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</si>
  <si>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</si>
  <si>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</si>
  <si>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</si>
  <si>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</si>
  <si>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</si>
  <si>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</si>
  <si>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</si>
  <si>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</si>
  <si>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</si>
  <si>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</si>
  <si>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</si>
  <si>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</si>
  <si>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</si>
  <si>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</si>
  <si>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</si>
  <si>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</si>
  <si>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</si>
  <si>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</si>
  <si>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</si>
  <si>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</si>
  <si>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</si>
  <si>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</si>
  <si>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</si>
  <si>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</si>
  <si>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</si>
  <si>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</si>
  <si>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</si>
  <si>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</si>
  <si>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</si>
  <si>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</si>
  <si>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</si>
  <si>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</si>
  <si>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</si>
  <si>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</si>
  <si>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</si>
  <si>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</si>
  <si>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</si>
  <si>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</si>
  <si>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</si>
  <si>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</si>
  <si>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</si>
  <si>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</si>
  <si>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</si>
  <si>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</si>
  <si>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</si>
  <si>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</si>
  <si>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</si>
  <si>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</si>
  <si>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</si>
  <si>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</si>
  <si>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</si>
  <si>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</si>
  <si>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</si>
  <si>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</si>
  <si>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</si>
  <si>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</si>
  <si>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</si>
  <si>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</si>
  <si>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</si>
  <si>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</si>
  <si>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</si>
  <si>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</si>
  <si>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</si>
  <si>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</si>
  <si>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</si>
  <si>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</si>
  <si>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</si>
  <si>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</si>
  <si>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</si>
  <si>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</si>
  <si>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</si>
  <si>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</si>
  <si>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</si>
  <si>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</si>
  <si>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</si>
  <si>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</si>
  <si>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</si>
  <si>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</si>
  <si>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</si>
  <si>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</si>
  <si>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</si>
  <si>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</si>
  <si>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</si>
  <si>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</si>
  <si>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</si>
  <si>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</si>
  <si>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</si>
  <si>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</si>
  <si>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</si>
  <si>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</si>
  <si>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</si>
  <si>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</si>
  <si>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</si>
  <si>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</si>
  <si>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</si>
  <si>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</si>
  <si>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</si>
  <si>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</si>
  <si>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</si>
  <si>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</si>
  <si>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</si>
  <si>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</si>
  <si>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</si>
  <si>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</si>
  <si>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</si>
  <si>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</si>
  <si>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</si>
  <si>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</si>
  <si>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</si>
  <si>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</si>
  <si>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</si>
  <si>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</si>
  <si>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</si>
  <si>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</si>
  <si>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</si>
  <si>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</si>
  <si>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</si>
  <si>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</si>
  <si>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</si>
  <si>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</si>
  <si>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</si>
  <si>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</si>
  <si>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</si>
  <si>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</si>
  <si>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</si>
  <si>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</si>
  <si>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</si>
  <si>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</si>
  <si>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</si>
  <si>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</si>
  <si>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</si>
  <si>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</si>
  <si>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</si>
  <si>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</si>
  <si>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</si>
  <si>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</si>
  <si>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</si>
  <si>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</si>
  <si>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</si>
  <si>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</si>
  <si>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</si>
  <si>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</si>
  <si>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</si>
  <si>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</si>
  <si>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</si>
  <si>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</si>
  <si>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</si>
  <si>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</si>
  <si>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</si>
  <si>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</si>
  <si>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</si>
  <si>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</si>
  <si>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</si>
  <si>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</si>
  <si>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</si>
  <si>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</si>
  <si>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</si>
  <si>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</si>
  <si>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</si>
  <si>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</si>
  <si>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</si>
  <si>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</si>
  <si>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</si>
  <si>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</si>
  <si>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</si>
  <si>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</si>
  <si>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</si>
  <si>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</si>
  <si>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</si>
  <si>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</si>
  <si>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</si>
  <si>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</si>
  <si>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</si>
  <si>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</si>
  <si>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</si>
  <si>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</si>
  <si>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</si>
  <si>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</si>
  <si>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</si>
  <si>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</si>
  <si>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</si>
  <si>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</si>
  <si>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</si>
  <si>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</si>
  <si>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</si>
  <si>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</si>
  <si>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</si>
  <si>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</si>
  <si>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</si>
  <si>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</si>
  <si>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</si>
  <si>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</si>
  <si>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</si>
  <si>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</si>
  <si>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</si>
  <si>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</si>
  <si>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</si>
  <si>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</si>
  <si>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</si>
  <si>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</si>
  <si>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</si>
  <si>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</si>
  <si>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</si>
  <si>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</si>
  <si>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</si>
  <si>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</si>
  <si>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</si>
  <si>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</si>
  <si>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</si>
  <si>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</si>
  <si>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</si>
  <si>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</si>
  <si>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</si>
  <si>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</si>
  <si>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</si>
  <si>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</si>
  <si>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</si>
  <si>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</si>
  <si>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</si>
  <si>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</si>
  <si>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</si>
  <si>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</si>
  <si>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</si>
  <si>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</si>
  <si>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</si>
  <si>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</si>
  <si>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</si>
  <si>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</si>
  <si>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</si>
  <si>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</si>
  <si>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</si>
  <si>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</si>
  <si>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</si>
  <si>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</si>
  <si>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</si>
  <si>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</si>
  <si>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</si>
  <si>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</si>
  <si>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</si>
  <si>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</si>
  <si>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</si>
  <si>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</si>
  <si>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</si>
  <si>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</si>
  <si>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</si>
  <si>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</si>
  <si>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</si>
  <si>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</si>
  <si>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</si>
  <si>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</si>
  <si>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</si>
  <si>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</si>
  <si>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</si>
  <si>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</si>
  <si>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</si>
  <si>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</si>
  <si>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</si>
  <si>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</si>
  <si>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</si>
  <si>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</si>
  <si>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</si>
  <si>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</si>
  <si>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</si>
  <si>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</si>
  <si>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</si>
  <si>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</si>
  <si>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</si>
  <si>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</si>
  <si>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</si>
  <si>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</si>
  <si>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</si>
  <si>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</si>
  <si>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</si>
  <si>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</si>
  <si>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</si>
  <si>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</si>
  <si>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</si>
  <si>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</si>
  <si>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</si>
  <si>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</si>
  <si>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</si>
  <si>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</si>
  <si>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</si>
  <si>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</si>
  <si>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</si>
  <si>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</si>
  <si>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</si>
  <si>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</si>
  <si>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</si>
  <si>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</si>
  <si>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</si>
  <si>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</si>
  <si>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</si>
  <si>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</si>
  <si>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</si>
  <si>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</si>
  <si>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</si>
  <si>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</si>
  <si>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</si>
  <si>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</si>
  <si>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</si>
  <si>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</si>
  <si>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</si>
  <si>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</si>
  <si>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</si>
  <si>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</si>
  <si>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</si>
  <si>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</si>
  <si>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</si>
  <si>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</si>
  <si>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</si>
  <si>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</si>
  <si>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</si>
  <si>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</si>
  <si>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</si>
  <si>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</si>
  <si>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</si>
  <si>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</si>
  <si>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</si>
  <si>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</si>
  <si>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</si>
  <si>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</si>
  <si>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</si>
  <si>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</si>
  <si>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</si>
  <si>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</si>
  <si>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</si>
  <si>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</si>
  <si>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</si>
  <si>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</si>
  <si>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</si>
  <si>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</si>
  <si>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</si>
  <si>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</si>
  <si>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</si>
  <si>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</si>
  <si>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</si>
  <si>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</si>
  <si>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</si>
  <si>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</si>
  <si>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</si>
  <si>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</si>
  <si>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</si>
  <si>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</si>
  <si>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</si>
  <si>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</si>
  <si>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</si>
  <si>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</si>
  <si>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</si>
  <si>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</si>
  <si>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</si>
  <si>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</si>
  <si>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</si>
  <si>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</si>
  <si>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</si>
  <si>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</si>
  <si>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</si>
  <si>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</si>
  <si>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</si>
  <si>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</si>
  <si>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</si>
  <si>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</si>
  <si>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</si>
  <si>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</si>
  <si>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</si>
  <si>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</si>
  <si>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</si>
  <si>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</si>
  <si>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</si>
  <si>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</si>
  <si>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</si>
  <si>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</si>
  <si>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</si>
  <si>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</si>
  <si>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</si>
  <si>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</si>
  <si>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</si>
  <si>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</si>
  <si>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</si>
  <si>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</si>
  <si>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</si>
  <si>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</si>
  <si>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</si>
  <si>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</si>
  <si>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</si>
  <si>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</si>
  <si>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</si>
  <si>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</si>
  <si>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</si>
  <si>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</si>
  <si>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</si>
  <si>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</si>
  <si>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</si>
  <si>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</si>
  <si>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</si>
  <si>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</si>
  <si>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</si>
  <si>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</si>
  <si>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</si>
  <si>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</si>
  <si>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</si>
  <si>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</si>
  <si>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</si>
  <si>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</si>
  <si>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</si>
  <si>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</si>
  <si>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</si>
  <si>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</si>
  <si>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</si>
  <si>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</si>
  <si>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</si>
  <si>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</si>
  <si>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</si>
  <si>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</si>
  <si>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</si>
  <si>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</si>
  <si>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</si>
  <si>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</si>
  <si>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</si>
  <si>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</si>
  <si>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</si>
  <si>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</si>
  <si>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</si>
  <si>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</si>
  <si>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</si>
  <si>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</si>
  <si>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</si>
  <si>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</si>
  <si>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</si>
  <si>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</si>
  <si>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</si>
  <si>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</si>
  <si>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</si>
  <si>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</si>
  <si>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</si>
  <si>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</si>
  <si>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</si>
  <si>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</si>
  <si>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</si>
  <si>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</si>
  <si>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</si>
  <si>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</si>
  <si>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</si>
  <si>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</si>
  <si>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</si>
  <si>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</si>
  <si>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</si>
  <si>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</si>
  <si>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</si>
  <si>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</si>
  <si>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</si>
  <si>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</si>
  <si>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</si>
  <si>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</si>
  <si>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</si>
  <si>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</si>
  <si>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</si>
  <si>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</si>
  <si>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</si>
  <si>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</si>
  <si>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</si>
  <si>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</si>
  <si>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</si>
  <si>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</si>
  <si>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</si>
  <si>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</si>
  <si>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</si>
  <si>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</si>
  <si>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</si>
  <si>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</si>
  <si>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</si>
  <si>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</si>
  <si>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</si>
  <si>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</si>
  <si>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</si>
  <si>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</si>
  <si>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</si>
  <si>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</si>
  <si>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</si>
  <si>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</si>
  <si>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</si>
  <si>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</si>
  <si>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</si>
  <si>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</si>
  <si>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</si>
  <si>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</si>
  <si>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</si>
  <si>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</si>
  <si>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</si>
  <si>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</si>
  <si>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</si>
  <si>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</si>
  <si>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</si>
  <si>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</si>
  <si>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</si>
  <si>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</si>
  <si>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</si>
  <si>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</si>
  <si>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</si>
  <si>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</si>
  <si>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</si>
  <si>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</si>
  <si>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</si>
  <si>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</si>
  <si>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</si>
  <si>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</si>
  <si>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</si>
  <si>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</si>
  <si>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</si>
  <si>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</si>
  <si>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</si>
  <si>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</si>
  <si>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</si>
  <si>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</si>
  <si>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</si>
  <si>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</si>
  <si>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</si>
  <si>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</si>
  <si>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</si>
  <si>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</si>
  <si>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</si>
  <si>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</si>
  <si>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</si>
  <si>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</si>
  <si>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</si>
  <si>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</si>
  <si>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</si>
  <si>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</si>
  <si>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</si>
  <si>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</si>
  <si>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</si>
  <si>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</si>
  <si>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</si>
  <si>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</si>
  <si>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</si>
  <si>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</si>
  <si>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</si>
  <si>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</si>
  <si>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</si>
  <si>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</si>
  <si>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</si>
  <si>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</si>
  <si>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</si>
  <si>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</si>
  <si>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</si>
  <si>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</si>
  <si>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</si>
  <si>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</si>
  <si>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</si>
  <si>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</si>
  <si>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</si>
  <si>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</si>
  <si>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</si>
  <si>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</si>
  <si>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</si>
  <si>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</si>
  <si>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</si>
  <si>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</si>
  <si>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</si>
  <si>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</si>
  <si>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</si>
  <si>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</si>
  <si>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</si>
  <si>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</si>
  <si>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</si>
  <si>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</si>
  <si>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</si>
  <si>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</si>
  <si>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</si>
  <si>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</si>
  <si>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</si>
  <si>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</si>
  <si>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</si>
  <si>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</si>
  <si>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</si>
  <si>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</si>
  <si>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</si>
  <si>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</si>
  <si>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</si>
  <si>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</si>
  <si>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</si>
  <si>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</si>
  <si>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</si>
  <si>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</si>
  <si>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</si>
  <si>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</si>
  <si>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</si>
  <si>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</si>
  <si>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</si>
  <si>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</si>
  <si>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</si>
  <si>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</si>
  <si>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</si>
  <si>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</si>
  <si>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</si>
  <si>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</si>
  <si>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</si>
  <si>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</si>
  <si>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</si>
  <si>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</si>
  <si>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</si>
  <si>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</si>
  <si>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</si>
  <si>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</si>
  <si>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</si>
  <si>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</si>
  <si>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</si>
  <si>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</si>
  <si>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</si>
  <si>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</si>
  <si>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</si>
  <si>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</si>
  <si>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</si>
  <si>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</si>
  <si>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</si>
  <si>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</si>
  <si>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</si>
  <si>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</si>
  <si>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</si>
  <si>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</si>
  <si>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</si>
  <si>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</si>
  <si>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</si>
  <si>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</si>
  <si>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</si>
  <si>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</si>
  <si>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</si>
  <si>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</si>
  <si>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</si>
  <si>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</si>
  <si>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</si>
  <si>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</si>
  <si>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</si>
  <si>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</si>
  <si>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</si>
  <si>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</si>
  <si>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</si>
  <si>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</si>
  <si>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</si>
  <si>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</si>
  <si>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</si>
  <si>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</si>
  <si>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</si>
  <si>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</si>
  <si>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</si>
  <si>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</si>
  <si>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</si>
  <si>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</si>
  <si>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</si>
  <si>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</si>
  <si>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</si>
  <si>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</si>
  <si>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</si>
  <si>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</si>
  <si>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</si>
  <si>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</si>
  <si>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</si>
  <si>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</si>
  <si>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</si>
  <si>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</si>
  <si>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</si>
  <si>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</si>
  <si>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</si>
  <si>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</si>
  <si>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</si>
  <si>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</si>
  <si>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</si>
  <si>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</si>
  <si>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</si>
  <si>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</si>
  <si>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</si>
  <si>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</si>
  <si>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</si>
  <si>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</si>
  <si>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</si>
  <si>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</si>
  <si>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</si>
  <si>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</si>
  <si>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</si>
  <si>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</si>
  <si>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</si>
  <si>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</si>
  <si>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</si>
  <si>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</si>
  <si>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</si>
  <si>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</si>
  <si>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</si>
  <si>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</si>
  <si>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</si>
  <si>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</si>
  <si>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</si>
  <si>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</si>
  <si>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</si>
  <si>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</si>
  <si>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</si>
  <si>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</si>
  <si>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</si>
  <si>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</si>
  <si>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</si>
  <si>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</si>
  <si>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</si>
  <si>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</si>
  <si>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</si>
  <si>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</si>
  <si>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</si>
  <si>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</si>
  <si>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</si>
  <si>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</si>
  <si>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</si>
  <si>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</si>
  <si>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</si>
  <si>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</si>
  <si>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</si>
  <si>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</si>
  <si>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</si>
  <si>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</si>
  <si>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</si>
  <si>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</si>
  <si>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</si>
  <si>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</si>
  <si>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</si>
  <si>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</si>
  <si>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</si>
  <si>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</si>
  <si>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</si>
  <si>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</si>
  <si>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</si>
  <si>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</si>
  <si>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</si>
  <si>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</si>
  <si>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</si>
  <si>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</si>
  <si>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</si>
  <si>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</si>
  <si>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</si>
  <si>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</si>
  <si>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</si>
  <si>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</si>
  <si>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</si>
  <si>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</si>
  <si>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</si>
  <si>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</si>
  <si>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</si>
  <si>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</si>
  <si>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</si>
  <si>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</si>
  <si>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</si>
  <si>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</si>
  <si>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</si>
  <si>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</si>
  <si>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</si>
  <si>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</si>
  <si>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</si>
  <si>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</si>
  <si>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</si>
  <si>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</si>
  <si>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</si>
  <si>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</si>
  <si>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</si>
  <si>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</si>
  <si>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</si>
  <si>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</si>
  <si>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</si>
  <si>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</si>
  <si>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</si>
  <si>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</si>
  <si>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</si>
  <si>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</si>
  <si>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</si>
  <si>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</si>
  <si>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</si>
  <si>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</si>
  <si>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</si>
  <si>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</si>
  <si>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</si>
  <si>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</si>
  <si>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</si>
  <si>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</si>
  <si>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</si>
  <si>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</si>
  <si>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</si>
  <si>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</si>
  <si>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</si>
  <si>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</si>
  <si>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</si>
  <si>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</si>
  <si>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</si>
  <si>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</si>
  <si>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</si>
  <si>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</si>
  <si>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</si>
  <si>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</si>
  <si>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</si>
  <si>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</si>
  <si>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</si>
  <si>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</si>
  <si>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</si>
  <si>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</si>
  <si>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</si>
  <si>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</si>
  <si>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</si>
  <si>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</si>
  <si>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</si>
  <si>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</si>
  <si>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</si>
  <si>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</si>
  <si>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</si>
  <si>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</si>
  <si>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</si>
  <si>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</si>
  <si>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</si>
  <si>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</si>
  <si>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</si>
  <si>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</si>
  <si>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</si>
  <si>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</si>
  <si>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</si>
  <si>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</si>
  <si>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</si>
  <si>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</si>
  <si>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</si>
  <si>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</si>
  <si>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</si>
  <si>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</si>
  <si>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</si>
  <si>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</si>
  <si>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</si>
  <si>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</si>
  <si>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</si>
  <si>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</si>
  <si>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</si>
  <si>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</si>
  <si>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</si>
  <si>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</si>
  <si>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</si>
  <si>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</si>
  <si>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</si>
  <si>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</si>
  <si>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</si>
  <si>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</si>
  <si>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</si>
  <si>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</si>
  <si>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</si>
  <si>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</si>
  <si>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</si>
  <si>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</si>
  <si>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</si>
  <si>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</si>
  <si>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</si>
  <si>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</si>
  <si>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</si>
  <si>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</si>
  <si>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</si>
  <si>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</si>
  <si>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</si>
  <si>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</si>
  <si>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</si>
  <si>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</si>
  <si>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</si>
  <si>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</si>
  <si>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</si>
  <si>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</si>
  <si>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</si>
  <si>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</si>
  <si>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</si>
  <si>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</si>
  <si>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</si>
  <si>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</si>
  <si>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</si>
  <si>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</si>
  <si>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</si>
  <si>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</si>
  <si>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</si>
  <si>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</si>
  <si>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</si>
  <si>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</si>
  <si>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</si>
  <si>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</si>
  <si>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</si>
  <si>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</si>
  <si>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</si>
  <si>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</si>
  <si>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</si>
  <si>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</si>
  <si>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</si>
  <si>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</si>
  <si>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</si>
  <si>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</si>
  <si>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</si>
  <si>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</si>
  <si>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</si>
  <si>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</si>
  <si>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</si>
  <si>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</si>
  <si>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</si>
  <si>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</si>
  <si>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</si>
  <si>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</si>
  <si>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</si>
  <si>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</si>
  <si>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</si>
  <si>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</si>
  <si>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</si>
  <si>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</si>
  <si>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</si>
  <si>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</si>
  <si>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</si>
  <si>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</si>
  <si>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</si>
  <si>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</si>
  <si>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</si>
  <si>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</si>
  <si>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</si>
  <si>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</si>
  <si>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</si>
  <si>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</si>
  <si>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</si>
  <si>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</si>
  <si>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</si>
  <si>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</si>
  <si>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</si>
  <si>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</si>
  <si>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</si>
  <si>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</si>
  <si>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</si>
  <si>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</si>
  <si>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</si>
  <si>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</si>
  <si>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</si>
  <si>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</si>
  <si>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</si>
  <si>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</si>
  <si>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</si>
  <si>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</si>
  <si>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</si>
  <si>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</si>
  <si>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</si>
  <si>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</si>
  <si>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</si>
  <si>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</si>
  <si>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</si>
  <si>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</si>
  <si>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</si>
  <si>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</si>
  <si>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</si>
  <si>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</si>
  <si>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</si>
  <si>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</si>
  <si>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</si>
  <si>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</si>
  <si>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</si>
  <si>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</si>
  <si>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</si>
  <si>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</si>
  <si>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</si>
  <si>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</si>
  <si>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</si>
  <si>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</si>
  <si>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</si>
  <si>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</si>
  <si>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</si>
  <si>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</si>
  <si>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</si>
  <si>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</si>
  <si>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</si>
  <si>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</si>
  <si>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</si>
  <si>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</si>
  <si>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</si>
  <si>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</si>
  <si>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</si>
  <si>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</si>
  <si>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</si>
  <si>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</si>
  <si>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</si>
  <si>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</si>
  <si>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</si>
  <si>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</si>
  <si>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</si>
  <si>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</si>
  <si>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</si>
  <si>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</si>
  <si>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</si>
  <si>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</si>
  <si>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</si>
  <si>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</si>
  <si>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</si>
  <si>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</si>
  <si>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</si>
  <si>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</si>
  <si>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</si>
  <si>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</si>
  <si>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</si>
  <si>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</si>
  <si>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</si>
  <si>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</si>
  <si>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</si>
  <si>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</si>
  <si>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</si>
  <si>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</si>
  <si>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</si>
  <si>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</si>
  <si>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</si>
  <si>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</si>
  <si>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</si>
  <si>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</si>
  <si>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</si>
  <si>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</si>
  <si>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</si>
  <si>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</si>
  <si>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</si>
  <si>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</si>
  <si>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</si>
  <si>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</si>
  <si>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</si>
  <si>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</si>
  <si>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</si>
  <si>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</si>
  <si>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</si>
  <si>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</si>
  <si>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</si>
  <si>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</si>
  <si>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</si>
  <si>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</si>
  <si>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</si>
  <si>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</si>
  <si>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</si>
  <si>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</si>
  <si>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</si>
  <si>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</si>
  <si>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</si>
  <si>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</si>
  <si>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</si>
  <si>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</si>
  <si>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</si>
  <si>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</si>
  <si>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</si>
  <si>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</si>
  <si>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</si>
  <si>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</si>
  <si>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</si>
  <si>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</si>
  <si>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</si>
  <si>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</si>
  <si>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</si>
  <si>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</si>
  <si>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</si>
  <si>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</si>
  <si>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</si>
  <si>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</si>
  <si>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</si>
  <si>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</si>
  <si>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</si>
  <si>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</si>
  <si>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</si>
  <si>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</si>
  <si>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</si>
  <si>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</si>
  <si>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</si>
  <si>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</si>
  <si>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</si>
  <si>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</si>
  <si>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</si>
  <si>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</si>
  <si>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</si>
  <si>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</si>
  <si>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</si>
  <si>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</si>
  <si>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</si>
  <si>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</si>
  <si>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</si>
  <si>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</si>
  <si>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</si>
  <si>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</si>
  <si>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</si>
  <si>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</si>
  <si>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</si>
  <si>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</si>
  <si>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</si>
  <si>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</si>
  <si>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</si>
  <si>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</si>
  <si>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</si>
  <si>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</si>
  <si>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</si>
  <si>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</si>
  <si>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</si>
  <si>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</si>
  <si>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</si>
  <si>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</si>
  <si>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</si>
  <si>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</si>
  <si>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</si>
  <si>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</si>
  <si>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</si>
  <si>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</si>
  <si>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</si>
  <si>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</si>
  <si>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</si>
  <si>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</si>
  <si>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</si>
  <si>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</si>
  <si>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</si>
  <si>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</si>
  <si>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</si>
  <si>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</si>
  <si>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</si>
  <si>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</si>
  <si>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</si>
  <si>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</si>
  <si>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</si>
  <si>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</si>
  <si>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</si>
  <si>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</si>
  <si>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</si>
  <si>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</si>
  <si>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</si>
  <si>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</si>
  <si>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</si>
  <si>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</si>
  <si>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</si>
  <si>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</si>
  <si>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</si>
  <si>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</si>
  <si>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</si>
  <si>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</si>
  <si>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</si>
  <si>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</si>
  <si>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</si>
  <si>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</si>
  <si>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</si>
  <si>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</si>
  <si>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</si>
  <si>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</si>
  <si>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</si>
  <si>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</si>
  <si>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</si>
  <si>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</si>
  <si>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</si>
  <si>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</si>
  <si>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</si>
  <si>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</si>
  <si>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</si>
  <si>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</si>
  <si>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</si>
  <si>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</si>
  <si>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</si>
  <si>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</si>
  <si>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</si>
  <si>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</si>
  <si>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</si>
  <si>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</si>
  <si>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</si>
  <si>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</si>
  <si>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</si>
  <si>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</si>
  <si>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</si>
  <si>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</si>
  <si>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</si>
  <si>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</si>
  <si>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</si>
  <si>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</si>
  <si>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</si>
  <si>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</si>
  <si>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</si>
  <si>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</si>
  <si>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</si>
  <si>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</si>
  <si>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</si>
  <si>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</si>
  <si>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</si>
  <si>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</si>
  <si>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</si>
  <si>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</si>
  <si>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</si>
  <si>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</si>
  <si>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</si>
  <si>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</si>
  <si>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</si>
  <si>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</si>
  <si>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</si>
  <si>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</si>
  <si>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</si>
  <si>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</si>
  <si>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</si>
  <si>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</si>
  <si>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</si>
  <si>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</si>
  <si>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</si>
  <si>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</si>
  <si>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</si>
  <si>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</si>
  <si>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</si>
  <si>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</si>
  <si>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</si>
  <si>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</si>
  <si>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</si>
  <si>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</si>
  <si>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</si>
  <si>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</si>
  <si>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</si>
  <si>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</si>
  <si>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</si>
  <si>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</si>
  <si>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</si>
  <si>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</si>
  <si>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</si>
  <si>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</si>
  <si>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</si>
  <si>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</si>
  <si>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</si>
  <si>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</si>
  <si>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</si>
  <si>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</si>
  <si>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</si>
  <si>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</si>
  <si>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</si>
  <si>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</si>
  <si>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</si>
  <si>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</si>
  <si>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</si>
  <si>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</si>
  <si>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</si>
  <si>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</si>
  <si>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</si>
  <si>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</si>
  <si>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</si>
  <si>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</si>
  <si>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</si>
  <si>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</si>
  <si>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</si>
  <si>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</si>
  <si>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</si>
  <si>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Prestwick Development Company</t>
  </si>
  <si>
    <t>Wiley A. Tucker, III</t>
  </si>
  <si>
    <t>Manager - CEO</t>
  </si>
  <si>
    <t>jody@prestwickcompanies.com</t>
  </si>
  <si>
    <t>Edrick Harris</t>
  </si>
  <si>
    <t>Partner - EVP</t>
  </si>
  <si>
    <t>edrick@prestwickcompanies.com</t>
  </si>
  <si>
    <t>Westbury</t>
  </si>
  <si>
    <t>Unincorporated County</t>
  </si>
  <si>
    <t>There was no pre-application round for the 4% applications.</t>
  </si>
  <si>
    <t>Housing Authority of DeKalb County</t>
  </si>
  <si>
    <t>Truist Community Capital</t>
  </si>
  <si>
    <t>Truist Bank</t>
  </si>
  <si>
    <t>Amortizing</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</si>
  <si>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t>
  </si>
  <si>
    <t>Noise Study</t>
  </si>
  <si>
    <t>Site Lighting</t>
  </si>
  <si>
    <t>Standby &amp; Commitment Fees</t>
  </si>
  <si>
    <t>DDA/QCT</t>
  </si>
  <si>
    <t>Required document due to Threshold and lender requirements.</t>
  </si>
  <si>
    <t>100% of the work is related to construction work.</t>
  </si>
  <si>
    <t>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Dekalb County. These have been calculated considering two 4% bond transactions Prestwick has recently completed in unincorporated Dekalb.
Sewer Fees have not been waived, but are included in the Impact Fees.
Construction Interest is calculated based on having to stabilize and hold the property for three months before conversion. A draw schedule demonstrating the construction interest calculation and construction period is included in Folder 02 Feasibility. 
There is a 1,000 SF retail component at the development. The costs for the construction of the space has been excluded from basis. Operating revenues and costs are not included in the proforma.</t>
  </si>
  <si>
    <t>This is a construction item that falls outside of the construction contract.</t>
  </si>
  <si>
    <t>Construction Lender Due Diligence is a requirement of our lender.</t>
  </si>
  <si>
    <t>Construction Lender Due Diligence</t>
  </si>
  <si>
    <t>Radon Testing</t>
  </si>
  <si>
    <t>Radon Testing is a requirement of our investors.</t>
  </si>
  <si>
    <t>100% of the work is related to construction.</t>
  </si>
  <si>
    <t>HUD Utility Model</t>
  </si>
  <si>
    <t>Electric Heat Pump</t>
  </si>
  <si>
    <t>High-Rise Elevator</t>
  </si>
  <si>
    <t>Housing Authority of Dekalb County</t>
  </si>
  <si>
    <t>The HUD Utility Schedule Model is an allowed utility allowance for a Tax Credit Building with no HOME per Threshold Section 2 Feasibility, Subsection 7 Operating Utility Allowance. All documentation used in the calculation has been submitted in Folder 02 Feasibility.
All but twenty (20) PBRA units will use the HUD Utility Allowance. The Housing Authority of Dekalb County Utility Allowance will be used on these 20 units. The one provided is the one effective as of 1/1/2023. The PBRA letter also confirms the utility allowance.</t>
  </si>
  <si>
    <t>HUD</t>
  </si>
  <si>
    <t>PHA PBRA</t>
  </si>
  <si>
    <t>N/a</t>
  </si>
  <si>
    <t>Benefits, Payroll Taxes, WC</t>
  </si>
  <si>
    <t>Other Admin, Software, Compliance</t>
  </si>
  <si>
    <t>Credit Reports</t>
  </si>
  <si>
    <t>The development will have a Private Enterprise Agreement, exempting it from property taxes, per Georgia Tax Code. The land will be owned by the Housing Authority of Dekalb County and will be leased back to Westbury Family I, LP, which an affiliate of the Housing Authority of Dekalb County is a member. Due to this ownership structure and because all units will be designated as affordable, the property is not subject to property taxes. A tax emption memorandum has been provided by our attorney in Feasibility Folder 02.
The Other Income underwritten includes laundry fees, vending revenue, and other related fees.</t>
  </si>
  <si>
    <t>The development will be a Family development.</t>
  </si>
  <si>
    <t>Elmington Property Management will identify the needs of the community and provide social and recreational programming.</t>
  </si>
  <si>
    <t>Tad Scepaniak, Real Property Research Group</t>
  </si>
  <si>
    <t>Melissa Blakely, CBRE</t>
  </si>
  <si>
    <t>The appraisal has been provided by CBRE with a land value of $4,750,000, as of October 4, 2023, supporting the value of the property. There is an identity of interest between the ground lessor and the ground lessee. DCA is listed as an intended user in the appraisal. The appraisal meets USPAP standards.</t>
  </si>
  <si>
    <t>Westbury Family I, LP</t>
  </si>
  <si>
    <t>The entity with site control and the Applicant are the same. Site control exists through at least December 31, 2024. There is an existing ground lease option in place.</t>
  </si>
  <si>
    <t>The site is zoned for its intended use.</t>
  </si>
  <si>
    <t>Georgia Power</t>
  </si>
  <si>
    <t>The proposed development will be 100% electric. No gas.</t>
  </si>
  <si>
    <t>Dekalb County Department of Watershed Management</t>
  </si>
  <si>
    <t>There is currently water and sewer available at the site, therefore no commitments or easements are required.</t>
  </si>
  <si>
    <t>Room</t>
  </si>
  <si>
    <t>Gazebo</t>
  </si>
  <si>
    <t>On-site laundry</t>
  </si>
  <si>
    <t>None of the proposed amenities require a waiver.</t>
  </si>
  <si>
    <t>This is not a rehab development.</t>
  </si>
  <si>
    <t>The CSDP and supplemental documents meet the requirements of the section.</t>
  </si>
  <si>
    <t>Agree</t>
  </si>
  <si>
    <t>The development will receive a National Green Building Standard Certification.</t>
  </si>
  <si>
    <t>The development will comply with the required standards.</t>
  </si>
  <si>
    <t>Yes - see Comment</t>
  </si>
  <si>
    <t>N/A - no pre-app</t>
  </si>
  <si>
    <t>The Certifying Entity met the Experience requirements in 2022 with its Anthem III Application. It was deemed Qualified with its Qualification Determination request for Finley Place during the Pre-Application round. It did not submit a 2023 Pre-Application for Westbury since there was no pre-application 4% round. The Certifying Entity still meets all requirements of the QAP for Experience, Capacity, and Performance.</t>
  </si>
  <si>
    <t>No legal opinions are required.</t>
  </si>
  <si>
    <t>The site has no tenants on the property. No displacement will occur.</t>
  </si>
  <si>
    <t>The development team agrees to prepare and submit an AFFH marketing plan that meets the requirements above, and agrees to provide reasonable accomodation for residents in the Property Management's tenant application.</t>
  </si>
  <si>
    <t>The development is an effective, efficient, and lawful allocation and utilization of the Housing Credit Program.</t>
  </si>
  <si>
    <t>Westbury has eleven (11) Desirable Activities within 1.5 miles and qualifies for twenty-two (22.0) Desirable Activities points, which allows the development to receive the maximum twenty (20) points in the category. The Food Desert Map states the site is in a Food Desert, but there is a Supermarket, Georgetown Food Market, within 0.2 miles. There is another grocery store, Food Depot, within a mile.</t>
  </si>
  <si>
    <t>404-848-5000</t>
  </si>
  <si>
    <t>Metropolitan Atlanta Rapid Transit Agency</t>
  </si>
  <si>
    <t>schedinfo@itsmarta.com</t>
  </si>
  <si>
    <t>http://www.itsmarta.com/111.aspx; http://www.itsmarta.com/116.aspx; http://www.itsmarta.com/119.aspx</t>
  </si>
  <si>
    <t>Westbury is within one (1.0) miles walking distance of a transit hub as defined by DCA. The hub services three bus lines - Routes 111, 116, and 119 - for MARTA. The lines are available more than five days a week. The services are publicized to the general public, the services are available to all residents, and services local routes. The MARTA website includes the cost of service, relevant transit route information, and route schedules. All backup documentation has been provided.</t>
  </si>
  <si>
    <t>123-172 of Part 2 pdf</t>
  </si>
  <si>
    <t>Pages 10-13, 22, 24, 27, 28, 83, 109, 116, 123, 127-128, 131, 132, 135, 139-140, 142, 144-155 of Part 1 pdf</t>
  </si>
  <si>
    <t>Page 31-110 of Part 1 pdf</t>
  </si>
  <si>
    <t>Adoption PDF</t>
  </si>
  <si>
    <t>Page 8 of Part 1 pdf and Page 69 of Part 1 pdf</t>
  </si>
  <si>
    <t>The development is within an area of a qualifying Community Revitalization Plan. The site is within the clearly Targeted Area that does not encompass the full Local Government Boundary. The plan discusses housing as a goal of the CRP. The plan includes an assessment of the targeted area's existing infrastructure. The plan designates implementation measures, and has been officially approved by the Local Government within ten (10) years. The site is within the Targeted Area. The Local Government solicited public input and engagement. The Local Government has demonstrated financial commitment to advance the CRP by adopting a TAD and a CID. The site is within a Qualified Census Tract. There has been Third Party Capital Investment that qualifies for the full two (2) points.</t>
  </si>
  <si>
    <t>The Applicant commits to engage QBs in the development or operation of Westbury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</si>
  <si>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The Applicant agrees to accept a DCA PBRA Agreement for not more than 20% of the units. The development will have a Family tenancy.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</si>
  <si>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This is a requirement of our permanent lenders, and is outside of basis.</t>
  </si>
  <si>
    <t>The site entrance is legally accessible by paved roads.</t>
  </si>
  <si>
    <t>This is an effective and efficient use of resources for the program.</t>
  </si>
  <si>
    <t>The development will include 210 units. The overall market has a healthy occupancy of 95.3% and an overall capture rate of 3.1%.</t>
  </si>
  <si>
    <t xml:space="preserve">This development will close and commence construction in 2024 if it receives an invitation to apply. The team will be ready to provide a full application within one week of receiving a notice from DCA, considering an almost complete application has been provided during this application round. 
Site:
Importantly, the site is zoned and does not require any special approvals or variances. Further, it does not require any combination or subdivision plats, and all utilities are readily available to the site. No easements are required from adjacent land owners.
Development Team:
Prestwick is more equipped than our competitors to close quickly. While other development team staff are either national or small development companies, we have specialized staff that is local and focused on the Atlanta area. We have a Development Manager staffed to work with the design professionals to design the property and usher it through the permitting process. He has permitted and closed two other 4% bond developments in Unincorporated Dekalb County within the last twelve months. He understands the challenges and needs of the county professionals, and is equipped to meet those needs. Prestwick also has dedicated finance professionals focused on closing the transaction with debt and equity. We have long-term relationships with our lenders and investors, and do not need the time our competitors need to negotiate an LPA. We have already negotiated ours. Our team knows how to work through the Due Diligence process with these lenders and investors, and can also get through the Plan and Cost Review Process Quickly. This will be Prestwick's sixth (6th) development in Dekalb County.
This is also Prestwick's fifth development with the Housing Authority of Dekalb County and the Housing Development Corporation. The team knows how to navigate all necessary county approvals, and has provided to DCA its Bond Inducement Resolution. There are no architectural review boards or community meetings required for the team to move to close.
Consultants: 
The development team has built a larger team to be able to move towards closing quickly. 
Architect - Geheber Lewis and Associates have designed more than thirty (30) communities with Prestwick Development Company. The design timeline has shrunk due to using the same footprints and units after we have optimized them. The team is very flexible and responsive.
Engineer - Foresite Group has entitled and worked on more than ten (10) developments in DeKalb County within the last five (5) years. The team knows how to draw civil plans to get Land Disturbance Permits Quickly. 
Expeditor - Battle Law and Michele Battle is a best in class zoning and land use attorney. They help interface and provide needed support to expedite processes within Dekalb County. As a member of the team, Battle Law ensures that the development stays on track with the county. While active throughout the metro, the team is exceptional at working with Dekalb County.
Contractor - JM Wilkerson Construction is prepared with a team to close when the development team is ready. This will be the third development completed with the Prestwick Team.
Attorneys - Arnall Golden Gregory is the best in class attorney representing the developer. 
</t>
  </si>
  <si>
    <t>Construction cost estimate is based off of our historical cost to deliver similar projects that are currently under construction and our contractor's preliminary budget.
Local government fees were confirmed by the local government and our construction management team. Documents related to Feasibility were included in the application in the 52 Additional Documents Folder.</t>
  </si>
  <si>
    <t>Tri State Environmental Services</t>
  </si>
  <si>
    <t>Asebestos are Lead present in the vacant building on-site. Both will be removed in a manner that meets DCA and state standards.</t>
  </si>
  <si>
    <t>The Phase I report was completed by Tri State Environmental Services. The noise levels reported are below the minimum reporting thresholds. There are no Federal Funds on the property. There is no flood plain or state waters.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</si>
</sst>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Westbury</v>
      </c>
    </row>
    <row r="3" spans="1:6" ht="15" customHeight="1">
      <c r="A3" s="666" t="str">
        <f>CONCATENATE('Part I-Project Identification'!F26,", ", 'Part I-Project Identification'!J26," County")</f>
        <v>Decatur, DeKalb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Q35" sqref="Q3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3136</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7" t="str">
        <f>CONCATENATE("PART FOUR - PROJECTED REVENUES &amp; EXPENSES","  -  ",'Part I-Project Identification'!$O$7," ",'Part I-Project Identification'!$F$25,", ",'Part I-Project Identification'!F26,", ",'Part I-Project Identification'!J26," County")</f>
        <v>PART FOUR - PROJECTED REVENUES &amp; EXPENSES  -  2023-5 Westbury, Decatur, DeKalb County</v>
      </c>
      <c r="B2" s="3678"/>
      <c r="C2" s="3678"/>
      <c r="D2" s="3678"/>
      <c r="E2" s="3678"/>
      <c r="F2" s="3678"/>
      <c r="G2" s="3678"/>
      <c r="H2" s="3678"/>
      <c r="I2" s="3678"/>
      <c r="J2" s="3678"/>
      <c r="K2" s="3678"/>
      <c r="L2" s="3678"/>
      <c r="M2" s="3678"/>
      <c r="N2" s="3678"/>
      <c r="O2" s="3678"/>
      <c r="P2" s="3678"/>
      <c r="Q2" s="3679"/>
      <c r="T2" s="1427" t="str">
        <f>A2</f>
        <v>PART FOUR - PROJECTED REVENUES &amp; EXPENSES  -  2023-5 Westbury, Decatur, DeKalb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6093</v>
      </c>
      <c r="E4" s="1515"/>
      <c r="F4" s="1515"/>
      <c r="G4" s="1515"/>
      <c r="H4" s="1515"/>
      <c r="I4" s="1515"/>
      <c r="J4" s="1515"/>
      <c r="K4" s="93"/>
      <c r="L4" s="93"/>
      <c r="M4" s="93"/>
      <c r="O4" s="153" t="s">
        <v>534</v>
      </c>
      <c r="P4" s="3682" t="str">
        <f>'Part I-Project Identification'!$O$28</f>
        <v>Atlanta-Sandy Springs-Marietta</v>
      </c>
      <c r="Q4" s="368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3045</v>
      </c>
      <c r="MG4" s="3571" t="s">
        <v>3046</v>
      </c>
      <c r="MH4" s="3571" t="s">
        <v>3047</v>
      </c>
      <c r="MI4" s="3571" t="s">
        <v>3048</v>
      </c>
      <c r="MJ4" s="3571"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9" t="s">
        <v>3204</v>
      </c>
      <c r="R5" s="830"/>
      <c r="S5" s="337"/>
      <c r="T5" s="337"/>
      <c r="U5" s="337"/>
      <c r="W5" s="338"/>
      <c r="X5" s="3571" t="s">
        <v>3681</v>
      </c>
      <c r="Y5" s="3571" t="s">
        <v>3682</v>
      </c>
      <c r="Z5" s="3571" t="s">
        <v>3683</v>
      </c>
      <c r="AA5" s="3571" t="s">
        <v>3684</v>
      </c>
      <c r="AB5" s="3571" t="s">
        <v>3685</v>
      </c>
      <c r="AC5" s="3571" t="s">
        <v>3686</v>
      </c>
      <c r="AD5" s="3571" t="s">
        <v>3687</v>
      </c>
      <c r="AE5" s="3571" t="s">
        <v>3688</v>
      </c>
      <c r="AF5" s="3571" t="s">
        <v>3689</v>
      </c>
      <c r="AG5" s="3571" t="s">
        <v>3690</v>
      </c>
      <c r="AH5" s="3571" t="s">
        <v>861</v>
      </c>
      <c r="AI5" s="3571" t="s">
        <v>705</v>
      </c>
      <c r="AJ5" s="3571" t="s">
        <v>706</v>
      </c>
      <c r="AK5" s="3571" t="s">
        <v>707</v>
      </c>
      <c r="AL5" s="3571" t="s">
        <v>708</v>
      </c>
      <c r="AM5" s="3571" t="s">
        <v>862</v>
      </c>
      <c r="AN5" s="3571" t="s">
        <v>2130</v>
      </c>
      <c r="AO5" s="3571" t="s">
        <v>2131</v>
      </c>
      <c r="AP5" s="3571" t="s">
        <v>2132</v>
      </c>
      <c r="AQ5" s="3571" t="s">
        <v>2133</v>
      </c>
      <c r="AR5" s="3571" t="s">
        <v>3692</v>
      </c>
      <c r="AS5" s="3571" t="s">
        <v>3693</v>
      </c>
      <c r="AT5" s="3571" t="s">
        <v>3694</v>
      </c>
      <c r="AU5" s="3571" t="s">
        <v>3695</v>
      </c>
      <c r="AV5" s="3571" t="s">
        <v>3691</v>
      </c>
      <c r="AW5" s="3571" t="s">
        <v>863</v>
      </c>
      <c r="AX5" s="3571" t="s">
        <v>2134</v>
      </c>
      <c r="AY5" s="3571" t="s">
        <v>2135</v>
      </c>
      <c r="AZ5" s="3571" t="s">
        <v>2136</v>
      </c>
      <c r="BA5" s="3571" t="s">
        <v>2137</v>
      </c>
      <c r="BB5" s="3571" t="s">
        <v>3696</v>
      </c>
      <c r="BC5" s="3571" t="s">
        <v>3697</v>
      </c>
      <c r="BD5" s="3571" t="s">
        <v>3698</v>
      </c>
      <c r="BE5" s="3571" t="s">
        <v>3699</v>
      </c>
      <c r="BF5" s="3571" t="s">
        <v>3700</v>
      </c>
      <c r="BG5" s="3571" t="s">
        <v>123</v>
      </c>
      <c r="BH5" s="3571" t="s">
        <v>2138</v>
      </c>
      <c r="BI5" s="3571" t="s">
        <v>2139</v>
      </c>
      <c r="BJ5" s="3571" t="s">
        <v>2140</v>
      </c>
      <c r="BK5" s="3571" t="s">
        <v>1080</v>
      </c>
      <c r="BL5" s="3571" t="s">
        <v>3701</v>
      </c>
      <c r="BM5" s="3571" t="s">
        <v>3702</v>
      </c>
      <c r="BN5" s="3571" t="s">
        <v>3703</v>
      </c>
      <c r="BO5" s="3571" t="s">
        <v>3704</v>
      </c>
      <c r="BP5" s="3571" t="s">
        <v>3705</v>
      </c>
      <c r="BQ5" s="3571" t="s">
        <v>517</v>
      </c>
      <c r="BR5" s="3571" t="s">
        <v>518</v>
      </c>
      <c r="BS5" s="3571" t="s">
        <v>535</v>
      </c>
      <c r="BT5" s="3571" t="s">
        <v>536</v>
      </c>
      <c r="BU5" s="3571" t="s">
        <v>537</v>
      </c>
      <c r="BV5" s="3571" t="s">
        <v>3706</v>
      </c>
      <c r="BW5" s="3571" t="s">
        <v>3707</v>
      </c>
      <c r="BX5" s="3571" t="s">
        <v>3708</v>
      </c>
      <c r="BY5" s="3571" t="s">
        <v>3709</v>
      </c>
      <c r="BZ5" s="3571" t="s">
        <v>3710</v>
      </c>
      <c r="CA5" s="3571" t="s">
        <v>538</v>
      </c>
      <c r="CB5" s="3571" t="s">
        <v>539</v>
      </c>
      <c r="CC5" s="3571" t="s">
        <v>540</v>
      </c>
      <c r="CD5" s="3571" t="s">
        <v>541</v>
      </c>
      <c r="CE5" s="3571" t="s">
        <v>542</v>
      </c>
      <c r="CF5" s="3571" t="s">
        <v>543</v>
      </c>
      <c r="CG5" s="3571" t="s">
        <v>544</v>
      </c>
      <c r="CH5" s="3571" t="s">
        <v>872</v>
      </c>
      <c r="CI5" s="3571" t="s">
        <v>873</v>
      </c>
      <c r="CJ5" s="3571" t="s">
        <v>874</v>
      </c>
      <c r="CK5" s="3571" t="s">
        <v>3716</v>
      </c>
      <c r="CL5" s="3571" t="s">
        <v>3717</v>
      </c>
      <c r="CM5" s="3571" t="s">
        <v>3718</v>
      </c>
      <c r="CN5" s="3571" t="s">
        <v>3719</v>
      </c>
      <c r="CO5" s="3571" t="s">
        <v>3720</v>
      </c>
      <c r="CP5" s="3571" t="s">
        <v>3711</v>
      </c>
      <c r="CQ5" s="3571" t="s">
        <v>3712</v>
      </c>
      <c r="CR5" s="3571" t="s">
        <v>3713</v>
      </c>
      <c r="CS5" s="3571" t="s">
        <v>3714</v>
      </c>
      <c r="CT5" s="3571" t="s">
        <v>3715</v>
      </c>
      <c r="CU5" s="3571" t="s">
        <v>3721</v>
      </c>
      <c r="CV5" s="3571" t="s">
        <v>3722</v>
      </c>
      <c r="CW5" s="3571" t="s">
        <v>3723</v>
      </c>
      <c r="CX5" s="3571" t="s">
        <v>3724</v>
      </c>
      <c r="CY5" s="3571" t="s">
        <v>3725</v>
      </c>
      <c r="CZ5" s="3571" t="s">
        <v>466</v>
      </c>
      <c r="DA5" s="3571" t="s">
        <v>467</v>
      </c>
      <c r="DB5" s="3571" t="s">
        <v>468</v>
      </c>
      <c r="DC5" s="3571" t="s">
        <v>469</v>
      </c>
      <c r="DD5" s="3571" t="s">
        <v>470</v>
      </c>
      <c r="DE5" s="3571" t="s">
        <v>3726</v>
      </c>
      <c r="DF5" s="3571" t="s">
        <v>3727</v>
      </c>
      <c r="DG5" s="3571" t="s">
        <v>3728</v>
      </c>
      <c r="DH5" s="3571" t="s">
        <v>3729</v>
      </c>
      <c r="DI5" s="3571" t="s">
        <v>3730</v>
      </c>
      <c r="DJ5" s="3571" t="s">
        <v>822</v>
      </c>
      <c r="DK5" s="3571" t="s">
        <v>823</v>
      </c>
      <c r="DL5" s="3571" t="s">
        <v>824</v>
      </c>
      <c r="DM5" s="3571" t="s">
        <v>825</v>
      </c>
      <c r="DN5" s="3571" t="s">
        <v>826</v>
      </c>
      <c r="DO5" s="3571" t="s">
        <v>827</v>
      </c>
      <c r="DP5" s="3571" t="s">
        <v>828</v>
      </c>
      <c r="DQ5" s="3571" t="s">
        <v>829</v>
      </c>
      <c r="DR5" s="3571" t="s">
        <v>830</v>
      </c>
      <c r="DS5" s="3571" t="s">
        <v>831</v>
      </c>
      <c r="DT5" s="3571" t="s">
        <v>3731</v>
      </c>
      <c r="DU5" s="3571" t="s">
        <v>3732</v>
      </c>
      <c r="DV5" s="3571" t="s">
        <v>3733</v>
      </c>
      <c r="DW5" s="3571" t="s">
        <v>3734</v>
      </c>
      <c r="DX5" s="3571" t="s">
        <v>3735</v>
      </c>
      <c r="DY5" s="3571" t="s">
        <v>3736</v>
      </c>
      <c r="DZ5" s="3571" t="s">
        <v>3737</v>
      </c>
      <c r="EA5" s="3571" t="s">
        <v>3738</v>
      </c>
      <c r="EB5" s="3571" t="s">
        <v>3739</v>
      </c>
      <c r="EC5" s="3571" t="s">
        <v>3740</v>
      </c>
      <c r="ED5" s="3571" t="s">
        <v>2234</v>
      </c>
      <c r="EE5" s="3571" t="s">
        <v>2235</v>
      </c>
      <c r="EF5" s="3571" t="s">
        <v>2236</v>
      </c>
      <c r="EG5" s="3571" t="s">
        <v>2237</v>
      </c>
      <c r="EH5" s="3571" t="s">
        <v>2238</v>
      </c>
      <c r="EI5" s="3571" t="s">
        <v>3741</v>
      </c>
      <c r="EJ5" s="3571" t="s">
        <v>3742</v>
      </c>
      <c r="EK5" s="3571" t="s">
        <v>3743</v>
      </c>
      <c r="EL5" s="3571" t="s">
        <v>3744</v>
      </c>
      <c r="EM5" s="3571" t="s">
        <v>3745</v>
      </c>
      <c r="EN5" s="3571" t="s">
        <v>3746</v>
      </c>
      <c r="EO5" s="3571" t="s">
        <v>3747</v>
      </c>
      <c r="EP5" s="3571" t="s">
        <v>3748</v>
      </c>
      <c r="EQ5" s="3571" t="s">
        <v>3749</v>
      </c>
      <c r="ER5" s="3571" t="s">
        <v>3750</v>
      </c>
      <c r="ES5" s="3571" t="s">
        <v>111</v>
      </c>
      <c r="ET5" s="3571" t="s">
        <v>1083</v>
      </c>
      <c r="EU5" s="3571" t="s">
        <v>1084</v>
      </c>
      <c r="EV5" s="3571" t="s">
        <v>1139</v>
      </c>
      <c r="EW5" s="3571" t="s">
        <v>1140</v>
      </c>
      <c r="EX5" s="3571" t="s">
        <v>126</v>
      </c>
      <c r="EY5" s="3571" t="s">
        <v>1141</v>
      </c>
      <c r="EZ5" s="3571" t="s">
        <v>1142</v>
      </c>
      <c r="FA5" s="3571" t="s">
        <v>1143</v>
      </c>
      <c r="FB5" s="3571" t="s">
        <v>1144</v>
      </c>
      <c r="FC5" s="3571" t="s">
        <v>3751</v>
      </c>
      <c r="FD5" s="3571" t="s">
        <v>3752</v>
      </c>
      <c r="FE5" s="3571" t="s">
        <v>3753</v>
      </c>
      <c r="FF5" s="3571" t="s">
        <v>3754</v>
      </c>
      <c r="FG5" s="3571" t="s">
        <v>3755</v>
      </c>
      <c r="FH5" s="3571" t="s">
        <v>125</v>
      </c>
      <c r="FI5" s="3571" t="s">
        <v>853</v>
      </c>
      <c r="FJ5" s="3571" t="s">
        <v>854</v>
      </c>
      <c r="FK5" s="3571" t="s">
        <v>855</v>
      </c>
      <c r="FL5" s="3571" t="s">
        <v>856</v>
      </c>
      <c r="FM5" s="3571" t="s">
        <v>3756</v>
      </c>
      <c r="FN5" s="3571" t="s">
        <v>3757</v>
      </c>
      <c r="FO5" s="3571" t="s">
        <v>3758</v>
      </c>
      <c r="FP5" s="3571" t="s">
        <v>3759</v>
      </c>
      <c r="FQ5" s="3571" t="s">
        <v>3760</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2233</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2041</v>
      </c>
      <c r="HQ5" s="3571" t="s">
        <v>2042</v>
      </c>
      <c r="HR5" s="3571" t="s">
        <v>2043</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2320</v>
      </c>
      <c r="LI5" s="3571" t="s">
        <v>2321</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9" t="str">
        <f>IF(A49&gt;0,"Finish Row!","")</f>
        <v/>
      </c>
      <c r="B6" s="141" t="s">
        <v>6094</v>
      </c>
      <c r="D6" s="1515"/>
      <c r="E6" s="1515"/>
      <c r="F6" s="1515"/>
      <c r="G6" s="1211" t="s">
        <v>194</v>
      </c>
      <c r="H6" s="3680" t="s">
        <v>6096</v>
      </c>
      <c r="I6" s="3681"/>
      <c r="J6" s="3681"/>
      <c r="K6" s="686" t="s">
        <v>3136</v>
      </c>
      <c r="L6" s="3573" t="str">
        <f>'Part I-Project Identification'!$A$6</f>
        <v>Sept 2023</v>
      </c>
      <c r="M6" s="3573"/>
      <c r="N6" s="3573"/>
      <c r="O6" s="1717" t="s">
        <v>6076</v>
      </c>
      <c r="P6" s="1505" t="s">
        <v>712</v>
      </c>
      <c r="Q6" s="3639"/>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3040</v>
      </c>
      <c r="ML6" s="3611" t="s">
        <v>3041</v>
      </c>
      <c r="MM6" s="3611" t="s">
        <v>3042</v>
      </c>
      <c r="MN6" s="3611" t="s">
        <v>3043</v>
      </c>
      <c r="MO6" s="3611" t="s">
        <v>3044</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9"/>
      <c r="B7" s="23" t="s">
        <v>6095</v>
      </c>
      <c r="E7" s="4"/>
      <c r="G7" s="1246" t="s">
        <v>2652</v>
      </c>
      <c r="I7" s="3604" t="s">
        <v>4070</v>
      </c>
      <c r="J7" s="686" t="s">
        <v>742</v>
      </c>
      <c r="K7" s="686" t="s">
        <v>3183</v>
      </c>
      <c r="L7" s="3573"/>
      <c r="M7" s="3573"/>
      <c r="N7" s="3573"/>
      <c r="O7" s="1718" t="s">
        <v>6075</v>
      </c>
      <c r="P7" s="1543">
        <v>44669</v>
      </c>
      <c r="Q7" s="3639"/>
      <c r="R7" s="3608" t="s">
        <v>2457</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9"/>
      <c r="B8" s="831" t="s">
        <v>3763</v>
      </c>
      <c r="C8" s="1"/>
      <c r="E8" s="1"/>
      <c r="F8" s="1"/>
      <c r="I8" s="3604"/>
      <c r="J8" s="686" t="s">
        <v>743</v>
      </c>
      <c r="K8" s="686" t="s">
        <v>3184</v>
      </c>
      <c r="L8" s="667"/>
      <c r="M8" s="667"/>
      <c r="N8" s="1716" t="s">
        <v>6479</v>
      </c>
      <c r="O8" s="3606" t="s">
        <v>7070</v>
      </c>
      <c r="P8" s="3607"/>
      <c r="Q8" s="3639"/>
      <c r="R8" s="668"/>
      <c r="S8" s="670" t="s">
        <v>2454</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3764</v>
      </c>
      <c r="C9" s="686" t="s">
        <v>165</v>
      </c>
      <c r="D9" s="686" t="s">
        <v>510</v>
      </c>
      <c r="E9" s="686" t="s">
        <v>1382</v>
      </c>
      <c r="F9" s="686" t="s">
        <v>1382</v>
      </c>
      <c r="G9" s="3604" t="s">
        <v>6091</v>
      </c>
      <c r="H9" s="830" t="s">
        <v>3301</v>
      </c>
      <c r="I9" s="3604"/>
      <c r="J9" s="3600" t="s">
        <v>6085</v>
      </c>
      <c r="K9" s="686" t="s">
        <v>2216</v>
      </c>
      <c r="L9" s="3609" t="s">
        <v>139</v>
      </c>
      <c r="M9" s="3610"/>
      <c r="N9" s="686" t="s">
        <v>2183</v>
      </c>
      <c r="O9" s="686" t="s">
        <v>6482</v>
      </c>
      <c r="P9" s="3602" t="s">
        <v>6244</v>
      </c>
      <c r="Q9" s="3639"/>
      <c r="R9" s="686" t="s">
        <v>2453</v>
      </c>
      <c r="S9" s="686" t="s">
        <v>2455</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2244</v>
      </c>
      <c r="IB9" s="1884" t="s">
        <v>2245</v>
      </c>
      <c r="IC9" s="1884" t="s">
        <v>2246</v>
      </c>
      <c r="ID9" s="1884" t="s">
        <v>2247</v>
      </c>
      <c r="IE9" s="3571" t="s">
        <v>2298</v>
      </c>
      <c r="IF9" s="3571" t="s">
        <v>2298</v>
      </c>
      <c r="IG9" s="3571" t="s">
        <v>2298</v>
      </c>
      <c r="IH9" s="3571" t="s">
        <v>2298</v>
      </c>
      <c r="II9" s="3571" t="s">
        <v>2298</v>
      </c>
      <c r="IJ9" s="3571" t="s">
        <v>3000</v>
      </c>
      <c r="IK9" s="3571" t="s">
        <v>3000</v>
      </c>
      <c r="IL9" s="3571" t="s">
        <v>3000</v>
      </c>
      <c r="IM9" s="3571" t="s">
        <v>3000</v>
      </c>
      <c r="IN9" s="3571" t="s">
        <v>3000</v>
      </c>
      <c r="IO9" s="1884" t="s">
        <v>526</v>
      </c>
      <c r="IP9" s="1884" t="s">
        <v>2244</v>
      </c>
      <c r="IQ9" s="1884" t="s">
        <v>2245</v>
      </c>
      <c r="IR9" s="1884" t="s">
        <v>2246</v>
      </c>
      <c r="IS9" s="1884" t="s">
        <v>2247</v>
      </c>
      <c r="IT9" s="1884" t="s">
        <v>526</v>
      </c>
      <c r="IU9" s="1884" t="s">
        <v>2244</v>
      </c>
      <c r="IV9" s="1884" t="s">
        <v>2245</v>
      </c>
      <c r="IW9" s="1884" t="s">
        <v>2246</v>
      </c>
      <c r="IX9" s="1884" t="s">
        <v>2247</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0"/>
      <c r="R10" s="686" t="s">
        <v>1384</v>
      </c>
      <c r="S10" s="686" t="s">
        <v>2456</v>
      </c>
      <c r="T10" s="10" t="s">
        <v>1710</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2297</v>
      </c>
      <c r="IB10" s="1884" t="s">
        <v>2297</v>
      </c>
      <c r="IC10" s="1884" t="s">
        <v>2297</v>
      </c>
      <c r="ID10" s="1884" t="s">
        <v>2297</v>
      </c>
      <c r="IE10" s="3571"/>
      <c r="IF10" s="3571"/>
      <c r="IG10" s="3571"/>
      <c r="IH10" s="3571"/>
      <c r="II10" s="3571"/>
      <c r="IJ10" s="3571"/>
      <c r="IK10" s="3571"/>
      <c r="IL10" s="3571"/>
      <c r="IM10" s="3571"/>
      <c r="IN10" s="3571"/>
      <c r="IO10" s="1884" t="s">
        <v>2299</v>
      </c>
      <c r="IP10" s="1884" t="s">
        <v>2299</v>
      </c>
      <c r="IQ10" s="1884" t="s">
        <v>2299</v>
      </c>
      <c r="IR10" s="1884" t="s">
        <v>2299</v>
      </c>
      <c r="IS10" s="1884" t="s">
        <v>2299</v>
      </c>
      <c r="IT10" s="1884" t="s">
        <v>3001</v>
      </c>
      <c r="IU10" s="1884" t="s">
        <v>3001</v>
      </c>
      <c r="IV10" s="1884" t="s">
        <v>3001</v>
      </c>
      <c r="IW10" s="1884" t="s">
        <v>3001</v>
      </c>
      <c r="IX10" s="1884" t="s">
        <v>3001</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3"/>
      <c r="U11" s="3674"/>
      <c r="V11" s="3674"/>
      <c r="W11" s="367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16</v>
      </c>
      <c r="F18" s="1084">
        <v>653</v>
      </c>
      <c r="G18" s="1084">
        <v>957</v>
      </c>
      <c r="H18" s="1084">
        <v>1513</v>
      </c>
      <c r="I18" s="1084">
        <v>0</v>
      </c>
      <c r="J18" s="1100">
        <v>68</v>
      </c>
      <c r="K18" s="1101" t="s">
        <v>7071</v>
      </c>
      <c r="L18" s="1102">
        <f t="shared" si="1"/>
        <v>1445</v>
      </c>
      <c r="M18" s="1102">
        <f t="shared" si="2"/>
        <v>23120</v>
      </c>
      <c r="N18" s="1103" t="s">
        <v>2652</v>
      </c>
      <c r="O18" s="1685" t="s">
        <v>7067</v>
      </c>
      <c r="P18" s="1103" t="s">
        <v>2119</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16</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10448</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10448</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16</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4</v>
      </c>
      <c r="F19" s="133">
        <v>963</v>
      </c>
      <c r="G19" s="133">
        <v>1148</v>
      </c>
      <c r="H19" s="133">
        <v>1708</v>
      </c>
      <c r="I19" s="133">
        <v>0</v>
      </c>
      <c r="J19" s="756">
        <v>85</v>
      </c>
      <c r="K19" s="644" t="s">
        <v>7071</v>
      </c>
      <c r="L19" s="461">
        <f t="shared" si="1"/>
        <v>1623</v>
      </c>
      <c r="M19" s="461">
        <f t="shared" si="2"/>
        <v>6492</v>
      </c>
      <c r="N19" s="695" t="s">
        <v>2652</v>
      </c>
      <c r="O19" s="1683" t="s">
        <v>7067</v>
      </c>
      <c r="P19" s="695" t="s">
        <v>2119</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4</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f t="shared" si="60"/>
        <v>4</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3852</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3852</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4</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4</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f t="shared" si="285"/>
        <v>4</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4</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2</v>
      </c>
      <c r="D20" s="1751">
        <v>2</v>
      </c>
      <c r="E20" s="133">
        <v>23</v>
      </c>
      <c r="F20" s="133">
        <v>963</v>
      </c>
      <c r="G20" s="133">
        <v>1148</v>
      </c>
      <c r="H20" s="133">
        <v>1126</v>
      </c>
      <c r="I20" s="133">
        <v>0</v>
      </c>
      <c r="J20" s="756">
        <f>IF(C20="",0,HLOOKUP(C20,'Part IV-Utility Allowances'!$I$11:$M$22,12))</f>
        <v>97</v>
      </c>
      <c r="K20" s="644"/>
      <c r="L20" s="461">
        <f t="shared" si="1"/>
        <v>1029</v>
      </c>
      <c r="M20" s="461">
        <f t="shared" si="2"/>
        <v>23667</v>
      </c>
      <c r="N20" s="695" t="s">
        <v>2652</v>
      </c>
      <c r="O20" s="1683" t="s">
        <v>7067</v>
      </c>
      <c r="P20" s="695" t="s">
        <v>2119</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23</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22149</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23</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23</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f t="shared" si="285"/>
        <v>23</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23</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50</v>
      </c>
      <c r="C21" s="132">
        <v>3</v>
      </c>
      <c r="D21" s="1751">
        <v>2</v>
      </c>
      <c r="E21" s="133">
        <v>14</v>
      </c>
      <c r="F21" s="133">
        <v>1150</v>
      </c>
      <c r="G21" s="133">
        <v>1327</v>
      </c>
      <c r="H21" s="133">
        <v>1307</v>
      </c>
      <c r="I21" s="133">
        <v>0</v>
      </c>
      <c r="J21" s="756">
        <f>IF(C21="",0,HLOOKUP(C21,'Part IV-Utility Allowances'!$I$11:$M$22,12))</f>
        <v>121</v>
      </c>
      <c r="K21" s="644"/>
      <c r="L21" s="461">
        <f t="shared" si="1"/>
        <v>1186</v>
      </c>
      <c r="M21" s="461">
        <f t="shared" si="2"/>
        <v>16604</v>
      </c>
      <c r="N21" s="695" t="s">
        <v>2652</v>
      </c>
      <c r="O21" s="1683" t="s">
        <v>7067</v>
      </c>
      <c r="P21" s="695" t="s">
        <v>2119</v>
      </c>
      <c r="Q21" s="134" t="s">
        <v>2652</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f t="shared" si="21"/>
        <v>14</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f t="shared" si="136"/>
        <v>16100</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14</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14</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f t="shared" si="286"/>
        <v>14</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14</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1</v>
      </c>
      <c r="D22" s="1751">
        <v>1</v>
      </c>
      <c r="E22" s="133">
        <v>40</v>
      </c>
      <c r="F22" s="133">
        <v>653</v>
      </c>
      <c r="G22" s="133">
        <v>1149</v>
      </c>
      <c r="H22" s="133">
        <v>1078</v>
      </c>
      <c r="I22" s="133">
        <v>0</v>
      </c>
      <c r="J22" s="756">
        <f>IF(C22="",0,HLOOKUP(C22,'Part IV-Utility Allowances'!$I$11:$M$22,12))</f>
        <v>76</v>
      </c>
      <c r="K22" s="644"/>
      <c r="L22" s="461">
        <f t="shared" si="1"/>
        <v>1002</v>
      </c>
      <c r="M22" s="461">
        <f t="shared" si="2"/>
        <v>40080</v>
      </c>
      <c r="N22" s="695" t="s">
        <v>2652</v>
      </c>
      <c r="O22" s="1683" t="s">
        <v>7067</v>
      </c>
      <c r="P22" s="695" t="s">
        <v>2119</v>
      </c>
      <c r="Q22" s="134" t="s">
        <v>2652</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40</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26120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40</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40</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f t="shared" si="284"/>
        <v>40</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40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2</v>
      </c>
      <c r="D23" s="1751">
        <v>2</v>
      </c>
      <c r="E23" s="133">
        <v>67</v>
      </c>
      <c r="F23" s="133">
        <v>963</v>
      </c>
      <c r="G23" s="133">
        <v>1378</v>
      </c>
      <c r="H23" s="133">
        <v>1109</v>
      </c>
      <c r="I23" s="133">
        <v>0</v>
      </c>
      <c r="J23" s="756">
        <f>IF(C23="",0,HLOOKUP(C23,'Part IV-Utility Allowances'!$I$11:$M$22,12))</f>
        <v>97</v>
      </c>
      <c r="K23" s="644"/>
      <c r="L23" s="461">
        <f t="shared" si="1"/>
        <v>1012</v>
      </c>
      <c r="M23" s="461">
        <f t="shared" si="2"/>
        <v>67804</v>
      </c>
      <c r="N23" s="695" t="s">
        <v>2652</v>
      </c>
      <c r="O23" s="1683" t="s">
        <v>7067</v>
      </c>
      <c r="P23" s="695" t="s">
        <v>2119</v>
      </c>
      <c r="Q23" s="134" t="s">
        <v>2652</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67</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64521</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67</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67</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f t="shared" si="285"/>
        <v>67</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67</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60</v>
      </c>
      <c r="C24" s="132">
        <v>3</v>
      </c>
      <c r="D24" s="1751">
        <v>2</v>
      </c>
      <c r="E24" s="133">
        <v>34</v>
      </c>
      <c r="F24" s="133">
        <v>1150</v>
      </c>
      <c r="G24" s="133">
        <v>1593</v>
      </c>
      <c r="H24" s="133">
        <v>1328</v>
      </c>
      <c r="I24" s="133">
        <v>0</v>
      </c>
      <c r="J24" s="756">
        <f>IF(C24="",0,HLOOKUP(C24,'Part IV-Utility Allowances'!$I$11:$M$22,12))</f>
        <v>121</v>
      </c>
      <c r="K24" s="644"/>
      <c r="L24" s="461">
        <f t="shared" si="1"/>
        <v>1207</v>
      </c>
      <c r="M24" s="461">
        <f t="shared" si="2"/>
        <v>41038</v>
      </c>
      <c r="N24" s="695" t="s">
        <v>2652</v>
      </c>
      <c r="O24" s="1683" t="s">
        <v>7067</v>
      </c>
      <c r="P24" s="695" t="s">
        <v>2119</v>
      </c>
      <c r="Q24" s="134" t="s">
        <v>2652</v>
      </c>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f t="shared" si="16"/>
        <v>34</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f t="shared" si="131"/>
        <v>39100</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34</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34</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f t="shared" si="286"/>
        <v>34</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34</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70</v>
      </c>
      <c r="C25" s="132">
        <v>1</v>
      </c>
      <c r="D25" s="1751">
        <v>1</v>
      </c>
      <c r="E25" s="133">
        <v>4</v>
      </c>
      <c r="F25" s="133">
        <v>653</v>
      </c>
      <c r="G25" s="133">
        <v>1340</v>
      </c>
      <c r="H25" s="133">
        <v>1094</v>
      </c>
      <c r="I25" s="133">
        <v>0</v>
      </c>
      <c r="J25" s="756">
        <f>IF(C25="",0,HLOOKUP(C25,'Part IV-Utility Allowances'!$I$11:$M$22,12))</f>
        <v>76</v>
      </c>
      <c r="K25" s="644"/>
      <c r="L25" s="461">
        <f t="shared" si="1"/>
        <v>1018</v>
      </c>
      <c r="M25" s="461">
        <f t="shared" si="2"/>
        <v>4072</v>
      </c>
      <c r="N25" s="695" t="s">
        <v>2652</v>
      </c>
      <c r="O25" s="1683" t="s">
        <v>7067</v>
      </c>
      <c r="P25" s="695" t="s">
        <v>2119</v>
      </c>
      <c r="Q25" s="134" t="s">
        <v>2652</v>
      </c>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f t="shared" si="9"/>
        <v>4</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f t="shared" si="124"/>
        <v>2612</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f t="shared" si="169"/>
        <v>4</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f t="shared" si="214"/>
        <v>4</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f t="shared" si="284"/>
        <v>4</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4</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70</v>
      </c>
      <c r="C26" s="132">
        <v>2</v>
      </c>
      <c r="D26" s="1751">
        <v>2</v>
      </c>
      <c r="E26" s="133">
        <v>6</v>
      </c>
      <c r="F26" s="133">
        <v>963</v>
      </c>
      <c r="G26" s="133">
        <v>1608</v>
      </c>
      <c r="H26" s="133">
        <v>1361</v>
      </c>
      <c r="I26" s="133">
        <v>0</v>
      </c>
      <c r="J26" s="756">
        <f>IF(C26="",0,HLOOKUP(C26,'Part IV-Utility Allowances'!$I$11:$M$22,12))</f>
        <v>97</v>
      </c>
      <c r="K26" s="644"/>
      <c r="L26" s="461">
        <f t="shared" si="1"/>
        <v>1264</v>
      </c>
      <c r="M26" s="461">
        <f t="shared" si="2"/>
        <v>7584</v>
      </c>
      <c r="N26" s="695" t="s">
        <v>2652</v>
      </c>
      <c r="O26" s="1683" t="s">
        <v>7067</v>
      </c>
      <c r="P26" s="695" t="s">
        <v>2119</v>
      </c>
      <c r="Q26" s="134" t="s">
        <v>2652</v>
      </c>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f t="shared" si="10"/>
        <v>6</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f t="shared" si="125"/>
        <v>5778</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6</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6</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f t="shared" si="285"/>
        <v>6</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6</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v>70</v>
      </c>
      <c r="C27" s="132">
        <v>3</v>
      </c>
      <c r="D27" s="1751">
        <v>2</v>
      </c>
      <c r="E27" s="133">
        <v>2</v>
      </c>
      <c r="F27" s="133">
        <v>1150</v>
      </c>
      <c r="G27" s="133">
        <v>1858</v>
      </c>
      <c r="H27" s="133">
        <v>1613</v>
      </c>
      <c r="I27" s="133">
        <v>0</v>
      </c>
      <c r="J27" s="756">
        <f>IF(C27="",0,HLOOKUP(C27,'Part IV-Utility Allowances'!$I$11:$M$22,12))</f>
        <v>121</v>
      </c>
      <c r="K27" s="644"/>
      <c r="L27" s="461">
        <f t="shared" si="1"/>
        <v>1492</v>
      </c>
      <c r="M27" s="461">
        <f t="shared" si="2"/>
        <v>2984</v>
      </c>
      <c r="N27" s="695" t="s">
        <v>2652</v>
      </c>
      <c r="O27" s="1683" t="s">
        <v>7067</v>
      </c>
      <c r="P27" s="695" t="s">
        <v>2119</v>
      </c>
      <c r="Q27" s="134" t="s">
        <v>2652</v>
      </c>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f t="shared" si="11"/>
        <v>2</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f t="shared" si="126"/>
        <v>2300</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2</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2</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f t="shared" si="286"/>
        <v>2</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2</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23" t="s">
        <v>3768</v>
      </c>
      <c r="C49" s="3624"/>
      <c r="D49" s="107" t="s">
        <v>954</v>
      </c>
      <c r="E49" s="1113">
        <f>SUM(E11:E48)</f>
        <v>210</v>
      </c>
      <c r="F49" s="1111">
        <f>(E11*F11+E12*F12+E13*F13+E14*F14+E15*F15+E16*F16+E17*F17+E18*F18+E19*F19+E20*F20+E21*F21+E22*F22+E23*F23+E24*F24+E25*F25+E26*F26+E27*F27+E28*F28+E29*F29+E30*F30+E31*F31+E32*F32+E33*F33+E34*F34+E35*F35+E36*F36+E37*F37+E38*F38+E39*F39+E40*F40+E41*F41+E42*F42+E43*F43+E44*F44+E45*F45+E46*F46+E47*F47+E48*F48)</f>
        <v>192980</v>
      </c>
      <c r="H49" s="3597" t="s">
        <v>3765</v>
      </c>
      <c r="I49" s="1114" t="s">
        <v>3766</v>
      </c>
      <c r="J49" s="1115" t="str">
        <f>IF(P67=0,"",IF(SUM(P58:P62)/P67&gt;=0.4,"Pass","Fail"))</f>
        <v>Pass</v>
      </c>
      <c r="K49" s="448"/>
      <c r="L49" s="699" t="s">
        <v>1225</v>
      </c>
      <c r="M49" s="94">
        <f>SUM(M11:M48)</f>
        <v>233445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4</v>
      </c>
      <c r="AE49" s="1749">
        <f t="shared" si="339"/>
        <v>6</v>
      </c>
      <c r="AF49" s="1749">
        <f t="shared" si="339"/>
        <v>2</v>
      </c>
      <c r="AG49" s="1749">
        <f t="shared" si="339"/>
        <v>0</v>
      </c>
      <c r="AH49" s="1749">
        <f t="shared" si="339"/>
        <v>0</v>
      </c>
      <c r="AI49" s="1749">
        <f t="shared" si="339"/>
        <v>40</v>
      </c>
      <c r="AJ49" s="1749">
        <f t="shared" si="339"/>
        <v>67</v>
      </c>
      <c r="AK49" s="1749">
        <f t="shared" si="339"/>
        <v>34</v>
      </c>
      <c r="AL49" s="1749">
        <f t="shared" si="339"/>
        <v>0</v>
      </c>
      <c r="AM49" s="1749">
        <f>SUM(AM11:AM48)</f>
        <v>0</v>
      </c>
      <c r="AN49" s="1749">
        <f>SUM(AN11:AN48)</f>
        <v>16</v>
      </c>
      <c r="AO49" s="1749">
        <f>SUM(AO11:AO48)</f>
        <v>27</v>
      </c>
      <c r="AP49" s="1749">
        <f>SUM(AP11:AP48)</f>
        <v>14</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16</v>
      </c>
      <c r="CC49" s="1749">
        <f t="shared" si="338"/>
        <v>4</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2612</v>
      </c>
      <c r="EP49" s="1749">
        <f t="shared" si="342"/>
        <v>5778</v>
      </c>
      <c r="EQ49" s="1749">
        <f t="shared" si="342"/>
        <v>2300</v>
      </c>
      <c r="ER49" s="1749">
        <f t="shared" si="342"/>
        <v>0</v>
      </c>
      <c r="ES49" s="1749">
        <f t="shared" si="342"/>
        <v>0</v>
      </c>
      <c r="ET49" s="1749">
        <f t="shared" si="342"/>
        <v>26120</v>
      </c>
      <c r="EU49" s="1749">
        <f t="shared" si="342"/>
        <v>64521</v>
      </c>
      <c r="EV49" s="1749">
        <f t="shared" si="342"/>
        <v>39100</v>
      </c>
      <c r="EW49" s="1749">
        <f t="shared" si="342"/>
        <v>0</v>
      </c>
      <c r="EX49" s="1749">
        <f t="shared" si="338"/>
        <v>0</v>
      </c>
      <c r="EY49" s="1749">
        <f t="shared" si="338"/>
        <v>10448</v>
      </c>
      <c r="EZ49" s="1749">
        <f t="shared" si="338"/>
        <v>26001</v>
      </c>
      <c r="FA49" s="1749">
        <f t="shared" si="338"/>
        <v>16100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10448</v>
      </c>
      <c r="FY49" s="1749">
        <f t="shared" si="343"/>
        <v>3852</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60</v>
      </c>
      <c r="GI49" s="1749">
        <f t="shared" si="343"/>
        <v>100</v>
      </c>
      <c r="GJ49" s="1749">
        <f t="shared" si="343"/>
        <v>50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60</v>
      </c>
      <c r="IB49" s="1749">
        <f t="shared" si="344"/>
        <v>100</v>
      </c>
      <c r="IC49" s="1749">
        <f t="shared" si="344"/>
        <v>50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60</v>
      </c>
      <c r="KT49" s="1749">
        <f>SUM(KT11:KT48)</f>
        <v>100</v>
      </c>
      <c r="KU49" s="1749">
        <f>SUM(KU11:KU48)</f>
        <v>50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60</v>
      </c>
      <c r="MM49" s="1749">
        <f t="shared" si="346"/>
        <v>100</v>
      </c>
      <c r="MN49" s="1749">
        <f t="shared" si="346"/>
        <v>50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95">
        <f>IF(SUM(E18:E48)=0,"",(B18*E18+B19*E19+B20*E20+B21*E21+B22*E22+B23*E23+B24*E24+B25*E25+B26*E26+B27*E27+B28*E28+B29*E29+B30*E30+B31*E31+B32*E32+B33*E33+B34*E34+B35*E35+B36*E36+B37*E37+B38*E38+B39*E39+B40*E40+B41*E41+B42*E42+B43*E43+B44*E44+B45*E45+B46*E46+B47*E47+B48*E48)/SUM(E18:E48))</f>
        <v>57.857142857142854</v>
      </c>
      <c r="C50" s="3596"/>
      <c r="D50" s="119" t="s">
        <v>3675</v>
      </c>
      <c r="E50" s="1110">
        <f>SUM(E18:E48)</f>
        <v>210</v>
      </c>
      <c r="F50" s="1112">
        <f>(E18*F18+E19*F19+E20*F20+E21*F21+E22*F22+E23*F23+E24*F24+E25*F25+E26*F26+E27*F27+E28*F28+E29*F29+E30*F30+E31*F31+E32*F32+E33*F33+E34*F34+E35*F35+E36*F36+E37*F37+E38*F38+E39*F39+E40*F40+E41*F41+E42*F42+E43*F43+E44*F44+E45*F45+E46*F46+E47*F47+E48*F48)</f>
        <v>192980</v>
      </c>
      <c r="H50" s="3598"/>
      <c r="I50" s="1116" t="s">
        <v>3767</v>
      </c>
      <c r="J50" s="1117" t="str">
        <f>IF(P67=0,"",IF(SUM(P59:P62)/P67&gt;=0.2,"Pass","Fail"))</f>
        <v>Pass</v>
      </c>
      <c r="K50" s="448"/>
      <c r="L50" s="107" t="s">
        <v>757</v>
      </c>
      <c r="M50" s="94">
        <f>M49*12</f>
        <v>2801340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2407</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84" t="s">
        <v>3812</v>
      </c>
      <c r="P53" s="3585"/>
      <c r="S53" s="3612" t="str">
        <f>B53</f>
        <v>UNIT SUMMARY</v>
      </c>
      <c r="T53" s="3612"/>
      <c r="U53" s="3612"/>
      <c r="V53" s="3612"/>
      <c r="AY53" s="359"/>
      <c r="BD53" s="359"/>
      <c r="LO53" s="361"/>
      <c r="MD53" s="357"/>
    </row>
    <row r="54" spans="1:381" ht="14.25" customHeight="1">
      <c r="A54" s="10"/>
      <c r="B54" s="10"/>
      <c r="K54" s="144" t="s">
        <v>6643</v>
      </c>
      <c r="O54" s="3582" t="s">
        <v>7072</v>
      </c>
      <c r="P54" s="3583"/>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676" t="s">
        <v>4075</v>
      </c>
      <c r="B56" s="3676"/>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2" t="s">
        <v>3185</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6"/>
      <c r="B57" s="3676"/>
      <c r="C57" s="72"/>
      <c r="D57" s="1"/>
      <c r="E57" s="1"/>
      <c r="F57" s="1"/>
      <c r="G57" s="62"/>
      <c r="H57" s="81" t="s">
        <v>3677</v>
      </c>
      <c r="I57" s="29"/>
      <c r="J57" s="62"/>
      <c r="K57" s="1127">
        <f>AC49</f>
        <v>0</v>
      </c>
      <c r="L57" s="1128">
        <f>AD49</f>
        <v>4</v>
      </c>
      <c r="M57" s="1128">
        <f>AE49</f>
        <v>6</v>
      </c>
      <c r="N57" s="1128">
        <f>AF49</f>
        <v>2</v>
      </c>
      <c r="O57" s="1129">
        <f>AG49</f>
        <v>0</v>
      </c>
      <c r="P57" s="745">
        <f t="shared" si="347"/>
        <v>12</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6"/>
      <c r="B58" s="3676"/>
      <c r="C58" s="72"/>
      <c r="D58" s="1"/>
      <c r="E58" s="1"/>
      <c r="F58" s="1"/>
      <c r="G58" s="62"/>
      <c r="H58" s="81" t="s">
        <v>1081</v>
      </c>
      <c r="I58" s="29"/>
      <c r="J58" s="62"/>
      <c r="K58" s="1127">
        <f>AH49</f>
        <v>0</v>
      </c>
      <c r="L58" s="1128">
        <f>AI49</f>
        <v>40</v>
      </c>
      <c r="M58" s="1128">
        <f>AJ49</f>
        <v>67</v>
      </c>
      <c r="N58" s="1128">
        <f>AK49</f>
        <v>34</v>
      </c>
      <c r="O58" s="1129">
        <f>AL49</f>
        <v>0</v>
      </c>
      <c r="P58" s="745">
        <f t="shared" si="347"/>
        <v>141</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6"/>
      <c r="B59" s="3676"/>
      <c r="C59" s="72"/>
      <c r="D59" s="1"/>
      <c r="E59" s="1"/>
      <c r="F59" s="1"/>
      <c r="G59" s="62"/>
      <c r="H59" s="81" t="s">
        <v>112</v>
      </c>
      <c r="I59" s="29"/>
      <c r="J59" s="912"/>
      <c r="K59" s="1148">
        <f>AM49</f>
        <v>0</v>
      </c>
      <c r="L59" s="1149">
        <f>AN49</f>
        <v>16</v>
      </c>
      <c r="M59" s="1149">
        <f>AO49</f>
        <v>27</v>
      </c>
      <c r="N59" s="1149">
        <f>AP49</f>
        <v>14</v>
      </c>
      <c r="O59" s="1150">
        <f>AQ49</f>
        <v>0</v>
      </c>
      <c r="P59" s="466">
        <f t="shared" si="347"/>
        <v>57</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6"/>
      <c r="B60" s="3676"/>
      <c r="C60" s="72"/>
      <c r="D60" s="1"/>
      <c r="E60" s="1"/>
      <c r="F60" s="1"/>
      <c r="G60" s="62"/>
      <c r="H60" s="81" t="s">
        <v>3678</v>
      </c>
      <c r="I60" s="29"/>
      <c r="J60" s="912"/>
      <c r="K60" s="1127">
        <f>AR49</f>
        <v>0</v>
      </c>
      <c r="L60" s="1128">
        <f>AS49</f>
        <v>0</v>
      </c>
      <c r="M60" s="1128">
        <f>AT49</f>
        <v>0</v>
      </c>
      <c r="N60" s="1128">
        <f>AU49</f>
        <v>0</v>
      </c>
      <c r="O60" s="1129">
        <f>AV49</f>
        <v>0</v>
      </c>
      <c r="P60" s="745">
        <f t="shared" si="347"/>
        <v>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6"/>
      <c r="B61" s="3676"/>
      <c r="C61" s="72"/>
      <c r="D61" s="1"/>
      <c r="E61" s="1"/>
      <c r="F61" s="1"/>
      <c r="G61" s="62"/>
      <c r="H61" s="81" t="s">
        <v>3679</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6"/>
      <c r="B62" s="3676"/>
      <c r="C62" s="4"/>
      <c r="D62" s="1"/>
      <c r="E62" s="1"/>
      <c r="F62" s="1"/>
      <c r="G62" s="62"/>
      <c r="H62" s="81" t="s">
        <v>3680</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6"/>
      <c r="B63" s="3676"/>
      <c r="C63" s="81" t="s">
        <v>3762</v>
      </c>
      <c r="D63" s="1"/>
      <c r="E63" s="1"/>
      <c r="F63" s="1"/>
      <c r="G63" s="62"/>
      <c r="H63" s="68"/>
      <c r="I63" s="44"/>
      <c r="J63" s="62"/>
      <c r="K63" s="1092">
        <f>SUM(K56:K62)</f>
        <v>0</v>
      </c>
      <c r="L63" s="1092">
        <f>SUM(L56:L62)</f>
        <v>60</v>
      </c>
      <c r="M63" s="1092">
        <f>SUM(M56:M62)</f>
        <v>100</v>
      </c>
      <c r="N63" s="1092">
        <f>SUM(N56:N62)</f>
        <v>50</v>
      </c>
      <c r="O63" s="1092">
        <f>SUM(O56:O62)</f>
        <v>0</v>
      </c>
      <c r="P63" s="1092">
        <f t="shared" si="347"/>
        <v>210</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6"/>
      <c r="B64" s="3676"/>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6"/>
      <c r="B65" s="3676"/>
      <c r="C65" s="1097" t="s">
        <v>1070</v>
      </c>
      <c r="D65" s="1097"/>
      <c r="E65" s="1097"/>
      <c r="F65" s="1097"/>
      <c r="G65" s="1098"/>
      <c r="H65" s="1439"/>
      <c r="I65" s="42"/>
      <c r="J65" s="1098"/>
      <c r="K65" s="1099">
        <f>SUM(K63:K64)</f>
        <v>0</v>
      </c>
      <c r="L65" s="1099">
        <f>SUM(L63:L64)</f>
        <v>60</v>
      </c>
      <c r="M65" s="1099">
        <f>SUM(M63:M64)</f>
        <v>100</v>
      </c>
      <c r="N65" s="1099">
        <f>SUM(N63:N64)</f>
        <v>50</v>
      </c>
      <c r="O65" s="1099">
        <f>SUM(O63:O64)</f>
        <v>0</v>
      </c>
      <c r="P65" s="1099">
        <f t="shared" si="347"/>
        <v>210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6"/>
      <c r="B66" s="3676"/>
      <c r="D66" s="1"/>
      <c r="E66" s="1"/>
      <c r="F66" s="1"/>
      <c r="G66" s="62"/>
      <c r="H66" s="81" t="s">
        <v>2308</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6"/>
      <c r="B67" s="3676"/>
      <c r="C67" s="4" t="s">
        <v>1667</v>
      </c>
      <c r="D67" s="1"/>
      <c r="E67" s="1"/>
      <c r="F67" s="1"/>
      <c r="G67" s="62"/>
      <c r="H67" s="81"/>
      <c r="I67" s="29"/>
      <c r="J67" s="62"/>
      <c r="K67" s="1091">
        <f>SUM(K65:K66)</f>
        <v>0</v>
      </c>
      <c r="L67" s="1091">
        <f>SUM(L65:L66)</f>
        <v>60</v>
      </c>
      <c r="M67" s="1091">
        <f>SUM(M65:M66)</f>
        <v>100</v>
      </c>
      <c r="N67" s="1091">
        <f>SUM(N65:N66)</f>
        <v>50</v>
      </c>
      <c r="O67" s="1091">
        <f>SUM(O65:O66)</f>
        <v>0</v>
      </c>
      <c r="P67" s="1091">
        <f t="shared" si="347"/>
        <v>210</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6"/>
      <c r="B68" s="367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6"/>
      <c r="B69" s="3676"/>
      <c r="C69" s="3622" t="s">
        <v>3771</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6"/>
      <c r="B70" s="3676"/>
      <c r="C70" s="3622"/>
      <c r="D70" s="3622"/>
      <c r="E70" s="3622"/>
      <c r="F70" s="3622"/>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6"/>
      <c r="B71" s="3676"/>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6"/>
      <c r="B72" s="3676"/>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6"/>
      <c r="B73" s="3676"/>
      <c r="C73" s="667"/>
      <c r="D73" s="3572" t="s">
        <v>4068</v>
      </c>
      <c r="E73" s="3572"/>
      <c r="F73" s="3572"/>
      <c r="G73" s="6"/>
      <c r="H73" s="81" t="s">
        <v>3677</v>
      </c>
      <c r="I73" s="29"/>
      <c r="J73" s="1"/>
      <c r="K73" s="1436" t="str">
        <f t="shared" ref="K73:P73" si="350">IF(OR(K57=0,K67=0),"",K57/K67)</f>
        <v/>
      </c>
      <c r="L73" s="1437">
        <f t="shared" si="350"/>
        <v>6.6666666666666666E-2</v>
      </c>
      <c r="M73" s="1437">
        <f t="shared" si="350"/>
        <v>0.06</v>
      </c>
      <c r="N73" s="1437">
        <f t="shared" si="350"/>
        <v>0.04</v>
      </c>
      <c r="O73" s="1437" t="str">
        <f t="shared" si="350"/>
        <v/>
      </c>
      <c r="P73" s="1438">
        <f t="shared" si="350"/>
        <v>5.7142857142857141E-2</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2"/>
      <c r="E74" s="3572"/>
      <c r="F74" s="3572"/>
      <c r="G74" s="6"/>
      <c r="H74" s="81" t="s">
        <v>6486</v>
      </c>
      <c r="I74" s="29"/>
      <c r="J74" s="1"/>
      <c r="K74" s="1509" t="str">
        <f>IF(OR(K57=0,P73="",K67=0),"",P73*K67)</f>
        <v/>
      </c>
      <c r="L74" s="1509">
        <f>IF(OR(L57=0,P73="",L67=0),"",P73*L67)</f>
        <v>3.4285714285714284</v>
      </c>
      <c r="M74" s="1509">
        <f>IF(OR(M57=0,P73="",M67=0),"",P73*M67)</f>
        <v>5.7142857142857144</v>
      </c>
      <c r="N74" s="1509">
        <f>IF(OR(N57=0,P73="",N67=0),"",P73*N67)</f>
        <v>2.8571428571428572</v>
      </c>
      <c r="O74" s="1509" t="str">
        <f>IF(OR(O57=0,P73="",O67=0),"",P73*O67)</f>
        <v/>
      </c>
      <c r="P74" s="1510">
        <f>IF(OR(P73="",P67=0),"",P73*P67)</f>
        <v>12</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2"/>
      <c r="E75" s="3572"/>
      <c r="F75" s="3572"/>
      <c r="G75" s="1504"/>
      <c r="H75" s="1441" t="s">
        <v>6487</v>
      </c>
      <c r="I75" s="1409"/>
      <c r="J75" s="1"/>
      <c r="K75" s="1511" t="str">
        <f t="shared" ref="K75:P75" si="351">IF(OR(K74="",K57=0),"", K57-K74)</f>
        <v/>
      </c>
      <c r="L75" s="1511">
        <f t="shared" si="351"/>
        <v>0.57142857142857162</v>
      </c>
      <c r="M75" s="1511">
        <f t="shared" si="351"/>
        <v>0.28571428571428559</v>
      </c>
      <c r="N75" s="1511">
        <f t="shared" si="351"/>
        <v>-0.85714285714285721</v>
      </c>
      <c r="O75" s="1511" t="str">
        <f t="shared" si="351"/>
        <v/>
      </c>
      <c r="P75" s="1511">
        <f t="shared" si="351"/>
        <v>0</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0.66666666666666663</v>
      </c>
      <c r="M76" s="1437">
        <f t="shared" si="352"/>
        <v>0.67</v>
      </c>
      <c r="N76" s="1437">
        <f t="shared" si="352"/>
        <v>0.68</v>
      </c>
      <c r="O76" s="1437" t="str">
        <f t="shared" si="352"/>
        <v/>
      </c>
      <c r="P76" s="1438">
        <f t="shared" si="352"/>
        <v>0.67142857142857137</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40.285714285714285</v>
      </c>
      <c r="M77" s="1509">
        <f>IF(OR(M58=0,P76="",M67=0),"",P76*M67)</f>
        <v>67.142857142857139</v>
      </c>
      <c r="N77" s="1509">
        <f>IF(OR(N58=0,P76="",N67=0),"",P76*N67)</f>
        <v>33.571428571428569</v>
      </c>
      <c r="O77" s="1509" t="str">
        <f>IF(OR(O58=0,P76="",O67=0),"",P76*O67)</f>
        <v/>
      </c>
      <c r="P77" s="1510">
        <f>IF(OR(P76="",P67=0),"",P76*P67)</f>
        <v>141</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-0.2857142857142847</v>
      </c>
      <c r="M78" s="1511">
        <f t="shared" si="353"/>
        <v>-0.1428571428571388</v>
      </c>
      <c r="N78" s="1511">
        <f t="shared" si="353"/>
        <v>0.4285714285714306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0.26666666666666666</v>
      </c>
      <c r="M79" s="1437">
        <f t="shared" si="354"/>
        <v>0.27</v>
      </c>
      <c r="N79" s="1437">
        <f t="shared" si="354"/>
        <v>0.28000000000000003</v>
      </c>
      <c r="O79" s="1437" t="str">
        <f t="shared" si="354"/>
        <v/>
      </c>
      <c r="P79" s="1438">
        <f t="shared" si="354"/>
        <v>0.27142857142857141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16.285714285714285</v>
      </c>
      <c r="M80" s="1509">
        <f>IF(OR(M59=0,P79="",M67=0),"",P79*M67)</f>
        <v>27.142857142857142</v>
      </c>
      <c r="N80" s="1509">
        <f>IF(OR(N59=0,P79="",N67=0),"",P79*N67)</f>
        <v>13.571428571428571</v>
      </c>
      <c r="O80" s="1509" t="str">
        <f>IF(OR(O59=0,P79="",O67=0),"",P79*O67)</f>
        <v/>
      </c>
      <c r="P80" s="1510">
        <f>IF(OR(P79="",P67=0),"",P79*P67)</f>
        <v>56.999999999999993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-0.2857142857142847</v>
      </c>
      <c r="M81" s="1511">
        <f t="shared" si="355"/>
        <v>-0.14285714285714235</v>
      </c>
      <c r="N81" s="1511">
        <f t="shared" si="355"/>
        <v>0.42857142857142883</v>
      </c>
      <c r="O81" s="1511" t="str">
        <f t="shared" si="355"/>
        <v/>
      </c>
      <c r="P81" s="1511">
        <f t="shared" si="355"/>
        <v>7.1054273576010019E-15</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16</v>
      </c>
      <c r="M96" s="1158">
        <f>CC49</f>
        <v>4</v>
      </c>
      <c r="N96" s="1158">
        <f>CD49</f>
        <v>0</v>
      </c>
      <c r="O96" s="1159">
        <f>CE49</f>
        <v>0</v>
      </c>
      <c r="P96" s="471">
        <f t="shared" si="362"/>
        <v>20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16</v>
      </c>
      <c r="M100" s="1091">
        <f>SUM(M93:M99)</f>
        <v>4</v>
      </c>
      <c r="N100" s="1091">
        <f>SUM(N93:N99)</f>
        <v>0</v>
      </c>
      <c r="O100" s="1091">
        <f>SUM(O93:O99)</f>
        <v>0</v>
      </c>
      <c r="P100" s="1091">
        <f t="shared" si="362"/>
        <v>20</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3" t="str">
        <f>$O$53</f>
        <v>Income Averaging</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2119</v>
      </c>
      <c r="F113" s="1"/>
      <c r="G113" s="62"/>
      <c r="H113" s="81" t="s">
        <v>1343</v>
      </c>
      <c r="I113" s="29"/>
      <c r="J113" s="62"/>
      <c r="K113" s="1124">
        <f>GG49</f>
        <v>0</v>
      </c>
      <c r="L113" s="1125">
        <f>GH49</f>
        <v>60</v>
      </c>
      <c r="M113" s="1125">
        <f>GI49</f>
        <v>100</v>
      </c>
      <c r="N113" s="1125">
        <f>GJ49</f>
        <v>50</v>
      </c>
      <c r="O113" s="1126">
        <f>GK49</f>
        <v>0</v>
      </c>
      <c r="P113" s="749">
        <f t="shared" ref="P113:P123" si="364">SUM(K113:O113)</f>
        <v>210</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60</v>
      </c>
      <c r="M115" s="1093">
        <f>SUM(M113:M114)+GS49</f>
        <v>100</v>
      </c>
      <c r="N115" s="1093">
        <f>SUM(N113:N114)+GT49</f>
        <v>50</v>
      </c>
      <c r="O115" s="1093">
        <f>SUM(O113:O114)+GU49</f>
        <v>0</v>
      </c>
      <c r="P115" s="1093">
        <f t="shared" si="364"/>
        <v>210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1982</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3" t="str">
        <f>IF(AND('Part III-A-Uses of Funds'!$T$179="Yes",'Part VIII Scoring Criteria'!$O$312&gt;0,P123&lt;1),"SHOW HISTORIC UNITS HERE &gt;&gt;&gt;&gt;","")</f>
        <v/>
      </c>
      <c r="B123" s="3683"/>
      <c r="C123" s="3683"/>
      <c r="D123" s="3683"/>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60</v>
      </c>
      <c r="M127" s="1146">
        <f t="shared" si="365"/>
        <v>100</v>
      </c>
      <c r="N127" s="1146">
        <f t="shared" si="365"/>
        <v>50</v>
      </c>
      <c r="O127" s="1147">
        <f t="shared" si="365"/>
        <v>0</v>
      </c>
      <c r="P127" s="1096">
        <f t="shared" si="365"/>
        <v>210</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60</v>
      </c>
      <c r="M134" s="1152">
        <f>KT49</f>
        <v>100</v>
      </c>
      <c r="N134" s="1152">
        <f>KU49</f>
        <v>50</v>
      </c>
      <c r="O134" s="1153">
        <f>KV49</f>
        <v>0</v>
      </c>
      <c r="P134" s="469">
        <f t="shared" si="367"/>
        <v>210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3" t="str">
        <f>$O$53</f>
        <v>Income Averaging</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2995</v>
      </c>
      <c r="F153" s="147"/>
      <c r="G153" s="62"/>
      <c r="H153" s="1406"/>
      <c r="I153" s="33"/>
      <c r="J153" s="912"/>
      <c r="K153" s="1160">
        <f t="shared" si="371"/>
        <v>0</v>
      </c>
      <c r="L153" s="1161">
        <f t="shared" si="371"/>
        <v>60</v>
      </c>
      <c r="M153" s="1161">
        <f t="shared" si="371"/>
        <v>100</v>
      </c>
      <c r="N153" s="1161">
        <f t="shared" si="371"/>
        <v>50</v>
      </c>
      <c r="O153" s="1162">
        <f t="shared" si="371"/>
        <v>0</v>
      </c>
      <c r="P153" s="1688">
        <f t="shared" si="369"/>
        <v>210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2612</v>
      </c>
      <c r="M158" s="1164">
        <f>EP49</f>
        <v>5778</v>
      </c>
      <c r="N158" s="1164">
        <f>EQ49</f>
        <v>2300</v>
      </c>
      <c r="O158" s="1165">
        <f>ER49</f>
        <v>0</v>
      </c>
      <c r="P158" s="1088">
        <f t="shared" si="372"/>
        <v>10690</v>
      </c>
      <c r="Q158" s="1291">
        <f t="shared" si="373"/>
        <v>890.83333333333337</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26120</v>
      </c>
      <c r="M159" s="1164">
        <f>EU49</f>
        <v>64521</v>
      </c>
      <c r="N159" s="1164">
        <f>EV49</f>
        <v>39100</v>
      </c>
      <c r="O159" s="1165">
        <f>EW49</f>
        <v>0</v>
      </c>
      <c r="P159" s="1088">
        <f t="shared" si="372"/>
        <v>129741</v>
      </c>
      <c r="Q159" s="1291">
        <f t="shared" si="373"/>
        <v>920.14893617021278</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10448</v>
      </c>
      <c r="M160" s="1224">
        <f>EZ49</f>
        <v>26001</v>
      </c>
      <c r="N160" s="1224">
        <f>FA49</f>
        <v>16100</v>
      </c>
      <c r="O160" s="1225">
        <f>FB49</f>
        <v>0</v>
      </c>
      <c r="P160" s="1226">
        <f t="shared" si="372"/>
        <v>52549</v>
      </c>
      <c r="Q160" s="1291">
        <f t="shared" si="373"/>
        <v>921.91228070175441</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39180</v>
      </c>
      <c r="M164" s="1690">
        <f>SUM(M157:M163)</f>
        <v>96300</v>
      </c>
      <c r="N164" s="1690">
        <f>SUM(N157:N163)</f>
        <v>57500</v>
      </c>
      <c r="O164" s="1690">
        <f>SUM(O157:O163)</f>
        <v>0</v>
      </c>
      <c r="P164" s="1690">
        <f>SUM(K164:O164)</f>
        <v>192980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39180</v>
      </c>
      <c r="M166" s="1689">
        <f>SUM(M164:M165)</f>
        <v>96300</v>
      </c>
      <c r="N166" s="1689">
        <f>SUM(N164:N165)</f>
        <v>57500</v>
      </c>
      <c r="O166" s="1689">
        <f>SUM(O164:O165)</f>
        <v>0</v>
      </c>
      <c r="P166" s="1689">
        <f>SUM(K166:O166)</f>
        <v>192980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39180</v>
      </c>
      <c r="M168" s="1094">
        <f>SUM(M166:M167)</f>
        <v>96300</v>
      </c>
      <c r="N168" s="1094">
        <f>SUM(N166:N167)</f>
        <v>57500</v>
      </c>
      <c r="O168" s="1094">
        <f>SUM(O166:O167)</f>
        <v>0</v>
      </c>
      <c r="P168" s="1094">
        <f>SUM(K168:O168)</f>
        <v>192980</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653</v>
      </c>
      <c r="M171" s="1290">
        <f>IF(OR(M67="",M67=0),"",M168/M67)</f>
        <v>963</v>
      </c>
      <c r="N171" s="1290">
        <f>IF(OR(N67="",N67=0),"",N168/N67)</f>
        <v>1150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1">
        <v>8500</v>
      </c>
      <c r="L174" s="367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9">
        <f>P168+K174</f>
        <v>201480</v>
      </c>
      <c r="L175" s="367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0">
        <f>'Part VI-Pro Forma'!B10*M50</f>
        <v>56026.8</v>
      </c>
      <c r="I179" s="3570"/>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132868</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41">
        <v>100000</v>
      </c>
      <c r="G221" s="3642"/>
      <c r="H221" s="1"/>
      <c r="I221" s="1" t="s">
        <v>1300</v>
      </c>
      <c r="K221" s="1"/>
      <c r="L221" s="3641"/>
      <c r="M221" s="3642"/>
      <c r="N221" s="1"/>
      <c r="O221" s="319">
        <f>+Q220/(P67*0.93)</f>
        <v>680.3277009728622</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90000</v>
      </c>
      <c r="G222" s="3617"/>
      <c r="H222" s="1"/>
      <c r="I222" s="1" t="s">
        <v>1301</v>
      </c>
      <c r="K222" s="1"/>
      <c r="L222" s="3644"/>
      <c r="M222" s="3645"/>
      <c r="N222" s="1"/>
      <c r="O222" s="319">
        <f>+Q220/(P67*0.93)/12</f>
        <v>56.693975081071848</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c r="G223" s="3617"/>
      <c r="H223" s="1"/>
      <c r="I223" s="1"/>
      <c r="K223" s="8" t="s">
        <v>184</v>
      </c>
      <c r="L223" s="3648">
        <f>SUM(L221:M222)</f>
        <v>0</v>
      </c>
      <c r="M223" s="3649"/>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6"/>
      <c r="G225" s="3617"/>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5" t="s">
        <v>7073</v>
      </c>
      <c r="C226" s="3626"/>
      <c r="D226" s="3626"/>
      <c r="E226" s="3627"/>
      <c r="F226" s="3644">
        <v>51300</v>
      </c>
      <c r="G226" s="3645"/>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8">
        <f>SUM(F221:G226)</f>
        <v>241300</v>
      </c>
      <c r="G227" s="3649"/>
      <c r="H227" s="1"/>
      <c r="I227" s="1" t="s">
        <v>1497</v>
      </c>
      <c r="K227" s="1"/>
      <c r="L227" s="3628">
        <v>5000</v>
      </c>
      <c r="M227" s="3629"/>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30">
        <v>12150</v>
      </c>
      <c r="M228" s="3631"/>
      <c r="N228" s="3643" t="str">
        <f>IF(Q230="","",IF(Q228&lt;Q230, "WARNING! OE below required minimum.",""))</f>
        <v/>
      </c>
      <c r="O228" s="4" t="s">
        <v>2028</v>
      </c>
      <c r="P228" s="1"/>
      <c r="Q228" s="326">
        <f>F227+F236+F247+L223+L231+L241+L247+Q220</f>
        <v>967518</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5000</v>
      </c>
      <c r="M229" s="3631"/>
      <c r="N229" s="3643"/>
      <c r="O229" s="42" t="s">
        <v>2486</v>
      </c>
      <c r="P229" s="319">
        <f>+Q228/P67</f>
        <v>4607.2285714285717</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1">
        <v>5000</v>
      </c>
      <c r="G230" s="3642"/>
      <c r="H230" s="1"/>
      <c r="I230" s="3634" t="s">
        <v>7075</v>
      </c>
      <c r="J230" s="3635"/>
      <c r="K230" s="3636"/>
      <c r="L230" s="3646">
        <v>2500</v>
      </c>
      <c r="M230" s="3647"/>
      <c r="N230" s="3643"/>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945000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7200</v>
      </c>
      <c r="G231" s="3617"/>
      <c r="H231" s="1"/>
      <c r="I231" s="4"/>
      <c r="K231" s="8" t="s">
        <v>184</v>
      </c>
      <c r="L231" s="3650">
        <f>SUM(L227:L230)</f>
        <v>24650</v>
      </c>
      <c r="M231" s="3651"/>
      <c r="N231" s="3643"/>
      <c r="O231" s="3656" t="s">
        <v>6724</v>
      </c>
      <c r="P231" s="3656"/>
      <c r="Q231" s="3656"/>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2000</v>
      </c>
      <c r="G232" s="3617"/>
      <c r="H232" s="1"/>
      <c r="N232" s="1"/>
      <c r="O232" s="3656"/>
      <c r="P232" s="3656"/>
      <c r="Q232" s="3656"/>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6"/>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c r="G234" s="3617"/>
      <c r="H234" s="1"/>
      <c r="I234" s="4" t="s">
        <v>1297</v>
      </c>
      <c r="K234" s="248" t="s">
        <v>3883</v>
      </c>
      <c r="O234" s="1312" t="s">
        <v>3085</v>
      </c>
      <c r="P234" s="4"/>
      <c r="Q234" s="917">
        <f>Q243</f>
        <v>52500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5" t="s">
        <v>7074</v>
      </c>
      <c r="C235" s="3626"/>
      <c r="D235" s="3626"/>
      <c r="E235" s="3627"/>
      <c r="F235" s="3644">
        <v>35500</v>
      </c>
      <c r="G235" s="3645"/>
      <c r="H235" s="1"/>
      <c r="I235" s="1" t="s">
        <v>1290</v>
      </c>
      <c r="K235" s="365">
        <f>L235/12/P67</f>
        <v>15.873015873015873</v>
      </c>
      <c r="L235" s="3628">
        <v>40000</v>
      </c>
      <c r="M235" s="3629"/>
      <c r="N235" s="3643" t="str">
        <f>IF(Q234&lt;Q243, "WARNING! RR proposed is below the DCA required minimum.","")</f>
        <v/>
      </c>
      <c r="O235" s="772" t="s">
        <v>3882</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8">
        <f>SUM(F230:G235)</f>
        <v>49700</v>
      </c>
      <c r="G236" s="3649"/>
      <c r="H236" s="1"/>
      <c r="I236" s="1" t="s">
        <v>1291</v>
      </c>
      <c r="K236" s="365">
        <f>L236/12/P67</f>
        <v>0</v>
      </c>
      <c r="L236" s="3630"/>
      <c r="M236" s="3631"/>
      <c r="N236" s="3660"/>
      <c r="O236" s="3661" t="s">
        <v>3230</v>
      </c>
      <c r="P236" s="3662"/>
      <c r="Q236" s="3663"/>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75.396825396825406</v>
      </c>
      <c r="L237" s="3630">
        <v>190000</v>
      </c>
      <c r="M237" s="3631"/>
      <c r="N237" s="3660"/>
      <c r="O237" s="766" t="s">
        <v>2464</v>
      </c>
      <c r="P237" s="669" t="s">
        <v>3284</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7.9365079365079367</v>
      </c>
      <c r="L238" s="3630">
        <v>20000</v>
      </c>
      <c r="M238" s="3631"/>
      <c r="N238" s="3660"/>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4">
        <v>55000</v>
      </c>
      <c r="G239" s="3665"/>
      <c r="H239" s="1"/>
      <c r="I239" s="72" t="s">
        <v>6681</v>
      </c>
      <c r="K239" s="365">
        <f>L239/12/P67</f>
        <v>0</v>
      </c>
      <c r="L239" s="3630"/>
      <c r="M239" s="3631"/>
      <c r="N239" s="3660"/>
      <c r="O239" s="387" t="s">
        <v>3052</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2">
        <v>45000</v>
      </c>
      <c r="G240" s="3653"/>
      <c r="H240" s="1"/>
      <c r="I240" s="3637" t="s">
        <v>46</v>
      </c>
      <c r="J240" s="3638"/>
      <c r="K240" s="365">
        <f>L240/12/P67</f>
        <v>0</v>
      </c>
      <c r="L240" s="3646"/>
      <c r="M240" s="3647"/>
      <c r="N240" s="3660"/>
      <c r="O240" s="387" t="s">
        <v>3051</v>
      </c>
      <c r="P240" s="673" t="str">
        <f>CONCATENATE(SUM(MK49:MO49)," units x $",'DCA Underwriting Assumptions'!$Q$29," =")</f>
        <v>210 units x $250 =</v>
      </c>
      <c r="Q240" s="501">
        <f>SUM(MK49:MO49)*'DCA Underwriting Assumptions'!$Q$29</f>
        <v>52500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2">
        <v>12500</v>
      </c>
      <c r="G241" s="3653"/>
      <c r="H241" s="1"/>
      <c r="K241" s="8" t="s">
        <v>184</v>
      </c>
      <c r="L241" s="3650">
        <f>SUM(L235:L240)</f>
        <v>250000</v>
      </c>
      <c r="M241" s="3651"/>
      <c r="N241" s="3660"/>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6500</v>
      </c>
      <c r="G242" s="3617"/>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15000</v>
      </c>
      <c r="G243" s="3617"/>
      <c r="H243" s="1"/>
      <c r="I243" s="4" t="s">
        <v>1298</v>
      </c>
      <c r="O243" s="769" t="s">
        <v>2467</v>
      </c>
      <c r="P243" s="770">
        <f>SUM(MF49:MJ49)+SUM(MK49:MO49)+SUM(MP49:MT49)+P125</f>
        <v>210</v>
      </c>
      <c r="Q243" s="771">
        <f>SUM(Q239:Q242)</f>
        <v>52500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v>15000</v>
      </c>
      <c r="G244" s="3617"/>
      <c r="H244" s="1"/>
      <c r="I244" s="72" t="s">
        <v>3929</v>
      </c>
      <c r="K244" s="1"/>
      <c r="L244" s="3628"/>
      <c r="M244" s="3629"/>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10000</v>
      </c>
      <c r="G245" s="3617"/>
      <c r="H245" s="1"/>
      <c r="I245" s="1" t="s">
        <v>140</v>
      </c>
      <c r="K245" s="1"/>
      <c r="L245" s="3630">
        <v>110000</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5" t="s">
        <v>46</v>
      </c>
      <c r="C246" s="3626"/>
      <c r="D246" s="3626"/>
      <c r="E246" s="3627"/>
      <c r="F246" s="3644"/>
      <c r="G246" s="3645"/>
      <c r="H246" s="1"/>
      <c r="I246" s="3634" t="s">
        <v>46</v>
      </c>
      <c r="J246" s="3635"/>
      <c r="K246" s="3636"/>
      <c r="L246" s="3632"/>
      <c r="M246" s="363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8">
        <f>SUM(F239:G246)</f>
        <v>159000</v>
      </c>
      <c r="G247" s="3659"/>
      <c r="H247" s="1"/>
      <c r="K247" s="8" t="s">
        <v>184</v>
      </c>
      <c r="L247" s="3650">
        <f>SUM(L243:L246)</f>
        <v>110000</v>
      </c>
      <c r="M247" s="3657"/>
      <c r="N247" s="1"/>
      <c r="O247" s="4" t="s">
        <v>2029</v>
      </c>
      <c r="P247" s="1"/>
      <c r="Q247" s="326">
        <f>Q228+Q234</f>
        <v>1020018</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6"/>
      <c r="L251" s="3587"/>
      <c r="M251" s="1284" t="s">
        <v>3900</v>
      </c>
      <c r="N251" s="1222"/>
      <c r="O251" s="4" t="s">
        <v>3875</v>
      </c>
      <c r="P251" s="1"/>
      <c r="Q251" s="1242">
        <f>K251*N251</f>
        <v>0</v>
      </c>
      <c r="R251" s="671"/>
      <c r="S251" s="3666"/>
      <c r="T251" s="3667"/>
      <c r="U251" s="3667"/>
      <c r="V251" s="3667"/>
      <c r="W251" s="366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66"/>
      <c r="T253" s="3667"/>
      <c r="U253" s="3667"/>
      <c r="V253" s="3667"/>
      <c r="W253" s="366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55" t="s">
        <v>7076</v>
      </c>
      <c r="B256" s="3655"/>
      <c r="C256" s="3655"/>
      <c r="D256" s="3655"/>
      <c r="E256" s="3655"/>
      <c r="F256" s="3655"/>
      <c r="G256" s="3655"/>
      <c r="H256" s="3655"/>
      <c r="I256" s="3655"/>
      <c r="J256" s="3655"/>
      <c r="K256" s="3655"/>
      <c r="L256" s="3655"/>
      <c r="M256" s="3655"/>
      <c r="N256" s="3654"/>
      <c r="O256" s="3654"/>
      <c r="P256" s="3654"/>
      <c r="Q256" s="3654"/>
      <c r="R256" s="3064"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0: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33" sqref="F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88" t="str">
        <f>CONCATENATE("PART SIX - OPERATING PRO FORMA","  -  ",'Part I-Project Identification'!$O$7," ",'Part I-Project Identification'!$F$25,", ",'Part I-Project Identification'!F26,", ",'Part I-Project Identification'!J26," County")</f>
        <v>PART SIX - OPERATING PRO FORMA  -  2023-5 Westbury, Decatur, DeKalb County</v>
      </c>
      <c r="B2" s="3689"/>
      <c r="C2" s="3689"/>
      <c r="D2" s="3689"/>
      <c r="E2" s="3689"/>
      <c r="F2" s="3689"/>
      <c r="G2" s="3689"/>
      <c r="H2" s="3689"/>
      <c r="I2" s="3689"/>
      <c r="J2" s="3689"/>
      <c r="K2" s="3690"/>
      <c r="L2" s="4"/>
      <c r="M2" s="4"/>
      <c r="N2" s="3691" t="str">
        <f>A2</f>
        <v>PART SIX - OPERATING PRO FORMA  -  2023-5 Westbury, Decatur, DeKalb County</v>
      </c>
      <c r="O2" s="3691"/>
      <c r="P2" s="4"/>
      <c r="AA2" s="1721">
        <v>2</v>
      </c>
    </row>
    <row r="3" spans="1:27" ht="13.5" customHeight="1">
      <c r="A3" s="382"/>
      <c r="B3" s="382"/>
      <c r="C3" s="382"/>
      <c r="D3" s="382"/>
      <c r="E3" s="382"/>
      <c r="F3" s="382"/>
      <c r="G3" s="382"/>
      <c r="H3" s="382"/>
      <c r="I3" s="382"/>
      <c r="J3" s="382"/>
      <c r="K3" s="382"/>
      <c r="N3" s="3553" t="s">
        <v>1710</v>
      </c>
      <c r="O3" s="3553"/>
      <c r="AA3" s="1721">
        <v>3</v>
      </c>
    </row>
    <row r="4" spans="1:27" ht="13.5" customHeight="1">
      <c r="A4" s="10" t="s">
        <v>85</v>
      </c>
      <c r="C4" s="3692" t="str">
        <f>'Part I-Project Identification'!$A$6</f>
        <v>Sept 2023</v>
      </c>
      <c r="D4" s="944" t="s">
        <v>75</v>
      </c>
      <c r="E4" s="180"/>
      <c r="F4" s="945" t="s">
        <v>3402</v>
      </c>
      <c r="N4" s="10" t="str">
        <f>A4</f>
        <v>I.  OPERATING ASSUMPTIONS</v>
      </c>
      <c r="O4" s="10"/>
      <c r="AA4" s="1721">
        <v>4</v>
      </c>
    </row>
    <row r="5" spans="1:27" ht="2.65" customHeight="1">
      <c r="C5" s="3692"/>
      <c r="AA5" s="1721">
        <v>5</v>
      </c>
    </row>
    <row r="6" spans="1:27" ht="13.5" customHeight="1">
      <c r="A6" s="6" t="s">
        <v>2030</v>
      </c>
      <c r="B6" s="58">
        <f>'DCA Underwriting Assumptions'!$Q$99</f>
        <v>0.02</v>
      </c>
      <c r="C6" s="3692"/>
      <c r="D6" s="3575" t="s">
        <v>3403</v>
      </c>
      <c r="E6" s="3575"/>
      <c r="F6" s="3575"/>
      <c r="G6" s="59">
        <v>5000</v>
      </c>
      <c r="H6" s="75" t="s">
        <v>1767</v>
      </c>
      <c r="K6" s="80">
        <f>IF(($B$15+$B$16+$B$17+$B$18)=0,"",B31/($B$15+$B$16+$B$17+$B$18))</f>
        <v>-1.8815729524195163E-3</v>
      </c>
      <c r="N6" s="3579"/>
      <c r="O6" s="3581"/>
      <c r="AA6" s="1721">
        <v>6</v>
      </c>
    </row>
    <row r="7" spans="1:27">
      <c r="A7" s="6" t="s">
        <v>2031</v>
      </c>
      <c r="B7" s="58">
        <f>'DCA Underwriting Assumptions'!$Q$102</f>
        <v>0.03</v>
      </c>
      <c r="C7" s="3692"/>
      <c r="D7" s="3575"/>
      <c r="E7" s="3575"/>
      <c r="F7" s="3575"/>
      <c r="G7" s="946">
        <f>IF(OR('Part II-Sources of Funds'!E6="Yes",'Part II-Sources of Funds'!I6&gt;0),'DCA Underwriting Assumptions'!$Q$64,0)</f>
        <v>0</v>
      </c>
      <c r="N7" s="3576"/>
      <c r="O7" s="3578"/>
      <c r="AA7" s="1721">
        <v>7</v>
      </c>
    </row>
    <row r="8" spans="1:27">
      <c r="A8" s="6" t="s">
        <v>2033</v>
      </c>
      <c r="B8" s="58">
        <f>'DCA Underwriting Assumptions'!$Q$103</f>
        <v>0.03</v>
      </c>
      <c r="C8" s="3692"/>
      <c r="D8" s="1" t="s">
        <v>258</v>
      </c>
      <c r="G8" s="61"/>
      <c r="H8" s="75" t="s">
        <v>2190</v>
      </c>
      <c r="K8" s="80">
        <f>IF(($B$15+$B$16+$B$17+$B$18)=0,"",-B22/($B$15+$B$16+$B$17+$B$18))</f>
        <v>5.000016700841526E-2</v>
      </c>
      <c r="N8" s="3576"/>
      <c r="O8" s="3578"/>
      <c r="AA8" s="1721">
        <v>8</v>
      </c>
    </row>
    <row r="9" spans="1:27" ht="13.35" customHeight="1">
      <c r="A9" s="6" t="s">
        <v>2032</v>
      </c>
      <c r="B9" s="186">
        <v>7.0000000000000007E-2</v>
      </c>
      <c r="C9" s="1213" t="str">
        <f>IF(B9&lt;0.07, "Must be &gt;= 7%!","")</f>
        <v/>
      </c>
      <c r="D9" s="1" t="s">
        <v>2306</v>
      </c>
      <c r="G9" s="1228" t="s">
        <v>2649</v>
      </c>
      <c r="H9" s="140" t="s">
        <v>1355</v>
      </c>
      <c r="K9" s="1230">
        <v>132868</v>
      </c>
      <c r="N9" s="3576"/>
      <c r="O9" s="3578"/>
      <c r="AA9" s="1721">
        <v>9</v>
      </c>
    </row>
    <row r="10" spans="1:27">
      <c r="A10" s="6" t="s">
        <v>1336</v>
      </c>
      <c r="B10" s="58">
        <v>0.02</v>
      </c>
      <c r="D10" s="1" t="s">
        <v>1597</v>
      </c>
      <c r="G10" s="1229"/>
      <c r="H10" s="140" t="s">
        <v>2173</v>
      </c>
      <c r="K10" s="1231"/>
      <c r="N10" s="3589"/>
      <c r="O10" s="3591"/>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2410</v>
      </c>
      <c r="O14" s="3213"/>
      <c r="AA14" s="1721">
        <v>14</v>
      </c>
    </row>
    <row r="15" spans="1:27" ht="13.35" customHeight="1">
      <c r="A15" s="14" t="s">
        <v>2214</v>
      </c>
      <c r="B15" s="15">
        <f>'Part V-Revenues &amp; Expenses'!$M$50</f>
        <v>2801340</v>
      </c>
      <c r="C15" s="15">
        <f t="shared" ref="C15:K15" si="1">$B$15*(1+$B$6)^(C14-1)</f>
        <v>2857366.8000000003</v>
      </c>
      <c r="D15" s="15">
        <f t="shared" si="1"/>
        <v>2914514.1359999999</v>
      </c>
      <c r="E15" s="15">
        <f t="shared" si="1"/>
        <v>2972804.41872</v>
      </c>
      <c r="F15" s="15">
        <f t="shared" si="1"/>
        <v>3032260.5070944</v>
      </c>
      <c r="G15" s="15">
        <f t="shared" si="1"/>
        <v>3092905.7172362879</v>
      </c>
      <c r="H15" s="15">
        <f t="shared" si="1"/>
        <v>3154763.8315810137</v>
      </c>
      <c r="I15" s="15">
        <f t="shared" si="1"/>
        <v>3217859.1082126335</v>
      </c>
      <c r="J15" s="15">
        <f t="shared" si="1"/>
        <v>3282216.2903768867</v>
      </c>
      <c r="K15" s="16">
        <f t="shared" si="1"/>
        <v>3347860.6161844241</v>
      </c>
      <c r="N15" s="3579"/>
      <c r="O15" s="3581"/>
      <c r="S15" s="3684" t="s">
        <v>3408</v>
      </c>
      <c r="Z15" s="1719" t="s">
        <v>6460</v>
      </c>
      <c r="AA15" s="1721">
        <v>15</v>
      </c>
    </row>
    <row r="16" spans="1:27" ht="13.35" customHeight="1">
      <c r="A16" s="17" t="s">
        <v>952</v>
      </c>
      <c r="B16" s="18">
        <f>MIN(B15*B10,'Part V-Revenues &amp; Expenses'!$H$179)</f>
        <v>56026.8</v>
      </c>
      <c r="C16" s="18">
        <f t="shared" ref="C16:K16" si="2">$B$16*(1+$B$6)^(C14-1)</f>
        <v>57147.336000000003</v>
      </c>
      <c r="D16" s="18">
        <f t="shared" si="2"/>
        <v>58290.282720000003</v>
      </c>
      <c r="E16" s="18">
        <f t="shared" si="2"/>
        <v>59456.088374400002</v>
      </c>
      <c r="F16" s="18">
        <f t="shared" si="2"/>
        <v>60645.210141888005</v>
      </c>
      <c r="G16" s="18">
        <f t="shared" si="2"/>
        <v>61858.114344725764</v>
      </c>
      <c r="H16" s="18">
        <f t="shared" si="2"/>
        <v>63095.276631620283</v>
      </c>
      <c r="I16" s="18">
        <f t="shared" si="2"/>
        <v>64357.182164252677</v>
      </c>
      <c r="J16" s="18">
        <f t="shared" si="2"/>
        <v>65644.325807537738</v>
      </c>
      <c r="K16" s="19">
        <f t="shared" si="2"/>
        <v>66957.212323688495</v>
      </c>
      <c r="N16" s="3576"/>
      <c r="O16" s="3578"/>
      <c r="S16" s="3685"/>
      <c r="Z16" s="1719" t="s">
        <v>6460</v>
      </c>
      <c r="AA16" s="1721">
        <v>16</v>
      </c>
    </row>
    <row r="17" spans="1:27" ht="13.35" customHeight="1">
      <c r="A17" s="17" t="s">
        <v>2215</v>
      </c>
      <c r="B17" s="18">
        <f t="shared" ref="B17:K17" si="3">-(B15+B16)*$B$9</f>
        <v>-200015.67600000001</v>
      </c>
      <c r="C17" s="18">
        <f t="shared" si="3"/>
        <v>-204015.98952000006</v>
      </c>
      <c r="D17" s="18">
        <f t="shared" si="3"/>
        <v>-208096.30931040001</v>
      </c>
      <c r="E17" s="18">
        <f t="shared" si="3"/>
        <v>-212258.23549660802</v>
      </c>
      <c r="F17" s="18">
        <f t="shared" si="3"/>
        <v>-216503.40020654019</v>
      </c>
      <c r="G17" s="18">
        <f t="shared" si="3"/>
        <v>-220833.46821067098</v>
      </c>
      <c r="H17" s="18">
        <f t="shared" si="3"/>
        <v>-225250.1375748844</v>
      </c>
      <c r="I17" s="18">
        <f t="shared" si="3"/>
        <v>-229755.14032638207</v>
      </c>
      <c r="J17" s="18">
        <f t="shared" si="3"/>
        <v>-234350.24313290973</v>
      </c>
      <c r="K17" s="19">
        <f t="shared" si="3"/>
        <v>-239037.24799556792</v>
      </c>
      <c r="N17" s="3576"/>
      <c r="O17" s="3578"/>
      <c r="Q17" s="3687" t="s">
        <v>3298</v>
      </c>
      <c r="R17" s="3687" t="s">
        <v>3407</v>
      </c>
      <c r="S17" s="3685"/>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87"/>
      <c r="R18" s="3687"/>
      <c r="S18" s="3686"/>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2657351.1239999998</v>
      </c>
      <c r="C20" s="18">
        <f t="shared" ref="C20:K20" si="4">SUM(C15:C19)</f>
        <v>2710498.1464800006</v>
      </c>
      <c r="D20" s="18">
        <f t="shared" si="4"/>
        <v>2764708.1094096</v>
      </c>
      <c r="E20" s="18">
        <f t="shared" si="4"/>
        <v>2820002.2715977919</v>
      </c>
      <c r="F20" s="18">
        <f t="shared" si="4"/>
        <v>2876402.3170297476</v>
      </c>
      <c r="G20" s="18">
        <f t="shared" si="4"/>
        <v>2933930.3633703426</v>
      </c>
      <c r="H20" s="18">
        <f t="shared" si="4"/>
        <v>2992608.9706377494</v>
      </c>
      <c r="I20" s="18">
        <f t="shared" si="4"/>
        <v>3052461.1500505041</v>
      </c>
      <c r="J20" s="18">
        <f t="shared" si="4"/>
        <v>3113510.3730515148</v>
      </c>
      <c r="K20" s="19">
        <f t="shared" si="4"/>
        <v>3175780.5805125446</v>
      </c>
      <c r="N20" s="3576"/>
      <c r="O20" s="3578"/>
      <c r="Z20" s="1719" t="s">
        <v>6460</v>
      </c>
      <c r="AA20" s="1721">
        <v>20</v>
      </c>
    </row>
    <row r="21" spans="1:27" ht="13.35" customHeight="1">
      <c r="A21" s="17" t="s">
        <v>572</v>
      </c>
      <c r="B21" s="18">
        <f>-('Part V-Revenues &amp; Expenses'!$Q$228-'Part V-Revenues &amp; Expenses'!$Q$220)</f>
        <v>-834650</v>
      </c>
      <c r="C21" s="18">
        <f t="shared" ref="C21:K21" si="5">$B$21*(1+$B$7)^(C14-1)</f>
        <v>-859689.5</v>
      </c>
      <c r="D21" s="18">
        <f t="shared" si="5"/>
        <v>-885480.18499999994</v>
      </c>
      <c r="E21" s="18">
        <f t="shared" si="5"/>
        <v>-912044.59054999996</v>
      </c>
      <c r="F21" s="18">
        <f t="shared" si="5"/>
        <v>-939405.92826649989</v>
      </c>
      <c r="G21" s="18">
        <f t="shared" si="5"/>
        <v>-967588.10611449485</v>
      </c>
      <c r="H21" s="18">
        <f t="shared" si="5"/>
        <v>-996615.74929792981</v>
      </c>
      <c r="I21" s="18">
        <f t="shared" si="5"/>
        <v>-1026514.2217768678</v>
      </c>
      <c r="J21" s="18">
        <f t="shared" si="5"/>
        <v>-1057309.6484301738</v>
      </c>
      <c r="K21" s="19">
        <f t="shared" si="5"/>
        <v>-1089028.9378830788</v>
      </c>
      <c r="N21" s="3576"/>
      <c r="O21" s="3578"/>
      <c r="Q21" s="47">
        <v>1</v>
      </c>
      <c r="R21" s="869">
        <f>-B32</f>
        <v>287761</v>
      </c>
      <c r="S21" s="869">
        <f>B33+R21</f>
        <v>287761.15715658013</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-132868</v>
      </c>
      <c r="C22" s="18">
        <f>IF(AND('Part VI-Pro Forma'!$G$9="Yes",'Part VI-Pro Forma'!$G$10="Yes"),"Choose One!",IF('Part VI-Pro Forma'!$G$9="Yes",ROUND((-$K$9*(1+'Part VI-Pro Forma'!$B$7)^('Part VI-Pro Forma'!C14-1)),),IF('Part VI-Pro Forma'!$G$10="Yes",ROUND((-(SUM(C15:C18)*'Part VI-Pro Forma'!$K$10)),),"Choose mgt fee")))</f>
        <v>-136854</v>
      </c>
      <c r="D22" s="18">
        <f>IF(AND('Part VI-Pro Forma'!$G$9="Yes",'Part VI-Pro Forma'!$G$10="Yes"),"Choose One!",IF('Part VI-Pro Forma'!$G$9="Yes",ROUND((-$K$9*(1+'Part VI-Pro Forma'!$B$7)^('Part VI-Pro Forma'!D14-1)),),IF('Part VI-Pro Forma'!$G$10="Yes",ROUND((-(SUM(D15:D18)*'Part VI-Pro Forma'!$K$10)),),"Choose mgt fee")))</f>
        <v>-140960</v>
      </c>
      <c r="E22" s="18">
        <f>IF(AND('Part VI-Pro Forma'!$G$9="Yes",'Part VI-Pro Forma'!$G$10="Yes"),"Choose One!",IF('Part VI-Pro Forma'!$G$9="Yes",ROUND((-$K$9*(1+'Part VI-Pro Forma'!$B$7)^('Part VI-Pro Forma'!E14-1)),),IF('Part VI-Pro Forma'!$G$10="Yes",ROUND((-(SUM(E15:E18)*'Part VI-Pro Forma'!$K$10)),),"Choose mgt fee")))</f>
        <v>-145188</v>
      </c>
      <c r="F22" s="18">
        <f>IF(AND('Part VI-Pro Forma'!$G$9="Yes",'Part VI-Pro Forma'!$G$10="Yes"),"Choose One!",IF('Part VI-Pro Forma'!$G$9="Yes",ROUND((-$K$9*(1+'Part VI-Pro Forma'!$B$7)^('Part VI-Pro Forma'!F14-1)),),IF('Part VI-Pro Forma'!$G$10="Yes",ROUND((-(SUM(F15:F18)*'Part VI-Pro Forma'!$K$10)),),"Choose mgt fee")))</f>
        <v>-149544</v>
      </c>
      <c r="G22" s="18">
        <f>IF(AND('Part VI-Pro Forma'!$G$9="Yes",'Part VI-Pro Forma'!$G$10="Yes"),"Choose One!",IF('Part VI-Pro Forma'!$G$9="Yes",ROUND((-$K$9*(1+'Part VI-Pro Forma'!$B$7)^('Part VI-Pro Forma'!G14-1)),),IF('Part VI-Pro Forma'!$G$10="Yes",ROUND((-(SUM(G15:G18)*'Part VI-Pro Forma'!$K$10)),),"Choose mgt fee")))</f>
        <v>-154030</v>
      </c>
      <c r="H22" s="18">
        <f>IF(AND('Part VI-Pro Forma'!$G$9="Yes",'Part VI-Pro Forma'!$G$10="Yes"),"Choose One!",IF('Part VI-Pro Forma'!$G$9="Yes",ROUND((-$K$9*(1+'Part VI-Pro Forma'!$B$7)^('Part VI-Pro Forma'!H14-1)),),IF('Part VI-Pro Forma'!$G$10="Yes",ROUND((-(SUM(H15:H18)*'Part VI-Pro Forma'!$K$10)),),"Choose mgt fee")))</f>
        <v>-158651</v>
      </c>
      <c r="I22" s="18">
        <f>IF(AND('Part VI-Pro Forma'!$G$9="Yes",'Part VI-Pro Forma'!$G$10="Yes"),"Choose One!",IF('Part VI-Pro Forma'!$G$9="Yes",ROUND((-$K$9*(1+'Part VI-Pro Forma'!$B$7)^('Part VI-Pro Forma'!I14-1)),),IF('Part VI-Pro Forma'!$G$10="Yes",ROUND((-(SUM(I15:I18)*'Part VI-Pro Forma'!$K$10)),),"Choose mgt fee")))</f>
        <v>-163411</v>
      </c>
      <c r="J22" s="18">
        <f>IF(AND('Part VI-Pro Forma'!$G$9="Yes",'Part VI-Pro Forma'!$G$10="Yes"),"Choose One!",IF('Part VI-Pro Forma'!$G$9="Yes",ROUND((-$K$9*(1+'Part VI-Pro Forma'!$B$7)^('Part VI-Pro Forma'!J14-1)),),IF('Part VI-Pro Forma'!$G$10="Yes",ROUND((-(SUM(J15:J18)*'Part VI-Pro Forma'!$K$10)),),"Choose mgt fee")))</f>
        <v>-168313</v>
      </c>
      <c r="K22" s="19">
        <f>IF(AND('Part VI-Pro Forma'!$G$9="Yes",'Part VI-Pro Forma'!$G$10="Yes"),"Choose One!",IF('Part VI-Pro Forma'!$G$9="Yes",ROUND((-$K$9*(1+'Part VI-Pro Forma'!$B$7)^('Part VI-Pro Forma'!K14-1)),),IF('Part VI-Pro Forma'!$G$10="Yes",ROUND((-(SUM(K15:K18)*'Part VI-Pro Forma'!$K$10)),),"Choose mgt fee")))</f>
        <v>-173363</v>
      </c>
      <c r="N22" s="3576"/>
      <c r="O22" s="3578"/>
      <c r="Q22" s="47">
        <v>2</v>
      </c>
      <c r="R22" s="869">
        <f>-SUM(B32:C32)</f>
        <v>597919</v>
      </c>
      <c r="S22" s="869">
        <f>SUM(B33:C33)+R22</f>
        <v>597918.836793161</v>
      </c>
      <c r="Z22" s="1719" t="s">
        <v>6460</v>
      </c>
      <c r="AA22" s="1721">
        <v>22</v>
      </c>
    </row>
    <row r="23" spans="1:27" ht="13.35" customHeight="1">
      <c r="A23" s="17" t="s">
        <v>1128</v>
      </c>
      <c r="B23" s="18">
        <f>-('Part V-Revenues &amp; Expenses'!$Q$234)</f>
        <v>-52500</v>
      </c>
      <c r="C23" s="18">
        <f t="shared" ref="C23:K23" si="6">$B$23*(1+$B$8)^(C14-1)</f>
        <v>-54075</v>
      </c>
      <c r="D23" s="18">
        <f t="shared" si="6"/>
        <v>-55697.25</v>
      </c>
      <c r="E23" s="18">
        <f t="shared" si="6"/>
        <v>-57368.167500000003</v>
      </c>
      <c r="F23" s="18">
        <f t="shared" si="6"/>
        <v>-59089.212524999995</v>
      </c>
      <c r="G23" s="18">
        <f t="shared" si="6"/>
        <v>-60861.888900749989</v>
      </c>
      <c r="H23" s="18">
        <f t="shared" si="6"/>
        <v>-62687.745567772494</v>
      </c>
      <c r="I23" s="18">
        <f t="shared" si="6"/>
        <v>-64568.377934805671</v>
      </c>
      <c r="J23" s="18">
        <f t="shared" si="6"/>
        <v>-66505.42927284984</v>
      </c>
      <c r="K23" s="19">
        <f t="shared" si="6"/>
        <v>-68500.592151035336</v>
      </c>
      <c r="N23" s="3576"/>
      <c r="O23" s="3578"/>
      <c r="Q23" s="47">
        <v>3</v>
      </c>
      <c r="R23" s="869">
        <f>-SUM(B32:D32)</f>
        <v>930613</v>
      </c>
      <c r="S23" s="869">
        <f>SUM(B33:D33)+R23</f>
        <v>930613.04435934126</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1285979</v>
      </c>
      <c r="S24" s="869">
        <f>SUM(B33:E33)+R24</f>
        <v>1285978.9560637136</v>
      </c>
      <c r="Z24" s="1719" t="s">
        <v>6460</v>
      </c>
      <c r="AA24" s="1721">
        <v>24</v>
      </c>
    </row>
    <row r="25" spans="1:27" ht="13.35" customHeight="1">
      <c r="A25" s="17" t="s">
        <v>1129</v>
      </c>
      <c r="B25" s="18">
        <f>SUM(B20:B24)</f>
        <v>1637333.1239999998</v>
      </c>
      <c r="C25" s="18">
        <f t="shared" ref="C25:J25" si="7">SUM(C20:C24)</f>
        <v>1659879.6464800006</v>
      </c>
      <c r="D25" s="18">
        <f t="shared" si="7"/>
        <v>1682570.6744096</v>
      </c>
      <c r="E25" s="18">
        <f t="shared" si="7"/>
        <v>1705401.5135477921</v>
      </c>
      <c r="F25" s="18">
        <f t="shared" si="7"/>
        <v>1728363.1762382477</v>
      </c>
      <c r="G25" s="18">
        <f t="shared" si="7"/>
        <v>1751450.3683550977</v>
      </c>
      <c r="H25" s="18">
        <f t="shared" si="7"/>
        <v>1774654.4757720469</v>
      </c>
      <c r="I25" s="18">
        <f t="shared" si="7"/>
        <v>1797967.5503388308</v>
      </c>
      <c r="J25" s="18">
        <f t="shared" si="7"/>
        <v>1821382.2953484913</v>
      </c>
      <c r="K25" s="1215">
        <f>SUM(K20:K24)</f>
        <v>1844888.0504784305</v>
      </c>
      <c r="N25" s="3576"/>
      <c r="O25" s="3578"/>
      <c r="Q25" s="92">
        <v>5</v>
      </c>
      <c r="R25" s="869">
        <f>-SUM(B32:F32)</f>
        <v>1422115</v>
      </c>
      <c r="S25" s="869">
        <f>SUM(B33:F33)+R25</f>
        <v>1664142.6214085417</v>
      </c>
      <c r="Z25" s="1719" t="s">
        <v>6460</v>
      </c>
      <c r="AA25" s="1721">
        <v>25</v>
      </c>
    </row>
    <row r="26" spans="1:27" ht="13.35" customHeight="1">
      <c r="A26" s="341" t="s">
        <v>1486</v>
      </c>
      <c r="B26" s="342">
        <f>IF('Part II-Sources of Funds'!$P$40="", 0,-'Part II-Sources of Funds'!$P$40)</f>
        <v>-1344571.9668434197</v>
      </c>
      <c r="C26" s="342">
        <f>IF('Part II-Sources of Funds'!$P$40="", 0,-'Part II-Sources of Funds'!$P$40)</f>
        <v>-1344571.9668434197</v>
      </c>
      <c r="D26" s="342">
        <f>IF('Part II-Sources of Funds'!$P$40="", 0,-'Part II-Sources of Funds'!$P$40)</f>
        <v>-1344571.9668434197</v>
      </c>
      <c r="E26" s="342">
        <f>IF('Part II-Sources of Funds'!$P$40="", 0,-'Part II-Sources of Funds'!$P$40)</f>
        <v>-1344571.9668434197</v>
      </c>
      <c r="F26" s="342">
        <f>IF('Part II-Sources of Funds'!$P$40="", 0,-'Part II-Sources of Funds'!$P$40)</f>
        <v>-1344571.9668434197</v>
      </c>
      <c r="G26" s="342">
        <f>IF('Part II-Sources of Funds'!$P$40="", 0,-'Part II-Sources of Funds'!$P$40)</f>
        <v>-1344571.9668434197</v>
      </c>
      <c r="H26" s="342">
        <f>IF('Part II-Sources of Funds'!$P$40="", 0,-'Part II-Sources of Funds'!$P$40)</f>
        <v>-1344571.9668434197</v>
      </c>
      <c r="I26" s="342">
        <f>IF('Part II-Sources of Funds'!$P$40="", 0,-'Part II-Sources of Funds'!$P$40)</f>
        <v>-1344571.9668434197</v>
      </c>
      <c r="J26" s="342">
        <f>IF('Part II-Sources of Funds'!$P$40="", 0,-'Part II-Sources of Funds'!$P$40)</f>
        <v>-1344571.9668434197</v>
      </c>
      <c r="K26" s="342">
        <f>IF('Part II-Sources of Funds'!$P$40="", 0,-'Part II-Sources of Funds'!$P$40)</f>
        <v>-1344571.9668434197</v>
      </c>
      <c r="N26" s="3576"/>
      <c r="O26" s="3578"/>
      <c r="Q26" s="92">
        <v>6</v>
      </c>
      <c r="R26" s="869">
        <f>-SUM(B32:G32)</f>
        <v>1422115</v>
      </c>
      <c r="S26" s="869">
        <f>SUM(B33:G33)+R26</f>
        <v>2065224.6525487197</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1422115</v>
      </c>
      <c r="S27" s="869">
        <f>SUM(B33:H33)+R27</f>
        <v>2489336.8999947021</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1422115</v>
      </c>
      <c r="S28" s="869">
        <f>SUM(B33:I33)+R28</f>
        <v>2936583.1141629885</v>
      </c>
      <c r="Z28" s="1719" t="s">
        <v>6460</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1422115</v>
      </c>
      <c r="S29" s="869">
        <f>SUM(B33:J33)+R29</f>
        <v>3407059.5922611221</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1422115</v>
      </c>
      <c r="S30" s="869">
        <f>SUM(B33:K33)+R30</f>
        <v>3900851.8099769866</v>
      </c>
      <c r="Z30" s="1719" t="s">
        <v>6460</v>
      </c>
      <c r="AA30" s="1721">
        <v>30</v>
      </c>
    </row>
    <row r="31" spans="1:27" ht="13.35" customHeight="1">
      <c r="A31" s="341" t="s">
        <v>1095</v>
      </c>
      <c r="B31" s="907">
        <v>-5000</v>
      </c>
      <c r="C31" s="907">
        <v>-5150</v>
      </c>
      <c r="D31" s="907">
        <v>-5304.5</v>
      </c>
      <c r="E31" s="907">
        <v>-5463.6350000000002</v>
      </c>
      <c r="F31" s="907">
        <v>-5627.5440500000004</v>
      </c>
      <c r="G31" s="907">
        <v>-5796.3703715000001</v>
      </c>
      <c r="H31" s="907">
        <v>-5970.2614826449999</v>
      </c>
      <c r="I31" s="907">
        <v>-6149.3693271243501</v>
      </c>
      <c r="J31" s="907">
        <v>-6333.8504069380806</v>
      </c>
      <c r="K31" s="907">
        <v>-6523.865919146223</v>
      </c>
      <c r="N31" s="3576"/>
      <c r="O31" s="3578"/>
      <c r="Q31" s="92">
        <v>11</v>
      </c>
      <c r="R31" s="869">
        <f>-SUM(B32:K32)-B64</f>
        <v>1422115</v>
      </c>
      <c r="S31" s="869">
        <f>SUM(B33:K33)+B65+R31</f>
        <v>4418038.0374245048</v>
      </c>
      <c r="Z31" s="1719" t="s">
        <v>6460</v>
      </c>
      <c r="AA31" s="1721">
        <v>31</v>
      </c>
    </row>
    <row r="32" spans="1:27" ht="13.35" customHeight="1">
      <c r="A32" s="341" t="s">
        <v>3361</v>
      </c>
      <c r="B32" s="179">
        <v>-287761</v>
      </c>
      <c r="C32" s="179">
        <v>-310158</v>
      </c>
      <c r="D32" s="179">
        <v>-332694</v>
      </c>
      <c r="E32" s="179">
        <v>-355366</v>
      </c>
      <c r="F32" s="179">
        <v>-136136</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1422115</v>
      </c>
      <c r="S32" s="869">
        <f>SUM(B33:K33) + SUM(B65:C65)+R32</f>
        <v>4958683.9387795227</v>
      </c>
      <c r="Z32" s="1719" t="s">
        <v>6460</v>
      </c>
      <c r="AA32" s="1721">
        <v>32</v>
      </c>
    </row>
    <row r="33" spans="1:27" ht="13.35" customHeight="1">
      <c r="A33" s="17" t="s">
        <v>1096</v>
      </c>
      <c r="B33" s="18">
        <f t="shared" ref="B33:K33" si="8">SUM(B25:B32)</f>
        <v>0.15715658012777567</v>
      </c>
      <c r="C33" s="18">
        <f t="shared" si="8"/>
        <v>-0.32036341913044453</v>
      </c>
      <c r="D33" s="18">
        <f t="shared" si="8"/>
        <v>0.20756618026643991</v>
      </c>
      <c r="E33" s="18">
        <f t="shared" si="8"/>
        <v>-8.8295627618208528E-2</v>
      </c>
      <c r="F33" s="18">
        <f t="shared" si="8"/>
        <v>242027.66534482792</v>
      </c>
      <c r="G33" s="18">
        <f t="shared" si="8"/>
        <v>401082.03114017803</v>
      </c>
      <c r="H33" s="18">
        <f t="shared" si="8"/>
        <v>424112.24744598224</v>
      </c>
      <c r="I33" s="18">
        <f t="shared" si="8"/>
        <v>447246.21416828677</v>
      </c>
      <c r="J33" s="18">
        <f t="shared" si="8"/>
        <v>470476.47809813352</v>
      </c>
      <c r="K33" s="19">
        <f t="shared" si="8"/>
        <v>493792.21771586454</v>
      </c>
      <c r="N33" s="3576"/>
      <c r="O33" s="3578"/>
      <c r="Q33" s="92">
        <v>13</v>
      </c>
      <c r="R33" s="869">
        <f>-SUM(B32:K32) - SUM(B64:D64)</f>
        <v>1422115</v>
      </c>
      <c r="S33" s="869">
        <f>SUM(B33:K33) + SUM(B65:D65)+R33</f>
        <v>5522845.1550208405</v>
      </c>
      <c r="Z33" s="1719" t="s">
        <v>6460</v>
      </c>
      <c r="AA33" s="1721">
        <v>33</v>
      </c>
    </row>
    <row r="34" spans="1:27" ht="13.35" customHeight="1">
      <c r="A34" s="17" t="str">
        <f>IF('Part II-Sources of Funds'!$E$40 = "Neither", "", "DCR Mortgage A")</f>
        <v>DCR Mortgage A</v>
      </c>
      <c r="B34" s="20">
        <f t="shared" ref="B34:K34" si="9">IF(B26=0,"",-B25/B26)</f>
        <v>1.2177355800774874</v>
      </c>
      <c r="C34" s="20">
        <f t="shared" si="9"/>
        <v>1.2345041302451158</v>
      </c>
      <c r="D34" s="20">
        <f t="shared" si="9"/>
        <v>1.2513801536110276</v>
      </c>
      <c r="E34" s="20">
        <f t="shared" si="9"/>
        <v>1.2683601589221534</v>
      </c>
      <c r="F34" s="20">
        <f t="shared" si="9"/>
        <v>1.2854374617788844</v>
      </c>
      <c r="G34" s="20">
        <f t="shared" si="9"/>
        <v>1.3026081247751169</v>
      </c>
      <c r="H34" s="20">
        <f t="shared" si="9"/>
        <v>1.3198657413171488</v>
      </c>
      <c r="I34" s="20">
        <f t="shared" si="9"/>
        <v>1.3372044001183692</v>
      </c>
      <c r="J34" s="20">
        <f t="shared" si="9"/>
        <v>1.3546186743908204</v>
      </c>
      <c r="K34" s="21">
        <f t="shared" si="9"/>
        <v>1.3721006357209546</v>
      </c>
      <c r="N34" s="3576"/>
      <c r="O34" s="3578"/>
      <c r="Q34" s="92">
        <v>14</v>
      </c>
      <c r="R34" s="869">
        <f>-SUM(B32:K32) - SUM(B64:E64)</f>
        <v>1422115</v>
      </c>
      <c r="S34" s="869">
        <f>SUM(B33:K33) + SUM(B65:E65)+R34</f>
        <v>6110566.869171856</v>
      </c>
      <c r="Z34" s="1719" t="s">
        <v>6460</v>
      </c>
      <c r="AA34" s="1721">
        <v>34</v>
      </c>
    </row>
    <row r="35" spans="1:27" ht="13.35"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76"/>
      <c r="O35" s="3578"/>
      <c r="Q35" s="92">
        <v>15</v>
      </c>
      <c r="R35" s="869">
        <f>-SUM(B32:K32) - SUM(B64:F64)</f>
        <v>1422115</v>
      </c>
      <c r="S35" s="869">
        <f>SUM(B33:K33) + SUM(B65:F65)+R35</f>
        <v>6721881.3534182012</v>
      </c>
      <c r="Z35" s="1719" t="s">
        <v>6460</v>
      </c>
      <c r="AA35" s="1721">
        <v>35</v>
      </c>
    </row>
    <row r="36" spans="1:27" ht="13.35"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76"/>
      <c r="O36" s="3578"/>
      <c r="Q36" s="47">
        <v>16</v>
      </c>
      <c r="R36" s="869">
        <f>-SUM(B32:K32) - SUM(B64:G64)</f>
        <v>1422115</v>
      </c>
      <c r="S36" s="869">
        <f>SUM(B33:K33) + SUM(B65:G65)+R36</f>
        <v>7364599.3345390512</v>
      </c>
      <c r="Z36" s="1719" t="s">
        <v>6460</v>
      </c>
      <c r="AA36" s="1721">
        <v>36</v>
      </c>
    </row>
    <row r="37" spans="1:27" ht="13.35"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76"/>
      <c r="O37" s="3578"/>
      <c r="Q37" s="47">
        <v>17</v>
      </c>
      <c r="R37" s="869">
        <f>-SUM(B32:K32) - SUM(B64:H64)</f>
        <v>1422115</v>
      </c>
      <c r="S37" s="869">
        <f>SUM(B33:K33) + SUM(B65:H65)+R37</f>
        <v>8031171.6866828129</v>
      </c>
      <c r="Z37" s="1719" t="s">
        <v>6460</v>
      </c>
      <c r="AA37" s="1721">
        <v>37</v>
      </c>
    </row>
    <row r="38" spans="1:27" ht="13.35" customHeight="1">
      <c r="A38" s="341" t="s">
        <v>3214</v>
      </c>
      <c r="B38" s="20">
        <f t="shared" ref="B38:K38" si="13">IF(AND(B26=0,B27=0,B28=0,B29=0),"",-B25/(B26+B27+B28+B29))</f>
        <v>1.2177355800774874</v>
      </c>
      <c r="C38" s="20">
        <f t="shared" si="13"/>
        <v>1.2345041302451158</v>
      </c>
      <c r="D38" s="20">
        <f t="shared" si="13"/>
        <v>1.2513801536110276</v>
      </c>
      <c r="E38" s="20">
        <f t="shared" si="13"/>
        <v>1.2683601589221534</v>
      </c>
      <c r="F38" s="20">
        <f t="shared" si="13"/>
        <v>1.2854374617788844</v>
      </c>
      <c r="G38" s="20">
        <f t="shared" si="13"/>
        <v>1.3026081247751169</v>
      </c>
      <c r="H38" s="20">
        <f t="shared" si="13"/>
        <v>1.3198657413171488</v>
      </c>
      <c r="I38" s="20">
        <f t="shared" si="13"/>
        <v>1.3372044001183692</v>
      </c>
      <c r="J38" s="20">
        <f t="shared" si="13"/>
        <v>1.3546186743908204</v>
      </c>
      <c r="K38" s="21">
        <f t="shared" si="13"/>
        <v>1.3721006357209546</v>
      </c>
      <c r="N38" s="3576"/>
      <c r="O38" s="3578"/>
      <c r="Q38" s="47">
        <v>18</v>
      </c>
      <c r="R38" s="869">
        <f>-SUM(B32:K32) - SUM(B64:I64)</f>
        <v>1422115</v>
      </c>
      <c r="S38" s="869">
        <f>SUM(B33:K33) + SUM(B65:I65)+R38</f>
        <v>8721598.0520318523</v>
      </c>
      <c r="Z38" s="1719" t="s">
        <v>6460</v>
      </c>
      <c r="AA38" s="1721">
        <v>38</v>
      </c>
    </row>
    <row r="39" spans="1:27" ht="13.35" customHeight="1">
      <c r="A39" s="17" t="s">
        <v>718</v>
      </c>
      <c r="B39" s="220">
        <f t="shared" ref="B39:K39" si="14">IF(OR(B22="Choose mgt fee",B22="Choose One!"),"",(B15+B16+B17+B18+B19) / -(B21+B22+B23))</f>
        <v>2.6052002258783666</v>
      </c>
      <c r="C39" s="220">
        <f t="shared" si="14"/>
        <v>2.5799071180261919</v>
      </c>
      <c r="D39" s="220">
        <f t="shared" si="14"/>
        <v>2.5548585789471372</v>
      </c>
      <c r="E39" s="220">
        <f t="shared" si="14"/>
        <v>2.5300559426600442</v>
      </c>
      <c r="F39" s="220">
        <f t="shared" si="14"/>
        <v>2.505491507063645</v>
      </c>
      <c r="G39" s="220">
        <f t="shared" si="14"/>
        <v>2.4811670182483869</v>
      </c>
      <c r="H39" s="220">
        <f t="shared" si="14"/>
        <v>2.457077816333137</v>
      </c>
      <c r="I39" s="220">
        <f t="shared" si="14"/>
        <v>2.4332217802881311</v>
      </c>
      <c r="J39" s="220">
        <f t="shared" si="14"/>
        <v>2.4095988832518112</v>
      </c>
      <c r="K39" s="221">
        <f t="shared" si="14"/>
        <v>2.3862036256459724</v>
      </c>
      <c r="N39" s="3576"/>
      <c r="O39" s="3578"/>
      <c r="Q39" s="92">
        <v>19</v>
      </c>
      <c r="R39" s="869">
        <f>-SUM(B32:K32) - SUM(B64:J64)</f>
        <v>1422115</v>
      </c>
      <c r="S39" s="869">
        <f>SUM(B33:K33) + SUM(B65:J65)+R39</f>
        <v>9435865.3662550449</v>
      </c>
      <c r="Z39" s="1719" t="s">
        <v>6460</v>
      </c>
      <c r="AA39" s="1721">
        <v>39</v>
      </c>
    </row>
    <row r="40" spans="1:27" ht="13.35" customHeight="1">
      <c r="A40" s="341" t="s">
        <v>2404</v>
      </c>
      <c r="B40" s="177">
        <f>IF('Part II-Sources of Funds'!$I$40="","",-FV('Part II-Sources of Funds'!$K$40/12,12,B26/12,'Part II-Sources of Funds'!$I$40))</f>
        <v>19501753.623297855</v>
      </c>
      <c r="C40" s="177">
        <f>IF('Part II-Sources of Funds'!$I$40="","",-FV('Part II-Sources of Funds'!$K$40/12,12,C26/12,B40))</f>
        <v>19382384.451925267</v>
      </c>
      <c r="D40" s="177">
        <f>IF('Part II-Sources of Funds'!$I$40="","",-FV('Part II-Sources of Funds'!$K$40/12,12,D26/12,C40))</f>
        <v>19255274.029964235</v>
      </c>
      <c r="E40" s="177">
        <f>IF('Part II-Sources of Funds'!$I$40="","",-FV('Part II-Sources of Funds'!$K$40/12,12,E26/12,D40))</f>
        <v>19119920.326949235</v>
      </c>
      <c r="F40" s="177">
        <f>IF('Part II-Sources of Funds'!$I$40="","",-FV('Part II-Sources of Funds'!$K$40/12,12,F26/12,E40))</f>
        <v>18975788.755066883</v>
      </c>
      <c r="G40" s="177">
        <f>IF('Part II-Sources of Funds'!$I$40="","",-FV('Part II-Sources of Funds'!$K$40/12,12,G26/12,F40))</f>
        <v>18822310.057768326</v>
      </c>
      <c r="H40" s="177">
        <f>IF('Part II-Sources of Funds'!$I$40="","",-FV('Part II-Sources of Funds'!$K$40/12,12,H26/12,G40))</f>
        <v>18658878.061455339</v>
      </c>
      <c r="I40" s="177">
        <f>IF('Part II-Sources of Funds'!$I$40="","",-FV('Part II-Sources of Funds'!$K$40/12,12,I26/12,H40))</f>
        <v>18484847.281360235</v>
      </c>
      <c r="J40" s="177">
        <f>IF('Part II-Sources of Funds'!$I$40="","",-FV('Part II-Sources of Funds'!$K$40/12,12,J26/12,I40))</f>
        <v>18299530.372163896</v>
      </c>
      <c r="K40" s="177">
        <f>IF('Part II-Sources of Funds'!$I$40="","",-FV('Part II-Sources of Funds'!$K$40/12,12,K26/12,J40))</f>
        <v>18102195.413282957</v>
      </c>
      <c r="N40" s="3576"/>
      <c r="O40" s="3578"/>
      <c r="Q40" s="92">
        <v>20</v>
      </c>
      <c r="R40" s="869">
        <f>-SUM(B32:K32) - SUM(B64:K64)</f>
        <v>1422115</v>
      </c>
      <c r="S40" s="869">
        <f>SUM(B33:K33) + SUM(B65:K65)+R40</f>
        <v>10173944.311196778</v>
      </c>
      <c r="Z40" s="1719" t="s">
        <v>6460</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3362</v>
      </c>
      <c r="B44" s="179">
        <f>IF('Part II-Sources of Funds'!$I$45="","",-FV('Part II-Sources of Funds'!$K$45/12,12,B32/12,'Part II-Sources of Funds'!$I$45))</f>
        <v>1134353.5</v>
      </c>
      <c r="C44" s="179">
        <f>IF('Part II-Sources of Funds'!$I$45="","",IF(-FV('Part II-Sources of Funds'!$K$45/12,12,C32/12,B44)&gt;0,-FV('Part II-Sources of Funds'!$K$45/12,12,C32/12,B44),0))</f>
        <v>824195.5</v>
      </c>
      <c r="D44" s="179">
        <f>IF('Part II-Sources of Funds'!$I$45="","",IF(-FV('Part II-Sources of Funds'!$K$45/12,12,D32/12,C44)&gt;0,-FV('Part II-Sources of Funds'!$K$45/12,12,D32/12,C44),0))</f>
        <v>491501.5</v>
      </c>
      <c r="E44" s="179">
        <f>IF('Part II-Sources of Funds'!$I$45="","",IF(-FV('Part II-Sources of Funds'!$K$45/12,12,E32/12,D44)&gt;0,-FV('Part II-Sources of Funds'!$K$45/12,12,E32/12,D44),0))</f>
        <v>136135.5</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9"/>
      <c r="O44" s="3591"/>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13" t="s">
        <v>2408</v>
      </c>
      <c r="O46" s="3213"/>
      <c r="AA46" s="1721">
        <v>46</v>
      </c>
    </row>
    <row r="47" spans="1:27" ht="13.35" customHeight="1">
      <c r="A47" s="14" t="s">
        <v>2214</v>
      </c>
      <c r="B47" s="15">
        <f t="shared" ref="B47:K47" si="16">$B$15*(1+$B$6)^(B46-1)</f>
        <v>3414817.828508113</v>
      </c>
      <c r="C47" s="15">
        <f t="shared" si="16"/>
        <v>3483114.1850782745</v>
      </c>
      <c r="D47" s="15">
        <f t="shared" si="16"/>
        <v>3552776.4687798405</v>
      </c>
      <c r="E47" s="15">
        <f t="shared" si="16"/>
        <v>3623831.9981554369</v>
      </c>
      <c r="F47" s="15">
        <f t="shared" si="16"/>
        <v>3696308.6381185465</v>
      </c>
      <c r="G47" s="15">
        <f t="shared" si="16"/>
        <v>3770234.8108809162</v>
      </c>
      <c r="H47" s="15">
        <f t="shared" si="16"/>
        <v>3845639.5070985351</v>
      </c>
      <c r="I47" s="15">
        <f t="shared" si="16"/>
        <v>3922552.2972405064</v>
      </c>
      <c r="J47" s="15">
        <f t="shared" si="16"/>
        <v>4001003.3431853158</v>
      </c>
      <c r="K47" s="16">
        <f t="shared" si="16"/>
        <v>4081023.4100490222</v>
      </c>
      <c r="N47" s="3579"/>
      <c r="O47" s="3581"/>
      <c r="Z47" s="1719" t="s">
        <v>6461</v>
      </c>
      <c r="AA47" s="1721">
        <v>47</v>
      </c>
    </row>
    <row r="48" spans="1:27" ht="13.35" customHeight="1">
      <c r="A48" s="17" t="s">
        <v>952</v>
      </c>
      <c r="B48" s="18">
        <f t="shared" ref="B48:K48" si="17">$B$16*(1+$B$6)^(B46-1)</f>
        <v>68296.356570162257</v>
      </c>
      <c r="C48" s="18">
        <f t="shared" si="17"/>
        <v>69662.283701565495</v>
      </c>
      <c r="D48" s="18">
        <f t="shared" si="17"/>
        <v>71055.529375596816</v>
      </c>
      <c r="E48" s="18">
        <f t="shared" si="17"/>
        <v>72476.639963108741</v>
      </c>
      <c r="F48" s="18">
        <f t="shared" si="17"/>
        <v>73926.17276237093</v>
      </c>
      <c r="G48" s="18">
        <f t="shared" si="17"/>
        <v>75404.69621761833</v>
      </c>
      <c r="H48" s="18">
        <f t="shared" si="17"/>
        <v>76912.790141970705</v>
      </c>
      <c r="I48" s="18">
        <f t="shared" si="17"/>
        <v>78451.045944810132</v>
      </c>
      <c r="J48" s="18">
        <f t="shared" si="17"/>
        <v>80020.066863706321</v>
      </c>
      <c r="K48" s="19">
        <f t="shared" si="17"/>
        <v>81620.468200980438</v>
      </c>
      <c r="N48" s="3576"/>
      <c r="O48" s="3578"/>
      <c r="Z48" s="1719" t="s">
        <v>6461</v>
      </c>
      <c r="AA48" s="1721">
        <v>48</v>
      </c>
    </row>
    <row r="49" spans="1:27" ht="13.35" customHeight="1">
      <c r="A49" s="17" t="s">
        <v>2215</v>
      </c>
      <c r="B49" s="18">
        <f t="shared" ref="B49:K49" si="18">-(B47+B48)*$B$9</f>
        <v>-243817.99295547931</v>
      </c>
      <c r="C49" s="18">
        <f t="shared" si="18"/>
        <v>-248694.35281458881</v>
      </c>
      <c r="D49" s="18">
        <f t="shared" si="18"/>
        <v>-253668.23987088064</v>
      </c>
      <c r="E49" s="18">
        <f t="shared" si="18"/>
        <v>-258741.60466829821</v>
      </c>
      <c r="F49" s="18">
        <f t="shared" si="18"/>
        <v>-263916.43676166428</v>
      </c>
      <c r="G49" s="18">
        <f t="shared" si="18"/>
        <v>-269194.76549689745</v>
      </c>
      <c r="H49" s="18">
        <f t="shared" si="18"/>
        <v>-274578.66080683545</v>
      </c>
      <c r="I49" s="18">
        <f t="shared" si="18"/>
        <v>-280070.23402297217</v>
      </c>
      <c r="J49" s="18">
        <f t="shared" si="18"/>
        <v>-285671.63870343158</v>
      </c>
      <c r="K49" s="19">
        <f t="shared" si="18"/>
        <v>-291385.0714775002</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19">SUM(B47:B51)</f>
        <v>3239296.1921227961</v>
      </c>
      <c r="C52" s="18">
        <f t="shared" si="19"/>
        <v>3304082.1159652513</v>
      </c>
      <c r="D52" s="18">
        <f t="shared" si="19"/>
        <v>3370163.7582845567</v>
      </c>
      <c r="E52" s="18">
        <f t="shared" si="19"/>
        <v>3437567.0334502473</v>
      </c>
      <c r="F52" s="18">
        <f t="shared" si="19"/>
        <v>3506318.3741192534</v>
      </c>
      <c r="G52" s="18">
        <f t="shared" si="19"/>
        <v>3576444.7416016371</v>
      </c>
      <c r="H52" s="18">
        <f t="shared" si="19"/>
        <v>3647973.6364336703</v>
      </c>
      <c r="I52" s="18">
        <f t="shared" si="19"/>
        <v>3720933.1091623441</v>
      </c>
      <c r="J52" s="18">
        <f t="shared" si="19"/>
        <v>3795351.7713455907</v>
      </c>
      <c r="K52" s="19">
        <f t="shared" si="19"/>
        <v>3871258.8067725021</v>
      </c>
      <c r="N52" s="3576"/>
      <c r="O52" s="3578"/>
      <c r="Z52" s="1719" t="s">
        <v>6461</v>
      </c>
      <c r="AA52" s="1721">
        <v>52</v>
      </c>
    </row>
    <row r="53" spans="1:27" ht="13.35" customHeight="1">
      <c r="A53" s="17" t="s">
        <v>572</v>
      </c>
      <c r="B53" s="18">
        <f t="shared" ref="B53:K53" si="20">$B$21*(1+$B$7)^(B46-1)</f>
        <v>-1121699.8060195711</v>
      </c>
      <c r="C53" s="18">
        <f t="shared" si="20"/>
        <v>-1155350.8002001585</v>
      </c>
      <c r="D53" s="18">
        <f t="shared" si="20"/>
        <v>-1190011.3242061629</v>
      </c>
      <c r="E53" s="18">
        <f t="shared" si="20"/>
        <v>-1225711.6639323479</v>
      </c>
      <c r="F53" s="18">
        <f t="shared" si="20"/>
        <v>-1262483.0138503185</v>
      </c>
      <c r="G53" s="18">
        <f t="shared" si="20"/>
        <v>-1300357.5042658281</v>
      </c>
      <c r="H53" s="18">
        <f t="shared" si="20"/>
        <v>-1339368.2293938026</v>
      </c>
      <c r="I53" s="18">
        <f t="shared" si="20"/>
        <v>-1379549.2762756166</v>
      </c>
      <c r="J53" s="18">
        <f t="shared" si="20"/>
        <v>-1420935.7545638853</v>
      </c>
      <c r="K53" s="19">
        <f t="shared" si="20"/>
        <v>-1463563.8272008018</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-178563</v>
      </c>
      <c r="C54" s="18">
        <f>IF(AND('Part VI-Pro Forma'!$G$9="Yes",'Part VI-Pro Forma'!$G$10="Yes"),"Choose One!",IF('Part VI-Pro Forma'!$G$9="Yes",ROUND((-$K$9*(1+'Part VI-Pro Forma'!$B$7)^('Part VI-Pro Forma'!C46-1)),),IF('Part VI-Pro Forma'!$G$10="Yes",ROUND((-(SUM(C47:C50)*'Part VI-Pro Forma'!$K$10)),),"Choose mgt fee")))</f>
        <v>-183920</v>
      </c>
      <c r="D54" s="18">
        <f>IF(AND('Part VI-Pro Forma'!$G$9="Yes",'Part VI-Pro Forma'!$G$10="Yes"),"Choose One!",IF('Part VI-Pro Forma'!$G$9="Yes",ROUND((-$K$9*(1+'Part VI-Pro Forma'!$B$7)^('Part VI-Pro Forma'!D46-1)),),IF('Part VI-Pro Forma'!$G$10="Yes",ROUND((-(SUM(D47:D50)*'Part VI-Pro Forma'!$K$10)),),"Choose mgt fee")))</f>
        <v>-189438</v>
      </c>
      <c r="E54" s="18">
        <f>IF(AND('Part VI-Pro Forma'!$G$9="Yes",'Part VI-Pro Forma'!$G$10="Yes"),"Choose One!",IF('Part VI-Pro Forma'!$G$9="Yes",ROUND((-$K$9*(1+'Part VI-Pro Forma'!$B$7)^('Part VI-Pro Forma'!E46-1)),),IF('Part VI-Pro Forma'!$G$10="Yes",ROUND((-(SUM(E47:E50)*'Part VI-Pro Forma'!$K$10)),),"Choose mgt fee")))</f>
        <v>-195121</v>
      </c>
      <c r="F54" s="18">
        <f>IF(AND('Part VI-Pro Forma'!$G$9="Yes",'Part VI-Pro Forma'!$G$10="Yes"),"Choose One!",IF('Part VI-Pro Forma'!$G$9="Yes",ROUND((-$K$9*(1+'Part VI-Pro Forma'!$B$7)^('Part VI-Pro Forma'!F46-1)),),IF('Part VI-Pro Forma'!$G$10="Yes",ROUND((-(SUM(F47:F50)*'Part VI-Pro Forma'!$K$10)),),"Choose mgt fee")))</f>
        <v>-200975</v>
      </c>
      <c r="G54" s="18">
        <f>IF(AND('Part VI-Pro Forma'!$G$9="Yes",'Part VI-Pro Forma'!$G$10="Yes"),"Choose One!",IF('Part VI-Pro Forma'!$G$9="Yes",ROUND((-$K$9*(1+'Part VI-Pro Forma'!$B$7)^('Part VI-Pro Forma'!G46-1)),),IF('Part VI-Pro Forma'!$G$10="Yes",ROUND((-(SUM(G47:G50)*'Part VI-Pro Forma'!$K$10)),),"Choose mgt fee")))</f>
        <v>-207004</v>
      </c>
      <c r="H54" s="18">
        <f>IF(AND('Part VI-Pro Forma'!$G$9="Yes",'Part VI-Pro Forma'!$G$10="Yes"),"Choose One!",IF('Part VI-Pro Forma'!$G$9="Yes",ROUND((-$K$9*(1+'Part VI-Pro Forma'!$B$7)^('Part VI-Pro Forma'!H46-1)),),IF('Part VI-Pro Forma'!$G$10="Yes",ROUND((-(SUM(H47:H50)*'Part VI-Pro Forma'!$K$10)),),"Choose mgt fee")))</f>
        <v>-213214</v>
      </c>
      <c r="I54" s="18">
        <f>IF(AND('Part VI-Pro Forma'!$G$9="Yes",'Part VI-Pro Forma'!$G$10="Yes"),"Choose One!",IF('Part VI-Pro Forma'!$G$9="Yes",ROUND((-$K$9*(1+'Part VI-Pro Forma'!$B$7)^('Part VI-Pro Forma'!I46-1)),),IF('Part VI-Pro Forma'!$G$10="Yes",ROUND((-(SUM(I47:I50)*'Part VI-Pro Forma'!$K$10)),),"Choose mgt fee")))</f>
        <v>-219611</v>
      </c>
      <c r="J54" s="18">
        <f>IF(AND('Part VI-Pro Forma'!$G$9="Yes",'Part VI-Pro Forma'!$G$10="Yes"),"Choose One!",IF('Part VI-Pro Forma'!$G$9="Yes",ROUND((-$K$9*(1+'Part VI-Pro Forma'!$B$7)^('Part VI-Pro Forma'!J46-1)),),IF('Part VI-Pro Forma'!$G$10="Yes",ROUND((-(SUM(J47:J50)*'Part VI-Pro Forma'!$K$10)),),"Choose mgt fee")))</f>
        <v>-226199</v>
      </c>
      <c r="K54" s="19">
        <f>IF(AND('Part VI-Pro Forma'!$G$9="Yes",'Part VI-Pro Forma'!$G$10="Yes"),"Choose One!",IF('Part VI-Pro Forma'!$G$9="Yes",ROUND((-$K$9*(1+'Part VI-Pro Forma'!$B$7)^('Part VI-Pro Forma'!K46-1)),),IF('Part VI-Pro Forma'!$G$10="Yes",ROUND((-(SUM(K47:K50)*'Part VI-Pro Forma'!$K$10)),),"Choose mgt fee")))</f>
        <v>-232985</v>
      </c>
      <c r="N54" s="3576"/>
      <c r="O54" s="3578"/>
      <c r="Z54" s="1719" t="s">
        <v>6461</v>
      </c>
      <c r="AA54" s="1721">
        <v>54</v>
      </c>
    </row>
    <row r="55" spans="1:27" ht="13.35" customHeight="1">
      <c r="A55" s="17" t="s">
        <v>1128</v>
      </c>
      <c r="B55" s="18">
        <f t="shared" ref="B55:K55" si="21">$B$23*(1+$B$8)^(B46-1)</f>
        <v>-70555.609915566398</v>
      </c>
      <c r="C55" s="18">
        <f t="shared" si="21"/>
        <v>-72672.278213033394</v>
      </c>
      <c r="D55" s="18">
        <f t="shared" si="21"/>
        <v>-74852.446559424381</v>
      </c>
      <c r="E55" s="18">
        <f t="shared" si="21"/>
        <v>-77098.019956207107</v>
      </c>
      <c r="F55" s="18">
        <f t="shared" si="21"/>
        <v>-79410.960554893332</v>
      </c>
      <c r="G55" s="18">
        <f t="shared" si="21"/>
        <v>-81793.28937154013</v>
      </c>
      <c r="H55" s="18">
        <f t="shared" si="21"/>
        <v>-84247.088052686318</v>
      </c>
      <c r="I55" s="18">
        <f t="shared" si="21"/>
        <v>-86774.500694266913</v>
      </c>
      <c r="J55" s="18">
        <f t="shared" si="21"/>
        <v>-89377.735715094925</v>
      </c>
      <c r="K55" s="19">
        <f t="shared" si="21"/>
        <v>-92059.067786547763</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2">SUM(B52:B56)</f>
        <v>1868477.7761876585</v>
      </c>
      <c r="C57" s="18">
        <f t="shared" si="22"/>
        <v>1892139.0375520596</v>
      </c>
      <c r="D57" s="18">
        <f t="shared" si="22"/>
        <v>1915861.9875189692</v>
      </c>
      <c r="E57" s="18">
        <f t="shared" si="22"/>
        <v>1939636.349561692</v>
      </c>
      <c r="F57" s="18">
        <f t="shared" si="22"/>
        <v>1963449.3997140413</v>
      </c>
      <c r="G57" s="18">
        <f t="shared" si="22"/>
        <v>1987289.947964269</v>
      </c>
      <c r="H57" s="18">
        <f t="shared" si="22"/>
        <v>2011144.3189871814</v>
      </c>
      <c r="I57" s="18">
        <f t="shared" si="22"/>
        <v>2034998.3321924605</v>
      </c>
      <c r="J57" s="18">
        <f t="shared" si="22"/>
        <v>2058839.2810666105</v>
      </c>
      <c r="K57" s="1215">
        <f t="shared" si="22"/>
        <v>2082650.9117851523</v>
      </c>
      <c r="N57" s="3576"/>
      <c r="O57" s="3578"/>
      <c r="Z57" s="1719" t="s">
        <v>6461</v>
      </c>
      <c r="AA57" s="1721">
        <v>57</v>
      </c>
    </row>
    <row r="58" spans="1:27" ht="13.35" customHeight="1">
      <c r="A58" s="17" t="str">
        <f>$A26</f>
        <v>Mortgage A</v>
      </c>
      <c r="B58" s="342">
        <f>IF('Part II-Sources of Funds'!$P$40="", 0,-'Part II-Sources of Funds'!$P$40)</f>
        <v>-1344571.9668434197</v>
      </c>
      <c r="C58" s="342">
        <f>IF('Part II-Sources of Funds'!$P$40="", 0,-'Part II-Sources of Funds'!$P$40)</f>
        <v>-1344571.9668434197</v>
      </c>
      <c r="D58" s="342">
        <f>IF('Part II-Sources of Funds'!$P$40="", 0,-'Part II-Sources of Funds'!$P$40)</f>
        <v>-1344571.9668434197</v>
      </c>
      <c r="E58" s="342">
        <f>IF('Part II-Sources of Funds'!$P$40="", 0,-'Part II-Sources of Funds'!$P$40)</f>
        <v>-1344571.9668434197</v>
      </c>
      <c r="F58" s="342">
        <f>IF('Part II-Sources of Funds'!$P$40="", 0,-'Part II-Sources of Funds'!$P$40)</f>
        <v>-1344571.9668434197</v>
      </c>
      <c r="G58" s="342">
        <f>IF('Part II-Sources of Funds'!$P$40="", 0,-'Part II-Sources of Funds'!$P$40)</f>
        <v>-1344571.9668434197</v>
      </c>
      <c r="H58" s="342">
        <f>IF('Part II-Sources of Funds'!$P$40="", 0,-'Part II-Sources of Funds'!$P$40)</f>
        <v>-1344571.9668434197</v>
      </c>
      <c r="I58" s="342">
        <f>IF('Part II-Sources of Funds'!$P$40="", 0,-'Part II-Sources of Funds'!$P$40)</f>
        <v>-1344571.9668434197</v>
      </c>
      <c r="J58" s="342">
        <f>IF('Part II-Sources of Funds'!$P$40="", 0,-'Part II-Sources of Funds'!$P$40)</f>
        <v>-1344571.9668434197</v>
      </c>
      <c r="K58" s="342">
        <f>IF('Part II-Sources of Funds'!$P$40="", 0,-'Part II-Sources of Funds'!$P$40)</f>
        <v>-1344571.9668434197</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v>-6719.5818967206096</v>
      </c>
      <c r="C63" s="178">
        <v>-6921.1693536222283</v>
      </c>
      <c r="D63" s="178">
        <v>-7128.8044342308949</v>
      </c>
      <c r="E63" s="178">
        <v>-7342.6685672578224</v>
      </c>
      <c r="F63" s="178">
        <v>-7562.9486242755574</v>
      </c>
      <c r="G63" s="178"/>
      <c r="H63" s="178"/>
      <c r="I63" s="178"/>
      <c r="J63" s="178"/>
      <c r="K63" s="178"/>
      <c r="N63" s="3576"/>
      <c r="O63" s="3578"/>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3">SUM(B57:B64)</f>
        <v>517186.22744751821</v>
      </c>
      <c r="C65" s="18">
        <f t="shared" si="23"/>
        <v>540645.90135501768</v>
      </c>
      <c r="D65" s="18">
        <f t="shared" si="23"/>
        <v>564161.21624131862</v>
      </c>
      <c r="E65" s="18">
        <f t="shared" si="23"/>
        <v>587721.71415101446</v>
      </c>
      <c r="F65" s="18">
        <f t="shared" si="23"/>
        <v>611314.48424634605</v>
      </c>
      <c r="G65" s="18">
        <f t="shared" si="23"/>
        <v>642717.98112084926</v>
      </c>
      <c r="H65" s="18">
        <f t="shared" si="23"/>
        <v>666572.3521437617</v>
      </c>
      <c r="I65" s="18">
        <f t="shared" si="23"/>
        <v>690426.36534904083</v>
      </c>
      <c r="J65" s="18">
        <f t="shared" si="23"/>
        <v>714267.31422319077</v>
      </c>
      <c r="K65" s="497">
        <f t="shared" si="23"/>
        <v>738078.94494173257</v>
      </c>
      <c r="N65" s="3576"/>
      <c r="O65" s="3578"/>
      <c r="Z65" s="1719" t="s">
        <v>6461</v>
      </c>
      <c r="AA65" s="1721">
        <v>65</v>
      </c>
    </row>
    <row r="66" spans="1:27" ht="13.35" customHeight="1">
      <c r="A66" s="17" t="str">
        <f>$A34</f>
        <v>DCR Mortgage A</v>
      </c>
      <c r="B66" s="20">
        <f t="shared" ref="B66:K66" si="24">IF(B58=0,"",-B57/B58)</f>
        <v>1.3896450485831449</v>
      </c>
      <c r="C66" s="20">
        <f t="shared" si="24"/>
        <v>1.4072426647374883</v>
      </c>
      <c r="D66" s="20">
        <f t="shared" si="24"/>
        <v>1.4248861606245866</v>
      </c>
      <c r="E66" s="20">
        <f t="shared" si="24"/>
        <v>1.4425678932718442</v>
      </c>
      <c r="F66" s="20">
        <f t="shared" si="24"/>
        <v>1.4602783994697788</v>
      </c>
      <c r="G66" s="20">
        <f t="shared" si="24"/>
        <v>1.4780093568585431</v>
      </c>
      <c r="H66" s="20">
        <f t="shared" si="24"/>
        <v>1.4957505946733654</v>
      </c>
      <c r="I66" s="20">
        <f t="shared" si="24"/>
        <v>1.5134915663680824</v>
      </c>
      <c r="J66" s="20">
        <f t="shared" si="24"/>
        <v>1.5312228217133206</v>
      </c>
      <c r="K66" s="21">
        <f t="shared" si="24"/>
        <v>1.5489322722341752</v>
      </c>
      <c r="N66" s="3576"/>
      <c r="O66" s="3578"/>
      <c r="Z66" s="1719" t="s">
        <v>6461</v>
      </c>
      <c r="AA66" s="1721">
        <v>66</v>
      </c>
    </row>
    <row r="67" spans="1:27" ht="13.35" customHeight="1">
      <c r="A67" s="17" t="str">
        <f>$A35</f>
        <v>DCR Mortgage B</v>
      </c>
      <c r="B67" s="20" t="str">
        <f t="shared" ref="B67:K67" si="25">IF(B59=0,"",-(B57+B58)/B59)</f>
        <v/>
      </c>
      <c r="C67" s="20" t="str">
        <f t="shared" si="25"/>
        <v/>
      </c>
      <c r="D67" s="20" t="str">
        <f t="shared" si="25"/>
        <v/>
      </c>
      <c r="E67" s="20" t="str">
        <f t="shared" si="25"/>
        <v/>
      </c>
      <c r="F67" s="20" t="str">
        <f t="shared" si="25"/>
        <v/>
      </c>
      <c r="G67" s="20" t="str">
        <f t="shared" si="25"/>
        <v/>
      </c>
      <c r="H67" s="20" t="str">
        <f t="shared" si="25"/>
        <v/>
      </c>
      <c r="I67" s="20" t="str">
        <f t="shared" si="25"/>
        <v/>
      </c>
      <c r="J67" s="20" t="str">
        <f t="shared" si="25"/>
        <v/>
      </c>
      <c r="K67" s="21" t="str">
        <f t="shared" si="25"/>
        <v/>
      </c>
      <c r="N67" s="3576"/>
      <c r="O67" s="3578"/>
      <c r="Z67" s="1719" t="s">
        <v>6461</v>
      </c>
      <c r="AA67" s="1721">
        <v>67</v>
      </c>
    </row>
    <row r="68" spans="1:27" ht="13.35"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76"/>
      <c r="O68" s="3578"/>
      <c r="Z68" s="1719" t="s">
        <v>6461</v>
      </c>
      <c r="AA68" s="1721">
        <v>68</v>
      </c>
    </row>
    <row r="69" spans="1:27" ht="13.35"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76"/>
      <c r="O69" s="3578"/>
      <c r="Z69" s="1719" t="s">
        <v>6461</v>
      </c>
      <c r="AA69" s="1721">
        <v>69</v>
      </c>
    </row>
    <row r="70" spans="1:27" ht="13.35" customHeight="1">
      <c r="A70" s="341" t="s">
        <v>3214</v>
      </c>
      <c r="B70" s="20">
        <f t="shared" ref="B70:K70" si="28">IF(AND(B58=0,B59=0,B60=0,B61=0),"",-B57/(B58+B59+B60+B61))</f>
        <v>1.3896450485831449</v>
      </c>
      <c r="C70" s="20">
        <f t="shared" si="28"/>
        <v>1.4072426647374883</v>
      </c>
      <c r="D70" s="20">
        <f t="shared" si="28"/>
        <v>1.4248861606245866</v>
      </c>
      <c r="E70" s="20">
        <f t="shared" si="28"/>
        <v>1.4425678932718442</v>
      </c>
      <c r="F70" s="20">
        <f t="shared" si="28"/>
        <v>1.4602783994697788</v>
      </c>
      <c r="G70" s="20">
        <f t="shared" si="28"/>
        <v>1.4780093568585431</v>
      </c>
      <c r="H70" s="20">
        <f t="shared" si="28"/>
        <v>1.4957505946733654</v>
      </c>
      <c r="I70" s="20">
        <f t="shared" si="28"/>
        <v>1.5134915663680824</v>
      </c>
      <c r="J70" s="20">
        <f t="shared" si="28"/>
        <v>1.5312228217133206</v>
      </c>
      <c r="K70" s="21">
        <f t="shared" si="28"/>
        <v>1.5489322722341752</v>
      </c>
      <c r="N70" s="3576"/>
      <c r="O70" s="3578"/>
      <c r="Z70" s="1719" t="s">
        <v>6461</v>
      </c>
      <c r="AA70" s="1721">
        <v>70</v>
      </c>
    </row>
    <row r="71" spans="1:27" ht="13.35" customHeight="1">
      <c r="A71" s="17" t="s">
        <v>718</v>
      </c>
      <c r="B71" s="220">
        <f t="shared" ref="B71:K71" si="29">IF(OR(B54="Choose mgt fee",B54="Choose One!"),"",(B47+B48+B49+B50+B51) / -(B53+B54+B55))</f>
        <v>2.3630381343491291</v>
      </c>
      <c r="C71" s="220">
        <f t="shared" si="29"/>
        <v>2.3400958342304663</v>
      </c>
      <c r="D71" s="220">
        <f t="shared" si="29"/>
        <v>2.3173758198137953</v>
      </c>
      <c r="E71" s="220">
        <f t="shared" si="29"/>
        <v>2.2948772399310835</v>
      </c>
      <c r="F71" s="220">
        <f t="shared" si="29"/>
        <v>2.2725963333801347</v>
      </c>
      <c r="G71" s="220">
        <f t="shared" si="29"/>
        <v>2.2505326453539629</v>
      </c>
      <c r="H71" s="220">
        <f t="shared" si="29"/>
        <v>2.2286829772359145</v>
      </c>
      <c r="I71" s="220">
        <f t="shared" si="29"/>
        <v>2.2070445191539059</v>
      </c>
      <c r="J71" s="220">
        <f t="shared" si="29"/>
        <v>2.1856173178091258</v>
      </c>
      <c r="K71" s="221">
        <f t="shared" si="29"/>
        <v>2.1643976958962727</v>
      </c>
      <c r="N71" s="3576"/>
      <c r="O71" s="3578"/>
      <c r="Z71" s="1719" t="s">
        <v>6461</v>
      </c>
      <c r="AA71" s="1721">
        <v>71</v>
      </c>
    </row>
    <row r="72" spans="1:27" ht="13.35" customHeight="1">
      <c r="A72" s="341" t="s">
        <v>2404</v>
      </c>
      <c r="B72" s="177">
        <f>IF('Part II-Sources of Funds'!$I$40="","",-FV('Part II-Sources of Funds'!$K$40/12,12,B58/12,K40))</f>
        <v>17892063.018104251</v>
      </c>
      <c r="C72" s="177">
        <f>IF('Part II-Sources of Funds'!$I$40="","",-FV('Part II-Sources of Funds'!$K$40/12,12,C58/12,B72))</f>
        <v>17668303.255749218</v>
      </c>
      <c r="D72" s="177">
        <f>IF('Part II-Sources of Funds'!$I$40="","",-FV('Part II-Sources of Funds'!$K$40/12,12,D58/12,C72))</f>
        <v>17430032.373210609</v>
      </c>
      <c r="E72" s="177">
        <f>IF('Part II-Sources of Funds'!$I$40="","",-FV('Part II-Sources of Funds'!$K$40/12,12,E58/12,D72))</f>
        <v>17176309.304915395</v>
      </c>
      <c r="F72" s="177">
        <f>IF('Part II-Sources of Funds'!$I$40="","",-FV('Part II-Sources of Funds'!$K$40/12,12,F58/12,E72))</f>
        <v>16906131.955928128</v>
      </c>
      <c r="G72" s="177">
        <f>IF('Part II-Sources of Funds'!$I$40="","",-FV('Part II-Sources of Funds'!$K$40/12,12,G58/12,F72))</f>
        <v>16618433.244115077</v>
      </c>
      <c r="H72" s="177">
        <f>IF('Part II-Sources of Funds'!$I$40="","",-FV('Part II-Sources of Funds'!$K$40/12,12,H58/12,G72))</f>
        <v>16312076.885637414</v>
      </c>
      <c r="I72" s="177">
        <f>IF('Part II-Sources of Funds'!$I$40="","",-FV('Part II-Sources of Funds'!$K$40/12,12,I58/12,H72))</f>
        <v>15985852.907127969</v>
      </c>
      <c r="J72" s="177">
        <f>IF('Part II-Sources of Funds'!$I$40="","",-FV('Part II-Sources of Funds'!$K$40/12,12,J58/12,I72))</f>
        <v>15638472.866826668</v>
      </c>
      <c r="K72" s="177">
        <f>IF('Part II-Sources of Funds'!$I$40="","",-FV('Part II-Sources of Funds'!$K$40/12,12,K58/12,J72))</f>
        <v>15268564.765800184</v>
      </c>
      <c r="N72" s="3576"/>
      <c r="O72" s="3578"/>
      <c r="Z72" s="1719" t="s">
        <v>6461</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213" t="s">
        <v>2409</v>
      </c>
      <c r="O78" s="3213"/>
      <c r="AA78" s="1721">
        <v>78</v>
      </c>
    </row>
    <row r="79" spans="1:27" ht="13.35" customHeight="1">
      <c r="A79" s="14" t="s">
        <v>2214</v>
      </c>
      <c r="B79" s="15">
        <f t="shared" ref="B79:K79" si="31">$B$15*(1+$B$6)^(B78-1)</f>
        <v>4162643.8782500029</v>
      </c>
      <c r="C79" s="15">
        <f t="shared" si="31"/>
        <v>4245896.7558150021</v>
      </c>
      <c r="D79" s="15">
        <f t="shared" si="31"/>
        <v>4330814.6909313025</v>
      </c>
      <c r="E79" s="15">
        <f t="shared" si="31"/>
        <v>4417430.9847499281</v>
      </c>
      <c r="F79" s="15">
        <f t="shared" si="31"/>
        <v>4505779.6044449266</v>
      </c>
      <c r="G79" s="15">
        <f t="shared" si="31"/>
        <v>4595895.1965338252</v>
      </c>
      <c r="H79" s="15">
        <f t="shared" si="31"/>
        <v>4687813.1004645023</v>
      </c>
      <c r="I79" s="15">
        <f t="shared" si="31"/>
        <v>4781569.3624737915</v>
      </c>
      <c r="J79" s="15">
        <f t="shared" si="31"/>
        <v>4877200.7497232687</v>
      </c>
      <c r="K79" s="16">
        <f t="shared" si="31"/>
        <v>4974744.7647177335</v>
      </c>
      <c r="N79" s="3579"/>
      <c r="O79" s="3581"/>
      <c r="Z79" s="1719" t="s">
        <v>6462</v>
      </c>
      <c r="AA79" s="1721">
        <v>79</v>
      </c>
    </row>
    <row r="80" spans="1:27" ht="13.35" customHeight="1">
      <c r="A80" s="17" t="s">
        <v>952</v>
      </c>
      <c r="B80" s="18">
        <f t="shared" ref="B80:K80" si="32">$B$16*(1+$B$6)^(B78-1)</f>
        <v>83252.877565000061</v>
      </c>
      <c r="C80" s="18">
        <f t="shared" si="32"/>
        <v>84917.935116300054</v>
      </c>
      <c r="D80" s="18">
        <f t="shared" si="32"/>
        <v>86616.293818626058</v>
      </c>
      <c r="E80" s="18">
        <f t="shared" si="32"/>
        <v>88348.619694998561</v>
      </c>
      <c r="F80" s="18">
        <f t="shared" si="32"/>
        <v>90115.592088898542</v>
      </c>
      <c r="G80" s="18">
        <f t="shared" si="32"/>
        <v>91917.903930676519</v>
      </c>
      <c r="H80" s="18">
        <f t="shared" si="32"/>
        <v>93756.262009290062</v>
      </c>
      <c r="I80" s="18">
        <f t="shared" si="32"/>
        <v>95631.38724947584</v>
      </c>
      <c r="J80" s="18">
        <f t="shared" si="32"/>
        <v>97544.014994465382</v>
      </c>
      <c r="K80" s="19">
        <f t="shared" si="32"/>
        <v>99494.895294354661</v>
      </c>
      <c r="N80" s="3576"/>
      <c r="O80" s="3578"/>
      <c r="Z80" s="1719" t="s">
        <v>6462</v>
      </c>
      <c r="AA80" s="1721">
        <v>80</v>
      </c>
    </row>
    <row r="81" spans="1:27" ht="13.35" customHeight="1">
      <c r="A81" s="17" t="s">
        <v>2215</v>
      </c>
      <c r="B81" s="18">
        <f t="shared" ref="B81:K81" si="33">-(B79+B80)*$B$9</f>
        <v>-297212.77290705027</v>
      </c>
      <c r="C81" s="18">
        <f t="shared" si="33"/>
        <v>-303157.02836519119</v>
      </c>
      <c r="D81" s="18">
        <f t="shared" si="33"/>
        <v>-309220.168932495</v>
      </c>
      <c r="E81" s="18">
        <f t="shared" si="33"/>
        <v>-315404.5723111449</v>
      </c>
      <c r="F81" s="18">
        <f t="shared" si="33"/>
        <v>-321712.66375736782</v>
      </c>
      <c r="G81" s="18">
        <f t="shared" si="33"/>
        <v>-328146.91703251511</v>
      </c>
      <c r="H81" s="18">
        <f t="shared" si="33"/>
        <v>-334709.85537316551</v>
      </c>
      <c r="I81" s="18">
        <f t="shared" si="33"/>
        <v>-341404.05248062877</v>
      </c>
      <c r="J81" s="18">
        <f t="shared" si="33"/>
        <v>-348232.13353024144</v>
      </c>
      <c r="K81" s="19">
        <f t="shared" si="33"/>
        <v>-355196.77620084619</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4">SUM(B79:B83)</f>
        <v>3948683.9829079527</v>
      </c>
      <c r="C84" s="18">
        <f t="shared" si="34"/>
        <v>4027657.6625661114</v>
      </c>
      <c r="D84" s="18">
        <f t="shared" si="34"/>
        <v>4108210.8158174329</v>
      </c>
      <c r="E84" s="18">
        <f t="shared" si="34"/>
        <v>4190375.0321337818</v>
      </c>
      <c r="F84" s="18">
        <f t="shared" si="34"/>
        <v>4274182.5327764573</v>
      </c>
      <c r="G84" s="18">
        <f t="shared" si="34"/>
        <v>4359666.1834319867</v>
      </c>
      <c r="H84" s="18">
        <f t="shared" si="34"/>
        <v>4446859.5071006268</v>
      </c>
      <c r="I84" s="18">
        <f t="shared" si="34"/>
        <v>4535796.697242639</v>
      </c>
      <c r="J84" s="18">
        <f t="shared" si="34"/>
        <v>4626512.631187493</v>
      </c>
      <c r="K84" s="19">
        <f t="shared" si="34"/>
        <v>4719042.8838112419</v>
      </c>
      <c r="N84" s="3576"/>
      <c r="O84" s="3578"/>
      <c r="Z84" s="1719" t="s">
        <v>6462</v>
      </c>
      <c r="AA84" s="1721">
        <v>84</v>
      </c>
    </row>
    <row r="85" spans="1:27" ht="13.35" customHeight="1">
      <c r="A85" s="17" t="s">
        <v>572</v>
      </c>
      <c r="B85" s="18">
        <f t="shared" ref="B85:K85" si="35">$B$21*(1+$B$7)^(B78-1)</f>
        <v>-1507470.7420168258</v>
      </c>
      <c r="C85" s="18">
        <f t="shared" si="35"/>
        <v>-1552694.8642773305</v>
      </c>
      <c r="D85" s="18">
        <f t="shared" si="35"/>
        <v>-1599275.7102056504</v>
      </c>
      <c r="E85" s="18">
        <f t="shared" si="35"/>
        <v>-1647253.9815118201</v>
      </c>
      <c r="F85" s="18">
        <f t="shared" si="35"/>
        <v>-1696671.6009571743</v>
      </c>
      <c r="G85" s="18">
        <f t="shared" si="35"/>
        <v>-1747571.7489858896</v>
      </c>
      <c r="H85" s="18">
        <f t="shared" si="35"/>
        <v>-1799998.9014554666</v>
      </c>
      <c r="I85" s="18">
        <f t="shared" si="35"/>
        <v>-1853998.8684991302</v>
      </c>
      <c r="J85" s="18">
        <f t="shared" si="35"/>
        <v>-1909618.8345541041</v>
      </c>
      <c r="K85" s="19">
        <f t="shared" si="35"/>
        <v>-1966907.3995907272</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-239974</v>
      </c>
      <c r="C86" s="18">
        <f>IF(AND('Part VI-Pro Forma'!$G$9="Yes",'Part VI-Pro Forma'!$G$10="Yes"),"Choose One!",IF('Part VI-Pro Forma'!$G$9="Yes",ROUND((-$K$9*(1+'Part VI-Pro Forma'!$B$7)^('Part VI-Pro Forma'!C78-1)),),IF('Part VI-Pro Forma'!$G$10="Yes",ROUND((-(SUM(C79:C82)*'Part VI-Pro Forma'!$K$10)),),"Choose mgt fee")))</f>
        <v>-247174</v>
      </c>
      <c r="D86" s="18">
        <f>IF(AND('Part VI-Pro Forma'!$G$9="Yes",'Part VI-Pro Forma'!$G$10="Yes"),"Choose One!",IF('Part VI-Pro Forma'!$G$9="Yes",ROUND((-$K$9*(1+'Part VI-Pro Forma'!$B$7)^('Part VI-Pro Forma'!D78-1)),),IF('Part VI-Pro Forma'!$G$10="Yes",ROUND((-(SUM(D79:D82)*'Part VI-Pro Forma'!$K$10)),),"Choose mgt fee")))</f>
        <v>-254589</v>
      </c>
      <c r="E86" s="18">
        <f>IF(AND('Part VI-Pro Forma'!$G$9="Yes",'Part VI-Pro Forma'!$G$10="Yes"),"Choose One!",IF('Part VI-Pro Forma'!$G$9="Yes",ROUND((-$K$9*(1+'Part VI-Pro Forma'!$B$7)^('Part VI-Pro Forma'!E78-1)),),IF('Part VI-Pro Forma'!$G$10="Yes",ROUND((-(SUM(E79:E82)*'Part VI-Pro Forma'!$K$10)),),"Choose mgt fee")))</f>
        <v>-262226</v>
      </c>
      <c r="F86" s="18">
        <f>IF(AND('Part VI-Pro Forma'!$G$9="Yes",'Part VI-Pro Forma'!$G$10="Yes"),"Choose One!",IF('Part VI-Pro Forma'!$G$9="Yes",ROUND((-$K$9*(1+'Part VI-Pro Forma'!$B$7)^('Part VI-Pro Forma'!F78-1)),),IF('Part VI-Pro Forma'!$G$10="Yes",ROUND((-(SUM(F79:F82)*'Part VI-Pro Forma'!$K$10)),),"Choose mgt fee")))</f>
        <v>-270093</v>
      </c>
      <c r="G86" s="18">
        <f>IF(AND('Part VI-Pro Forma'!$G$9="Yes",'Part VI-Pro Forma'!$G$10="Yes"),"Choose One!",IF('Part VI-Pro Forma'!$G$9="Yes",ROUND((-$K$9*(1+'Part VI-Pro Forma'!$B$7)^('Part VI-Pro Forma'!G78-1)),),IF('Part VI-Pro Forma'!$G$10="Yes",ROUND((-(SUM(G79:G82)*'Part VI-Pro Forma'!$K$10)),),"Choose mgt fee")))</f>
        <v>-278196</v>
      </c>
      <c r="H86" s="18">
        <f>IF(AND('Part VI-Pro Forma'!$G$9="Yes",'Part VI-Pro Forma'!$G$10="Yes"),"Choose One!",IF('Part VI-Pro Forma'!$G$9="Yes",ROUND((-$K$9*(1+'Part VI-Pro Forma'!$B$7)^('Part VI-Pro Forma'!H78-1)),),IF('Part VI-Pro Forma'!$G$10="Yes",ROUND((-(SUM(H79:H82)*'Part VI-Pro Forma'!$K$10)),),"Choose mgt fee")))</f>
        <v>-286542</v>
      </c>
      <c r="I86" s="18">
        <f>IF(AND('Part VI-Pro Forma'!$G$9="Yes",'Part VI-Pro Forma'!$G$10="Yes"),"Choose One!",IF('Part VI-Pro Forma'!$G$9="Yes",ROUND((-$K$9*(1+'Part VI-Pro Forma'!$B$7)^('Part VI-Pro Forma'!I78-1)),),IF('Part VI-Pro Forma'!$G$10="Yes",ROUND((-(SUM(I79:I82)*'Part VI-Pro Forma'!$K$10)),),"Choose mgt fee")))</f>
        <v>-295138</v>
      </c>
      <c r="J86" s="18">
        <f>IF(AND('Part VI-Pro Forma'!$G$9="Yes",'Part VI-Pro Forma'!$G$10="Yes"),"Choose One!",IF('Part VI-Pro Forma'!$G$9="Yes",ROUND((-$K$9*(1+'Part VI-Pro Forma'!$B$7)^('Part VI-Pro Forma'!J78-1)),),IF('Part VI-Pro Forma'!$G$10="Yes",ROUND((-(SUM(J79:J82)*'Part VI-Pro Forma'!$K$10)),),"Choose mgt fee")))</f>
        <v>-303992</v>
      </c>
      <c r="K86" s="19">
        <f>IF(AND('Part VI-Pro Forma'!$G$9="Yes",'Part VI-Pro Forma'!$G$10="Yes"),"Choose One!",IF('Part VI-Pro Forma'!$G$9="Yes",ROUND((-$K$9*(1+'Part VI-Pro Forma'!$B$7)^('Part VI-Pro Forma'!K78-1)),),IF('Part VI-Pro Forma'!$G$10="Yes",ROUND((-(SUM(K79:K82)*'Part VI-Pro Forma'!$K$10)),),"Choose mgt fee")))</f>
        <v>-313112</v>
      </c>
      <c r="N86" s="3576"/>
      <c r="O86" s="3578"/>
      <c r="Z86" s="1719" t="s">
        <v>6462</v>
      </c>
      <c r="AA86" s="1721">
        <v>86</v>
      </c>
    </row>
    <row r="87" spans="1:27" ht="13.35" customHeight="1">
      <c r="A87" s="17" t="s">
        <v>1128</v>
      </c>
      <c r="B87" s="18">
        <f t="shared" ref="B87:K87" si="36">$B$23*(1+$B$8)^(B78-1)</f>
        <v>-94820.839820144203</v>
      </c>
      <c r="C87" s="18">
        <f t="shared" si="36"/>
        <v>-97665.465014748508</v>
      </c>
      <c r="D87" s="18">
        <f t="shared" si="36"/>
        <v>-100595.42896519098</v>
      </c>
      <c r="E87" s="18">
        <f t="shared" si="36"/>
        <v>-103613.29183414672</v>
      </c>
      <c r="F87" s="18">
        <f t="shared" si="36"/>
        <v>-106721.69058917109</v>
      </c>
      <c r="G87" s="18">
        <f t="shared" si="36"/>
        <v>-109923.34130684623</v>
      </c>
      <c r="H87" s="18">
        <f t="shared" si="36"/>
        <v>-113221.04154605162</v>
      </c>
      <c r="I87" s="18">
        <f t="shared" si="36"/>
        <v>-116617.67279243316</v>
      </c>
      <c r="J87" s="18">
        <f t="shared" si="36"/>
        <v>-120116.20297620616</v>
      </c>
      <c r="K87" s="19">
        <f t="shared" si="36"/>
        <v>-123719.68906549233</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37">SUM(B84:B88)</f>
        <v>2106418.4010709827</v>
      </c>
      <c r="C89" s="18">
        <f t="shared" si="37"/>
        <v>2130123.3332740329</v>
      </c>
      <c r="D89" s="18">
        <f t="shared" si="37"/>
        <v>2153750.6766465916</v>
      </c>
      <c r="E89" s="18">
        <f t="shared" si="37"/>
        <v>2177281.758787815</v>
      </c>
      <c r="F89" s="18">
        <f t="shared" si="37"/>
        <v>2200696.241230112</v>
      </c>
      <c r="G89" s="18">
        <f t="shared" si="37"/>
        <v>2223975.0931392512</v>
      </c>
      <c r="H89" s="18">
        <f t="shared" si="37"/>
        <v>2247097.5640991088</v>
      </c>
      <c r="I89" s="18">
        <f t="shared" si="37"/>
        <v>2270042.1559510757</v>
      </c>
      <c r="J89" s="18">
        <f t="shared" si="37"/>
        <v>2292785.5936571825</v>
      </c>
      <c r="K89" s="1215">
        <f t="shared" si="37"/>
        <v>2315303.7951550228</v>
      </c>
      <c r="N89" s="3576"/>
      <c r="O89" s="3578"/>
      <c r="Z89" s="1719" t="s">
        <v>6462</v>
      </c>
      <c r="AA89" s="1721">
        <v>89</v>
      </c>
    </row>
    <row r="90" spans="1:27" ht="13.35" customHeight="1">
      <c r="A90" s="17" t="str">
        <f>$A58</f>
        <v>Mortgage A</v>
      </c>
      <c r="B90" s="342">
        <f>IF('Part II-Sources of Funds'!$P$40="", 0,-'Part II-Sources of Funds'!$P$40)</f>
        <v>-1344571.9668434197</v>
      </c>
      <c r="C90" s="342">
        <f>IF('Part II-Sources of Funds'!$P$40="", 0,-'Part II-Sources of Funds'!$P$40)</f>
        <v>-1344571.9668434197</v>
      </c>
      <c r="D90" s="342">
        <f>IF('Part II-Sources of Funds'!$P$40="", 0,-'Part II-Sources of Funds'!$P$40)</f>
        <v>-1344571.9668434197</v>
      </c>
      <c r="E90" s="342">
        <f>IF('Part II-Sources of Funds'!$P$40="", 0,-'Part II-Sources of Funds'!$P$40)</f>
        <v>-1344571.9668434197</v>
      </c>
      <c r="F90" s="342">
        <f>IF('Part II-Sources of Funds'!$P$40="", 0,-'Part II-Sources of Funds'!$P$40)</f>
        <v>-1344571.9668434197</v>
      </c>
      <c r="G90" s="342">
        <f>IF('Part II-Sources of Funds'!$P$40="", 0,-'Part II-Sources of Funds'!$P$40)</f>
        <v>-1344571.9668434197</v>
      </c>
      <c r="H90" s="342">
        <f>IF('Part II-Sources of Funds'!$P$40="", 0,-'Part II-Sources of Funds'!$P$40)</f>
        <v>-1344571.9668434197</v>
      </c>
      <c r="I90" s="342">
        <f>IF('Part II-Sources of Funds'!$P$40="", 0,-'Part II-Sources of Funds'!$P$40)</f>
        <v>-1344571.9668434197</v>
      </c>
      <c r="J90" s="342">
        <f>IF('Part II-Sources of Funds'!$P$40="", 0,-'Part II-Sources of Funds'!$P$40)</f>
        <v>-1344571.9668434197</v>
      </c>
      <c r="K90" s="342">
        <f>IF('Part II-Sources of Funds'!$P$40="", 0,-'Part II-Sources of Funds'!$P$40)</f>
        <v>-1344571.9668434197</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0</v>
      </c>
      <c r="C95" s="179">
        <f t="shared" ref="C95:K95" si="38">+B95</f>
        <v>0</v>
      </c>
      <c r="D95" s="179">
        <f t="shared" si="38"/>
        <v>0</v>
      </c>
      <c r="E95" s="179">
        <f t="shared" si="38"/>
        <v>0</v>
      </c>
      <c r="F95" s="179">
        <f t="shared" si="38"/>
        <v>0</v>
      </c>
      <c r="G95" s="179">
        <f t="shared" si="38"/>
        <v>0</v>
      </c>
      <c r="H95" s="179">
        <f t="shared" si="38"/>
        <v>0</v>
      </c>
      <c r="I95" s="179">
        <f t="shared" si="38"/>
        <v>0</v>
      </c>
      <c r="J95" s="179">
        <f t="shared" si="38"/>
        <v>0</v>
      </c>
      <c r="K95" s="179">
        <f t="shared" si="38"/>
        <v>0</v>
      </c>
      <c r="N95" s="3576"/>
      <c r="O95" s="3578"/>
      <c r="Z95" s="1719" t="s">
        <v>6462</v>
      </c>
      <c r="AA95" s="1721">
        <v>95</v>
      </c>
    </row>
    <row r="96" spans="1:27" ht="13.35" customHeight="1">
      <c r="A96" s="17" t="s">
        <v>1096</v>
      </c>
      <c r="B96" s="18">
        <f t="shared" ref="B96:K96" si="39">SUM(B89:B95)</f>
        <v>761846.43422756298</v>
      </c>
      <c r="C96" s="18">
        <f t="shared" si="39"/>
        <v>785551.36643061321</v>
      </c>
      <c r="D96" s="18">
        <f t="shared" si="39"/>
        <v>809178.70980317192</v>
      </c>
      <c r="E96" s="18">
        <f t="shared" si="39"/>
        <v>832709.79194439529</v>
      </c>
      <c r="F96" s="18">
        <f t="shared" si="39"/>
        <v>856124.27438669233</v>
      </c>
      <c r="G96" s="18">
        <f t="shared" si="39"/>
        <v>879403.12629583152</v>
      </c>
      <c r="H96" s="18">
        <f t="shared" si="39"/>
        <v>902525.59725568909</v>
      </c>
      <c r="I96" s="18">
        <f t="shared" si="39"/>
        <v>925470.18910765601</v>
      </c>
      <c r="J96" s="18">
        <f t="shared" si="39"/>
        <v>948213.62681376282</v>
      </c>
      <c r="K96" s="19">
        <f t="shared" si="39"/>
        <v>970731.82831160305</v>
      </c>
      <c r="N96" s="3576"/>
      <c r="O96" s="3578"/>
      <c r="Z96" s="1719" t="s">
        <v>6462</v>
      </c>
      <c r="AA96" s="1721">
        <v>96</v>
      </c>
    </row>
    <row r="97" spans="1:27" ht="13.35" customHeight="1">
      <c r="A97" s="17" t="str">
        <f>$A66</f>
        <v>DCR Mortgage A</v>
      </c>
      <c r="B97" s="20">
        <f t="shared" ref="B97:K97" si="40">IF(B90=0,"",-B89/B90)</f>
        <v>1.5666088933983278</v>
      </c>
      <c r="C97" s="20">
        <f t="shared" si="40"/>
        <v>1.5842389889139297</v>
      </c>
      <c r="D97" s="20">
        <f t="shared" si="40"/>
        <v>1.6018113792025859</v>
      </c>
      <c r="E97" s="20">
        <f t="shared" si="40"/>
        <v>1.6193121770189096</v>
      </c>
      <c r="F97" s="20">
        <f t="shared" si="40"/>
        <v>1.6367262560118443</v>
      </c>
      <c r="G97" s="20">
        <f t="shared" si="40"/>
        <v>1.6540394623579424</v>
      </c>
      <c r="H97" s="20">
        <f t="shared" si="40"/>
        <v>1.6712363633272085</v>
      </c>
      <c r="I97" s="20">
        <f t="shared" si="40"/>
        <v>1.6883009700702993</v>
      </c>
      <c r="J97" s="20">
        <f t="shared" si="40"/>
        <v>1.7052159722174141</v>
      </c>
      <c r="K97" s="21">
        <f t="shared" si="40"/>
        <v>1.7219634591895729</v>
      </c>
      <c r="N97" s="3576"/>
      <c r="O97" s="3578"/>
      <c r="Z97" s="1719" t="s">
        <v>6462</v>
      </c>
      <c r="AA97" s="1721">
        <v>97</v>
      </c>
    </row>
    <row r="98" spans="1:27" ht="13.35"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76"/>
      <c r="O98" s="3578"/>
      <c r="Z98" s="1719" t="s">
        <v>6462</v>
      </c>
      <c r="AA98" s="1721">
        <v>98</v>
      </c>
    </row>
    <row r="99" spans="1:27" ht="13.35"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76"/>
      <c r="O99" s="3578"/>
      <c r="Z99" s="1719" t="s">
        <v>6462</v>
      </c>
      <c r="AA99" s="1721">
        <v>99</v>
      </c>
    </row>
    <row r="100" spans="1:27" ht="13.35"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76"/>
      <c r="O100" s="3578"/>
      <c r="Z100" s="1719" t="s">
        <v>6462</v>
      </c>
      <c r="AA100" s="1721">
        <v>100</v>
      </c>
    </row>
    <row r="101" spans="1:27" ht="13.35" customHeight="1">
      <c r="A101" s="341" t="s">
        <v>3214</v>
      </c>
      <c r="B101" s="20">
        <f t="shared" ref="B101:K101" si="44">IF(AND(B90=0,B91=0,B92=0,B93=0),"",-B89/(B90+B91+B92+B93))</f>
        <v>1.5666088933983278</v>
      </c>
      <c r="C101" s="20">
        <f t="shared" si="44"/>
        <v>1.5842389889139297</v>
      </c>
      <c r="D101" s="20">
        <f t="shared" si="44"/>
        <v>1.6018113792025859</v>
      </c>
      <c r="E101" s="20">
        <f t="shared" si="44"/>
        <v>1.6193121770189096</v>
      </c>
      <c r="F101" s="20">
        <f t="shared" si="44"/>
        <v>1.6367262560118443</v>
      </c>
      <c r="G101" s="20">
        <f t="shared" si="44"/>
        <v>1.6540394623579424</v>
      </c>
      <c r="H101" s="20">
        <f t="shared" si="44"/>
        <v>1.6712363633272085</v>
      </c>
      <c r="I101" s="20">
        <f t="shared" si="44"/>
        <v>1.6883009700702993</v>
      </c>
      <c r="J101" s="20">
        <f t="shared" si="44"/>
        <v>1.7052159722174141</v>
      </c>
      <c r="K101" s="21">
        <f t="shared" si="44"/>
        <v>1.7219634591895729</v>
      </c>
      <c r="N101" s="3576"/>
      <c r="O101" s="3578"/>
      <c r="Z101" s="1719" t="s">
        <v>6462</v>
      </c>
      <c r="AA101" s="1721">
        <v>101</v>
      </c>
    </row>
    <row r="102" spans="1:27" ht="13.35" customHeight="1">
      <c r="A102" s="17" t="s">
        <v>718</v>
      </c>
      <c r="B102" s="220">
        <f>IF(OR(B86="Choose mgt fee",B86="Choose One!"),"",(B79+B80+B81+B82+B83) / -(B85+B86+B87))</f>
        <v>2.1433847659307728</v>
      </c>
      <c r="C102" s="220">
        <f t="shared" ref="C102:K102" si="45">IF(OR(C86="Choose mgt fee",C86="Choose One!"),"",(C79+C80+C81+C82+C83) / -(C85+C86+C87))</f>
        <v>2.1225743325912458</v>
      </c>
      <c r="D102" s="220">
        <f t="shared" si="45"/>
        <v>2.101967051402899</v>
      </c>
      <c r="E102" s="220">
        <f t="shared" si="45"/>
        <v>2.0815602970889424</v>
      </c>
      <c r="F102" s="220">
        <f t="shared" si="45"/>
        <v>2.0613507551038097</v>
      </c>
      <c r="G102" s="220">
        <f t="shared" si="45"/>
        <v>2.0413374402542521</v>
      </c>
      <c r="H102" s="220">
        <f t="shared" si="45"/>
        <v>2.0215185198781112</v>
      </c>
      <c r="I102" s="220">
        <f t="shared" si="45"/>
        <v>2.0018923562024811</v>
      </c>
      <c r="J102" s="220">
        <f t="shared" si="45"/>
        <v>1.9824566270113344</v>
      </c>
      <c r="K102" s="221">
        <f t="shared" si="45"/>
        <v>1.9632092792772133</v>
      </c>
      <c r="N102" s="3576"/>
      <c r="O102" s="3578"/>
      <c r="Z102" s="1719" t="s">
        <v>6462</v>
      </c>
      <c r="AA102" s="1721">
        <v>102</v>
      </c>
    </row>
    <row r="103" spans="1:27" ht="13.35" customHeight="1">
      <c r="A103" s="341" t="s">
        <v>2404</v>
      </c>
      <c r="B103" s="177">
        <f>IF('Part II-Sources of Funds'!$I$40="","",-FV('Part II-Sources of Funds'!$K$40/12,12,B90/12,K72))</f>
        <v>14874667.629147375</v>
      </c>
      <c r="C103" s="177">
        <f>IF('Part II-Sources of Funds'!$I$40="","",-FV('Part II-Sources of Funds'!$K$40/12,12,C90/12,B103))</f>
        <v>14455225.735788643</v>
      </c>
      <c r="D103" s="177">
        <f>IF('Part II-Sources of Funds'!$I$40="","",-FV('Part II-Sources of Funds'!$K$40/12,12,D90/12,C103))</f>
        <v>14008582.474049404</v>
      </c>
      <c r="E103" s="177">
        <f>IF('Part II-Sources of Funds'!$I$40="","",-FV('Part II-Sources of Funds'!$K$40/12,12,E90/12,D103))</f>
        <v>13532973.798769915</v>
      </c>
      <c r="F103" s="177">
        <f>IF('Part II-Sources of Funds'!$I$40="","",-FV('Part II-Sources of Funds'!$K$40/12,12,F90/12,E103))</f>
        <v>13026521.264099924</v>
      </c>
      <c r="G103" s="177">
        <f>IF('Part II-Sources of Funds'!$I$40="","",-FV('Part II-Sources of Funds'!$K$40/12,12,G90/12,F103))</f>
        <v>12487224.604460713</v>
      </c>
      <c r="H103" s="177">
        <f>IF('Part II-Sources of Funds'!$I$40="","",-FV('Part II-Sources of Funds'!$K$40/12,12,H90/12,G103))</f>
        <v>11912953.834372602</v>
      </c>
      <c r="I103" s="177">
        <f>IF('Part II-Sources of Funds'!$I$40="","",-FV('Part II-Sources of Funds'!$K$40/12,12,I90/12,H103))</f>
        <v>11301440.835945692</v>
      </c>
      <c r="J103" s="177">
        <f>IF('Part II-Sources of Funds'!$I$40="","",-FV('Part II-Sources of Funds'!$K$40/12,12,J90/12,I103))</f>
        <v>10650270.400808107</v>
      </c>
      <c r="K103" s="177">
        <f>IF('Part II-Sources of Funds'!$I$40="","",-FV('Part II-Sources of Funds'!$K$40/12,12,K90/12,J103))</f>
        <v>9956870.6910913046</v>
      </c>
      <c r="N103" s="3576"/>
      <c r="O103" s="3578"/>
      <c r="Z103" s="1719" t="s">
        <v>6462</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13" t="s">
        <v>3206</v>
      </c>
      <c r="O108" s="3213"/>
      <c r="AA108" s="1721">
        <v>108</v>
      </c>
    </row>
    <row r="109" spans="1:27" ht="13.35" customHeight="1">
      <c r="A109" s="14" t="s">
        <v>2214</v>
      </c>
      <c r="B109" s="15">
        <f>$B$15*(1+$B$6)^(B108-1)</f>
        <v>5074239.6600120878</v>
      </c>
      <c r="C109" s="15">
        <f>$B$15*(1+$B$6)^(C108-1)</f>
        <v>5175724.4532123292</v>
      </c>
      <c r="D109" s="15">
        <f>$B$15*(1+$B$6)^(D108-1)</f>
        <v>5279238.9422765765</v>
      </c>
      <c r="E109" s="15">
        <f>$B$15*(1+$B$6)^(E108-1)</f>
        <v>5384823.7211221084</v>
      </c>
      <c r="F109" s="497">
        <f>$B$15*(1+$B$6)^(F108-1)</f>
        <v>5492520.1955445502</v>
      </c>
      <c r="G109" s="13"/>
      <c r="H109" s="13"/>
      <c r="I109" s="13"/>
      <c r="J109" s="13"/>
      <c r="K109" s="13"/>
      <c r="N109" s="3579"/>
      <c r="O109" s="3581"/>
      <c r="Z109" s="1719" t="s">
        <v>6463</v>
      </c>
      <c r="AA109" s="1721">
        <v>109</v>
      </c>
    </row>
    <row r="110" spans="1:27" ht="13.35" customHeight="1">
      <c r="A110" s="17" t="s">
        <v>952</v>
      </c>
      <c r="B110" s="18">
        <f>$B$16*(1+$B$6)^(B108-1)</f>
        <v>101484.79320024177</v>
      </c>
      <c r="C110" s="18">
        <f>$B$16*(1+$B$6)^(C108-1)</f>
        <v>103514.48906424658</v>
      </c>
      <c r="D110" s="18">
        <f>$B$16*(1+$B$6)^(D108-1)</f>
        <v>105584.77884553153</v>
      </c>
      <c r="E110" s="18">
        <f>$B$16*(1+$B$6)^(E108-1)</f>
        <v>107696.47442244217</v>
      </c>
      <c r="F110" s="19">
        <f>$B$16*(1+$B$6)^(F108-1)</f>
        <v>109850.40391089101</v>
      </c>
      <c r="G110" s="13"/>
      <c r="H110" s="13"/>
      <c r="I110" s="13"/>
      <c r="J110" s="13"/>
      <c r="K110" s="13"/>
      <c r="N110" s="3576"/>
      <c r="O110" s="3578"/>
      <c r="Z110" s="1719" t="s">
        <v>6463</v>
      </c>
      <c r="AA110" s="1721">
        <v>110</v>
      </c>
    </row>
    <row r="111" spans="1:27" ht="13.35" customHeight="1">
      <c r="A111" s="17" t="s">
        <v>2215</v>
      </c>
      <c r="B111" s="18">
        <f>-(B109+B110)*$B$9</f>
        <v>-362300.7117248631</v>
      </c>
      <c r="C111" s="18">
        <f>-(C109+C110)*$B$9</f>
        <v>-369546.72595936031</v>
      </c>
      <c r="D111" s="18">
        <f>-(D109+D110)*$B$9</f>
        <v>-376937.66047854762</v>
      </c>
      <c r="E111" s="18">
        <f>-(E109+E110)*$B$9</f>
        <v>-384476.41368811857</v>
      </c>
      <c r="F111" s="19">
        <f>-(F109+F110)*$B$9</f>
        <v>-392165.94196188095</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4813423.7414874658</v>
      </c>
      <c r="C114" s="18">
        <f>SUM(C109:C113)</f>
        <v>4909692.216317215</v>
      </c>
      <c r="D114" s="18">
        <f>SUM(D109:D113)</f>
        <v>5007886.0606435612</v>
      </c>
      <c r="E114" s="18">
        <f>SUM(E109:E113)</f>
        <v>5108043.7818564316</v>
      </c>
      <c r="F114" s="19">
        <f>SUM(F109:F113)</f>
        <v>5210204.6574935606</v>
      </c>
      <c r="G114" s="13"/>
      <c r="H114" s="13"/>
      <c r="I114" s="13"/>
      <c r="J114" s="13"/>
      <c r="K114" s="13"/>
      <c r="N114" s="3576"/>
      <c r="O114" s="3578"/>
      <c r="Z114" s="1719" t="s">
        <v>6463</v>
      </c>
      <c r="AA114" s="1721">
        <v>114</v>
      </c>
    </row>
    <row r="115" spans="1:27" ht="13.35" customHeight="1">
      <c r="A115" s="17" t="s">
        <v>572</v>
      </c>
      <c r="B115" s="18">
        <f>$B$21*(1+$B$7)^(B108-1)</f>
        <v>-2025914.6215784489</v>
      </c>
      <c r="C115" s="18">
        <f>$B$21*(1+$B$7)^(C108-1)</f>
        <v>-2086692.0602258027</v>
      </c>
      <c r="D115" s="18">
        <f>$B$21*(1+$B$7)^(D108-1)</f>
        <v>-2149292.8220325764</v>
      </c>
      <c r="E115" s="18">
        <f>$B$21*(1+$B$7)^(E108-1)</f>
        <v>-2213771.6066935537</v>
      </c>
      <c r="F115" s="19">
        <f>$B$21*(1+$B$7)^(F108-1)</f>
        <v>-2280184.75489436</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-322506</v>
      </c>
      <c r="C116" s="18">
        <f>IF(AND('Part VI-Pro Forma'!$G$9="Yes",'Part VI-Pro Forma'!$G$10="Yes"),"Choose One!",IF('Part VI-Pro Forma'!$G$9="Yes",ROUND((-$K$9*(1+'Part VI-Pro Forma'!$B$7)^('Part VI-Pro Forma'!C108-1)),),IF('Part VI-Pro Forma'!$G$10="Yes",ROUND((-(SUM(C109:C112)*'Part VI-Pro Forma'!$K$10)),),"Choose mgt fee")))</f>
        <v>-332181</v>
      </c>
      <c r="D116" s="18">
        <f>IF(AND('Part VI-Pro Forma'!$G$9="Yes",'Part VI-Pro Forma'!$G$10="Yes"),"Choose One!",IF('Part VI-Pro Forma'!$G$9="Yes",ROUND((-$K$9*(1+'Part VI-Pro Forma'!$B$7)^('Part VI-Pro Forma'!D108-1)),),IF('Part VI-Pro Forma'!$G$10="Yes",ROUND((-(SUM(D109:D112)*'Part VI-Pro Forma'!$K$10)),),"Choose mgt fee")))</f>
        <v>-342146</v>
      </c>
      <c r="E116" s="18">
        <f>IF(AND('Part VI-Pro Forma'!$G$9="Yes",'Part VI-Pro Forma'!$G$10="Yes"),"Choose One!",IF('Part VI-Pro Forma'!$G$9="Yes",ROUND((-$K$9*(1+'Part VI-Pro Forma'!$B$7)^('Part VI-Pro Forma'!E108-1)),),IF('Part VI-Pro Forma'!$G$10="Yes",ROUND((-(SUM(E109:E112)*'Part VI-Pro Forma'!$K$10)),),"Choose mgt fee")))</f>
        <v>-352410</v>
      </c>
      <c r="F116" s="19">
        <f>IF(AND('Part VI-Pro Forma'!$G$9="Yes",'Part VI-Pro Forma'!$G$10="Yes"),"Choose One!",IF('Part VI-Pro Forma'!$G$9="Yes",ROUND((-$K$9*(1+'Part VI-Pro Forma'!$B$7)^('Part VI-Pro Forma'!F108-1)),),IF('Part VI-Pro Forma'!$G$10="Yes",ROUND((-(SUM(F109:F112)*'Part VI-Pro Forma'!$K$10)),),"Choose mgt fee")))</f>
        <v>-362983</v>
      </c>
      <c r="G116" s="13"/>
      <c r="H116" s="13"/>
      <c r="I116" s="13"/>
      <c r="J116" s="13"/>
      <c r="K116" s="13"/>
      <c r="N116" s="3576"/>
      <c r="O116" s="3578"/>
      <c r="Z116" s="1719" t="s">
        <v>6463</v>
      </c>
      <c r="AA116" s="1721">
        <v>116</v>
      </c>
    </row>
    <row r="117" spans="1:27" ht="13.35" customHeight="1">
      <c r="A117" s="17" t="s">
        <v>1128</v>
      </c>
      <c r="B117" s="18">
        <f>$B$23*(1+$B$8)^(B108-1)</f>
        <v>-127431.27973745711</v>
      </c>
      <c r="C117" s="18">
        <f>$B$23*(1+$B$8)^(C108-1)</f>
        <v>-131254.21812958084</v>
      </c>
      <c r="D117" s="18">
        <f>$B$23*(1+$B$8)^(D108-1)</f>
        <v>-135191.84467346824</v>
      </c>
      <c r="E117" s="18">
        <f>$B$23*(1+$B$8)^(E108-1)</f>
        <v>-139247.60001367229</v>
      </c>
      <c r="F117" s="19">
        <f>$B$23*(1+$B$8)^(F108-1)</f>
        <v>-143425.02801408243</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2337571.8401715597</v>
      </c>
      <c r="C119" s="18">
        <f>SUM(C114:C118)</f>
        <v>2359564.9379618317</v>
      </c>
      <c r="D119" s="18">
        <f>SUM(D114:D118)</f>
        <v>2381255.3939375165</v>
      </c>
      <c r="E119" s="18">
        <f>SUM(E114:E118)</f>
        <v>2402614.5751492055</v>
      </c>
      <c r="F119" s="1215">
        <f>SUM(F114:F118)</f>
        <v>2423611.8745851181</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-1344571.9668434197</v>
      </c>
      <c r="C120" s="342">
        <f>IF('Part II-Sources of Funds'!$P$40="", 0,-'Part II-Sources of Funds'!$P$40)</f>
        <v>-1344571.9668434197</v>
      </c>
      <c r="D120" s="342">
        <f>IF('Part II-Sources of Funds'!$P$40="", 0,-'Part II-Sources of Funds'!$P$40)</f>
        <v>-1344571.9668434197</v>
      </c>
      <c r="E120" s="342">
        <f>IF('Part II-Sources of Funds'!$P$40="", 0,-'Part II-Sources of Funds'!$P$40)</f>
        <v>-1344571.9668434197</v>
      </c>
      <c r="F120" s="342">
        <f>IF('Part II-Sources of Funds'!$P$40="", 0,-'Part II-Sources of Funds'!$P$40)</f>
        <v>-1344571.9668434197</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76"/>
      <c r="O125" s="3578"/>
      <c r="Z125" s="1719" t="s">
        <v>6463</v>
      </c>
      <c r="AA125" s="1721">
        <v>125</v>
      </c>
    </row>
    <row r="126" spans="1:27" ht="13.35" customHeight="1">
      <c r="A126" s="17" t="s">
        <v>1096</v>
      </c>
      <c r="B126" s="18">
        <f>SUM(B119:B125)</f>
        <v>992999.87332814001</v>
      </c>
      <c r="C126" s="18">
        <f>SUM(C119:C125)</f>
        <v>1014992.971118412</v>
      </c>
      <c r="D126" s="18">
        <f>SUM(D119:D125)</f>
        <v>1036683.4270940968</v>
      </c>
      <c r="E126" s="18">
        <f>SUM(E119:E125)</f>
        <v>1058042.6083057858</v>
      </c>
      <c r="F126" s="19">
        <f>SUM(F119:F125)</f>
        <v>1079039.9077416984</v>
      </c>
      <c r="G126" s="13"/>
      <c r="H126" s="13"/>
      <c r="I126" s="13"/>
      <c r="J126" s="13"/>
      <c r="K126" s="13"/>
      <c r="N126" s="3576"/>
      <c r="O126" s="3578"/>
      <c r="Z126" s="1719" t="s">
        <v>6463</v>
      </c>
      <c r="AA126" s="1721">
        <v>126</v>
      </c>
    </row>
    <row r="127" spans="1:27" ht="13.35" customHeight="1">
      <c r="A127" s="17" t="str">
        <f>$A97</f>
        <v>DCR Mortgage A</v>
      </c>
      <c r="B127" s="20">
        <f>IF(B120=0,"",-B119/B120)</f>
        <v>1.7385248970044744</v>
      </c>
      <c r="C127" s="20">
        <f>IF(C120=0,"",-C119/C120)</f>
        <v>1.7548818480138755</v>
      </c>
      <c r="D127" s="20">
        <f>IF(D120=0,"",-D119/D120)</f>
        <v>1.7710137148908909</v>
      </c>
      <c r="E127" s="20">
        <f>IF(E120=0,"",-E119/E120)</f>
        <v>1.7868992024203036</v>
      </c>
      <c r="F127" s="21">
        <f>IF(F120=0,"",-F119/F120)</f>
        <v>1.8025155472152994</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3214</v>
      </c>
      <c r="B131" s="20">
        <f>IF(AND(B120=0,B121=0,B122=0,B123=0),"",-B119/(B120+B121+B122+B123))</f>
        <v>1.7385248970044744</v>
      </c>
      <c r="C131" s="20">
        <f>IF(AND(C120=0,C121=0,C122=0,C123=0),"",-C119/(C120+C121+C122+C123))</f>
        <v>1.7548818480138755</v>
      </c>
      <c r="D131" s="20">
        <f>IF(AND(D120=0,D121=0,D122=0,D123=0),"",-D119/(D120+D121+D122+D123))</f>
        <v>1.7710137148908909</v>
      </c>
      <c r="E131" s="20">
        <f>IF(AND(E120=0,E121=0,E122=0,E123=0),"",-E119/(E120+E121+E122+E123))</f>
        <v>1.7868992024203036</v>
      </c>
      <c r="F131" s="21">
        <f>IF(AND(F120=0,F121=0,F122=0,F123=0),"",-F119/(F120+F121+F122+F123))</f>
        <v>1.8025155472152994</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1.9441484924559296</v>
      </c>
      <c r="C132" s="220">
        <f>IF(OR(C116="Choose mgt fee",C116="Choose One!"),"",(C109+C110+C111+C112+C113) / -(C115+C116+C117))</f>
        <v>1.9252734002686924</v>
      </c>
      <c r="D132" s="220">
        <f>IF(OR(D116="Choose mgt fee",D116="Choose One!"),"",(D109+D110+D111+D112+D113) / -(D115+D116+D117))</f>
        <v>1.9065817376311061</v>
      </c>
      <c r="E132" s="220">
        <f>IF(OR(E116="Choose mgt fee",E116="Choose One!"),"",(E109+E110+E111+E112+E113) / -(E115+E116+E117))</f>
        <v>1.8880715005192925</v>
      </c>
      <c r="F132" s="498">
        <f>IF(OR(F116="Choose mgt fee",F116="Choose One!"),"",(F109+F110+F111+F112+F113) / -(F115+F116+F117))</f>
        <v>1.8697402395679532</v>
      </c>
      <c r="G132" s="13"/>
      <c r="H132" s="13"/>
      <c r="I132" s="13"/>
      <c r="J132" s="13"/>
      <c r="K132" s="13"/>
      <c r="N132" s="3576"/>
      <c r="O132" s="3578"/>
      <c r="Z132" s="1719" t="s">
        <v>6463</v>
      </c>
      <c r="AA132" s="1721">
        <v>132</v>
      </c>
    </row>
    <row r="133" spans="1:27" ht="13.35" customHeight="1">
      <c r="A133" s="341" t="s">
        <v>2404</v>
      </c>
      <c r="B133" s="177">
        <f>IF('Part II-Sources of Funds'!$I$40="","",-FV('Part II-Sources of Funds'!$K$40/12,12,B120/12,K103))</f>
        <v>9218503.0817974973</v>
      </c>
      <c r="C133" s="177">
        <f>IF('Part II-Sources of Funds'!$I$40="","",-FV('Part II-Sources of Funds'!$K$40/12,12,C120/12,B133))</f>
        <v>8432251.3444310129</v>
      </c>
      <c r="D133" s="177">
        <f>IF('Part II-Sources of Funds'!$I$40="","",-FV('Part II-Sources of Funds'!$K$40/12,12,D120/12,C133))</f>
        <v>7595010.129173656</v>
      </c>
      <c r="E133" s="177">
        <f>IF('Part II-Sources of Funds'!$I$40="","",-FV('Part II-Sources of Funds'!$K$40/12,12,E120/12,D133))</f>
        <v>6703472.7001137314</v>
      </c>
      <c r="F133" s="177">
        <f>IF('Part II-Sources of Funds'!$I$40="","",-FV('Part II-Sources of Funds'!$K$40/12,12,F120/12,E133))</f>
        <v>5754117.8750882372</v>
      </c>
      <c r="G133" s="13"/>
      <c r="H133" s="13"/>
      <c r="I133" s="13"/>
      <c r="J133" s="13"/>
      <c r="K133" s="13"/>
      <c r="N133" s="3576"/>
      <c r="O133" s="3578"/>
      <c r="Z133" s="1719" t="s">
        <v>6463</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3087</v>
      </c>
      <c r="B140" s="3693"/>
      <c r="C140" s="3693"/>
      <c r="D140" s="3693"/>
      <c r="E140" s="3693"/>
      <c r="F140" s="3694"/>
      <c r="G140" s="3695"/>
      <c r="H140" s="3696"/>
      <c r="I140" s="3696"/>
      <c r="J140" s="3696"/>
      <c r="K140" s="3697"/>
      <c r="N140" s="3319" t="s">
        <v>2451</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67" zoomScale="80" zoomScaleNormal="80" workbookViewId="0">
      <selection activeCell="T81" sqref="T81"/>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698" t="str">
        <f>CONCATENATE("PART SEVEN - THRESHOLD CRITERIA","  -  ",'Part I-Project Identification'!$O$7," ",'Part I-Project Identification'!$F$25,", ",'Part I-Project Identification'!F26,", ",'Part I-Project Identification'!J26," County")</f>
        <v>PART SEVEN - THRESHOLD CRITERIA  -  2023-5 Westbury, Decatur, DeKalb County</v>
      </c>
      <c r="B1" s="3698"/>
      <c r="C1" s="3698"/>
      <c r="D1" s="3698"/>
      <c r="E1" s="3698"/>
      <c r="F1" s="3698"/>
      <c r="G1" s="3698"/>
      <c r="H1" s="3698"/>
      <c r="I1" s="3698"/>
      <c r="J1" s="3698"/>
      <c r="K1" s="3698"/>
      <c r="L1" s="3698"/>
      <c r="M1" s="3698"/>
      <c r="N1" s="3698"/>
      <c r="O1" s="3698"/>
      <c r="P1" s="3698"/>
      <c r="Q1" s="3698"/>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69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9"/>
      <c r="C3" s="3699"/>
      <c r="D3" s="3699"/>
      <c r="E3" s="3699"/>
      <c r="F3" s="3699"/>
      <c r="G3" s="3699"/>
      <c r="H3" s="369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9"/>
      <c r="J3" s="3699"/>
      <c r="K3" s="3699"/>
      <c r="L3" s="3699"/>
      <c r="M3" s="3699"/>
      <c r="N3" s="3699"/>
      <c r="O3" s="2012"/>
      <c r="P3" s="3700" t="s">
        <v>6770</v>
      </c>
      <c r="Q3" s="3702" t="s">
        <v>6530</v>
      </c>
      <c r="R3" s="2933"/>
      <c r="S3" s="2933"/>
      <c r="T3" s="2933"/>
      <c r="U3" s="2933"/>
      <c r="V3" s="2933"/>
      <c r="W3" s="2933"/>
      <c r="X3" s="2933"/>
      <c r="Y3" s="2933"/>
      <c r="Z3" s="2933"/>
      <c r="AA3" s="2933"/>
      <c r="AB3" s="2933"/>
    </row>
    <row r="4" spans="1:28" s="2011" customFormat="1" ht="12.75">
      <c r="A4" s="2013"/>
      <c r="B4" s="3704"/>
      <c r="C4" s="3704"/>
      <c r="D4" s="3704"/>
      <c r="E4" s="2013"/>
      <c r="F4" s="2013"/>
      <c r="G4" s="2013"/>
      <c r="H4" s="2013"/>
      <c r="I4" s="2012"/>
      <c r="J4" s="2014"/>
      <c r="K4" s="2013"/>
      <c r="L4" s="2013"/>
      <c r="M4" s="2013"/>
      <c r="N4" s="2013"/>
      <c r="O4" s="2012"/>
      <c r="P4" s="3700"/>
      <c r="Q4" s="3702"/>
      <c r="R4" s="2933"/>
      <c r="S4" s="2933"/>
      <c r="T4" s="2933"/>
      <c r="U4" s="2933"/>
      <c r="V4" s="2933"/>
      <c r="W4" s="2933"/>
      <c r="X4" s="2933"/>
      <c r="Y4" s="2933"/>
      <c r="Z4" s="2933"/>
      <c r="AA4" s="2933"/>
      <c r="AB4" s="2933"/>
    </row>
    <row r="5" spans="1:28" s="2011" customFormat="1" ht="12.75">
      <c r="A5" s="2012"/>
      <c r="B5" s="2012"/>
      <c r="C5" s="2012"/>
      <c r="D5" s="2012"/>
      <c r="E5" s="3705" t="str">
        <f>'Part I-Project Identification'!$A$6</f>
        <v>Sept 2023</v>
      </c>
      <c r="F5" s="3705"/>
      <c r="G5" s="3705"/>
      <c r="H5" s="3705"/>
      <c r="I5" s="3705"/>
      <c r="J5" s="2014"/>
      <c r="K5" s="2013"/>
      <c r="L5" s="2013"/>
      <c r="M5" s="2013"/>
      <c r="N5" s="2013"/>
      <c r="O5" s="2012"/>
      <c r="P5" s="3701"/>
      <c r="Q5" s="3703"/>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9" t="s">
        <v>6771</v>
      </c>
      <c r="B7" s="3709"/>
      <c r="C7" s="3709"/>
      <c r="D7" s="3709"/>
      <c r="E7" s="3709"/>
      <c r="F7" s="3709"/>
      <c r="G7" s="3709"/>
      <c r="H7" s="3709"/>
      <c r="I7" s="3709"/>
      <c r="J7" s="3709"/>
      <c r="K7" s="3709"/>
      <c r="L7" s="3709"/>
      <c r="M7" s="3709"/>
      <c r="N7" s="3709"/>
      <c r="O7" s="3709"/>
      <c r="P7" s="3709"/>
      <c r="Q7" s="3709"/>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710"/>
      <c r="Q9" s="3711"/>
      <c r="R9" s="2934"/>
      <c r="S9" s="2934"/>
      <c r="T9" s="2934"/>
      <c r="U9" s="2934"/>
      <c r="V9" s="2934"/>
      <c r="W9" s="2934"/>
      <c r="X9" s="2934"/>
      <c r="Y9" s="2934"/>
      <c r="Z9" s="2934"/>
      <c r="AA9" s="2934"/>
      <c r="AB9" s="2934"/>
    </row>
    <row r="10" spans="1:28" s="2022" customFormat="1" ht="1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12" t="s">
        <v>1329</v>
      </c>
      <c r="B11" s="3713"/>
      <c r="C11" s="3713"/>
      <c r="D11" s="3713"/>
      <c r="E11" s="3713"/>
      <c r="F11" s="3713"/>
      <c r="G11" s="3713"/>
      <c r="H11" s="3713"/>
      <c r="I11" s="3713"/>
      <c r="J11" s="3713"/>
      <c r="K11" s="3713"/>
      <c r="L11" s="3713"/>
      <c r="M11" s="3713"/>
      <c r="N11" s="3713"/>
      <c r="O11" s="3713"/>
      <c r="P11" s="3713"/>
      <c r="Q11" s="3714"/>
      <c r="R11" s="2934"/>
      <c r="S11" s="2934"/>
      <c r="T11" s="2934"/>
      <c r="U11" s="2934"/>
      <c r="V11" s="2934"/>
      <c r="W11" s="2934"/>
      <c r="X11" s="2934"/>
      <c r="Y11" s="2934"/>
      <c r="Z11" s="2934"/>
      <c r="AA11" s="2934"/>
      <c r="AB11" s="2934"/>
    </row>
    <row r="12" spans="1:28" s="2022" customFormat="1" ht="14.25">
      <c r="A12" s="3706" t="s">
        <v>218</v>
      </c>
      <c r="B12" s="3707"/>
      <c r="C12" s="3707"/>
      <c r="D12" s="3707"/>
      <c r="E12" s="3707"/>
      <c r="F12" s="3707"/>
      <c r="G12" s="3707"/>
      <c r="H12" s="3707"/>
      <c r="I12" s="3707"/>
      <c r="J12" s="3707"/>
      <c r="K12" s="3707"/>
      <c r="L12" s="3707"/>
      <c r="M12" s="3707"/>
      <c r="N12" s="3707"/>
      <c r="O12" s="3707"/>
      <c r="P12" s="3707"/>
      <c r="Q12" s="3708"/>
      <c r="R12" s="2934"/>
      <c r="S12" s="2934"/>
      <c r="T12" s="2934"/>
      <c r="U12" s="2934"/>
      <c r="V12" s="2934"/>
      <c r="W12" s="2934"/>
      <c r="X12" s="2934"/>
      <c r="Y12" s="2934"/>
      <c r="Z12" s="2934"/>
      <c r="AA12" s="2934"/>
      <c r="AB12" s="2934"/>
    </row>
    <row r="13" spans="1:28" s="2022" customFormat="1" ht="14.25">
      <c r="A13" s="3706" t="s">
        <v>1325</v>
      </c>
      <c r="B13" s="3707"/>
      <c r="C13" s="3707"/>
      <c r="D13" s="3707"/>
      <c r="E13" s="3707"/>
      <c r="F13" s="3707"/>
      <c r="G13" s="3707"/>
      <c r="H13" s="3707"/>
      <c r="I13" s="3707"/>
      <c r="J13" s="3707"/>
      <c r="K13" s="3707"/>
      <c r="L13" s="3707"/>
      <c r="M13" s="3707"/>
      <c r="N13" s="3707"/>
      <c r="O13" s="3707"/>
      <c r="P13" s="3707"/>
      <c r="Q13" s="3708"/>
      <c r="R13" s="2934"/>
      <c r="S13" s="2934"/>
      <c r="T13" s="2934"/>
      <c r="U13" s="2934"/>
      <c r="V13" s="2934"/>
      <c r="W13" s="2934"/>
      <c r="X13" s="2934"/>
      <c r="Y13" s="2934"/>
      <c r="Z13" s="2934"/>
      <c r="AA13" s="2934"/>
      <c r="AB13" s="2934"/>
    </row>
    <row r="14" spans="1:28" s="2022" customFormat="1" ht="14.25">
      <c r="A14" s="3706" t="s">
        <v>1326</v>
      </c>
      <c r="B14" s="3707"/>
      <c r="C14" s="3707"/>
      <c r="D14" s="3707"/>
      <c r="E14" s="3707"/>
      <c r="F14" s="3707"/>
      <c r="G14" s="3707"/>
      <c r="H14" s="3707"/>
      <c r="I14" s="3707"/>
      <c r="J14" s="3707"/>
      <c r="K14" s="3707"/>
      <c r="L14" s="3707"/>
      <c r="M14" s="3707"/>
      <c r="N14" s="3707"/>
      <c r="O14" s="3707"/>
      <c r="P14" s="3707"/>
      <c r="Q14" s="3708"/>
      <c r="R14" s="2934"/>
      <c r="S14" s="2934"/>
      <c r="T14" s="2934"/>
      <c r="U14" s="2934"/>
      <c r="V14" s="2934"/>
      <c r="W14" s="2934"/>
      <c r="X14" s="2934"/>
      <c r="Y14" s="2934"/>
      <c r="Z14" s="2934"/>
      <c r="AA14" s="2934"/>
      <c r="AB14" s="2934"/>
    </row>
    <row r="15" spans="1:28" s="2022" customFormat="1" ht="14.25">
      <c r="A15" s="3706" t="s">
        <v>1327</v>
      </c>
      <c r="B15" s="3707"/>
      <c r="C15" s="3707"/>
      <c r="D15" s="3707"/>
      <c r="E15" s="3707"/>
      <c r="F15" s="3707"/>
      <c r="G15" s="3707"/>
      <c r="H15" s="3707"/>
      <c r="I15" s="3707"/>
      <c r="J15" s="3707"/>
      <c r="K15" s="3707"/>
      <c r="L15" s="3707"/>
      <c r="M15" s="3707"/>
      <c r="N15" s="3707"/>
      <c r="O15" s="3707"/>
      <c r="P15" s="3707"/>
      <c r="Q15" s="3708"/>
      <c r="R15" s="2934"/>
      <c r="S15" s="2934"/>
      <c r="T15" s="2934"/>
      <c r="U15" s="2934"/>
      <c r="V15" s="2934"/>
      <c r="W15" s="2934"/>
      <c r="X15" s="2934"/>
      <c r="Y15" s="2934"/>
      <c r="Z15" s="2934"/>
      <c r="AA15" s="2934"/>
      <c r="AB15" s="2934"/>
    </row>
    <row r="16" spans="1:28" s="2022" customFormat="1" ht="14.25">
      <c r="A16" s="3706" t="s">
        <v>1328</v>
      </c>
      <c r="B16" s="3707"/>
      <c r="C16" s="3707"/>
      <c r="D16" s="3707"/>
      <c r="E16" s="3707"/>
      <c r="F16" s="3707"/>
      <c r="G16" s="3707"/>
      <c r="H16" s="3707"/>
      <c r="I16" s="3707"/>
      <c r="J16" s="3707"/>
      <c r="K16" s="3707"/>
      <c r="L16" s="3707"/>
      <c r="M16" s="3707"/>
      <c r="N16" s="3707"/>
      <c r="O16" s="3707"/>
      <c r="P16" s="3707"/>
      <c r="Q16" s="3708"/>
      <c r="R16" s="2934"/>
      <c r="S16" s="2934"/>
      <c r="T16" s="2934"/>
      <c r="U16" s="2934"/>
      <c r="V16" s="2934"/>
      <c r="W16" s="2934"/>
      <c r="X16" s="2934"/>
      <c r="Y16" s="2934"/>
      <c r="Z16" s="2934"/>
      <c r="AA16" s="2934"/>
      <c r="AB16" s="2934"/>
    </row>
    <row r="17" spans="1:28" s="2022" customFormat="1" ht="14.25">
      <c r="A17" s="3706" t="s">
        <v>1330</v>
      </c>
      <c r="B17" s="3707"/>
      <c r="C17" s="3707"/>
      <c r="D17" s="3707"/>
      <c r="E17" s="3707"/>
      <c r="F17" s="3707"/>
      <c r="G17" s="3707"/>
      <c r="H17" s="3707"/>
      <c r="I17" s="3707"/>
      <c r="J17" s="3707"/>
      <c r="K17" s="3707"/>
      <c r="L17" s="3707"/>
      <c r="M17" s="3707"/>
      <c r="N17" s="3707"/>
      <c r="O17" s="3707"/>
      <c r="P17" s="3707"/>
      <c r="Q17" s="3708"/>
      <c r="R17" s="2934"/>
      <c r="S17" s="2934"/>
      <c r="T17" s="2934"/>
      <c r="U17" s="2934"/>
      <c r="V17" s="2934"/>
      <c r="W17" s="2934"/>
      <c r="X17" s="2934"/>
      <c r="Y17" s="2934"/>
      <c r="Z17" s="2934"/>
      <c r="AA17" s="2934"/>
      <c r="AB17" s="2934"/>
    </row>
    <row r="18" spans="1:28" s="2022" customFormat="1" ht="14.25">
      <c r="A18" s="3706" t="s">
        <v>1871</v>
      </c>
      <c r="B18" s="3707"/>
      <c r="C18" s="3707"/>
      <c r="D18" s="3707"/>
      <c r="E18" s="3707"/>
      <c r="F18" s="3707"/>
      <c r="G18" s="3707"/>
      <c r="H18" s="3707"/>
      <c r="I18" s="3707"/>
      <c r="J18" s="3707"/>
      <c r="K18" s="3707"/>
      <c r="L18" s="3707"/>
      <c r="M18" s="3707"/>
      <c r="N18" s="3707"/>
      <c r="O18" s="3707"/>
      <c r="P18" s="3707"/>
      <c r="Q18" s="3708"/>
      <c r="R18" s="2934"/>
      <c r="S18" s="2934"/>
      <c r="T18" s="2934"/>
      <c r="U18" s="2934"/>
      <c r="V18" s="2934"/>
      <c r="W18" s="2934"/>
      <c r="X18" s="2934"/>
      <c r="Y18" s="2934"/>
      <c r="Z18" s="2934"/>
      <c r="AA18" s="2934"/>
      <c r="AB18" s="2934"/>
    </row>
    <row r="19" spans="1:28" s="2022" customFormat="1" ht="14.25">
      <c r="A19" s="3706" t="s">
        <v>1872</v>
      </c>
      <c r="B19" s="3707"/>
      <c r="C19" s="3707"/>
      <c r="D19" s="3707"/>
      <c r="E19" s="3707"/>
      <c r="F19" s="3707"/>
      <c r="G19" s="3707"/>
      <c r="H19" s="3707"/>
      <c r="I19" s="3707"/>
      <c r="J19" s="3707"/>
      <c r="K19" s="3707"/>
      <c r="L19" s="3707"/>
      <c r="M19" s="3707"/>
      <c r="N19" s="3707"/>
      <c r="O19" s="3707"/>
      <c r="P19" s="3707"/>
      <c r="Q19" s="3708"/>
      <c r="R19" s="2934"/>
      <c r="S19" s="2934"/>
      <c r="T19" s="2934"/>
      <c r="U19" s="2934"/>
      <c r="V19" s="2934"/>
      <c r="W19" s="2934"/>
      <c r="X19" s="2934"/>
      <c r="Y19" s="2934"/>
      <c r="Z19" s="2934"/>
      <c r="AA19" s="2934"/>
      <c r="AB19" s="2934"/>
    </row>
    <row r="20" spans="1:28" s="2022" customFormat="1" ht="14.25">
      <c r="A20" s="3706" t="s">
        <v>1873</v>
      </c>
      <c r="B20" s="3707"/>
      <c r="C20" s="3707"/>
      <c r="D20" s="3707"/>
      <c r="E20" s="3707"/>
      <c r="F20" s="3707"/>
      <c r="G20" s="3707"/>
      <c r="H20" s="3707"/>
      <c r="I20" s="3707"/>
      <c r="J20" s="3707"/>
      <c r="K20" s="3707"/>
      <c r="L20" s="3707"/>
      <c r="M20" s="3707"/>
      <c r="N20" s="3707"/>
      <c r="O20" s="3707"/>
      <c r="P20" s="3707"/>
      <c r="Q20" s="3708"/>
      <c r="R20" s="2934"/>
      <c r="S20" s="2934"/>
      <c r="T20" s="2934"/>
      <c r="U20" s="2934"/>
      <c r="V20" s="2934"/>
      <c r="W20" s="2934"/>
      <c r="X20" s="2934"/>
      <c r="Y20" s="2934"/>
      <c r="Z20" s="2934"/>
      <c r="AA20" s="2934"/>
      <c r="AB20" s="2934"/>
    </row>
    <row r="21" spans="1:28" s="2022" customFormat="1" ht="14.25">
      <c r="A21" s="3706" t="s">
        <v>1874</v>
      </c>
      <c r="B21" s="3707"/>
      <c r="C21" s="3707"/>
      <c r="D21" s="3707"/>
      <c r="E21" s="3707"/>
      <c r="F21" s="3707"/>
      <c r="G21" s="3707"/>
      <c r="H21" s="3707"/>
      <c r="I21" s="3707"/>
      <c r="J21" s="3707"/>
      <c r="K21" s="3707"/>
      <c r="L21" s="3707"/>
      <c r="M21" s="3707"/>
      <c r="N21" s="3707"/>
      <c r="O21" s="3707"/>
      <c r="P21" s="3707"/>
      <c r="Q21" s="3708"/>
      <c r="R21" s="2934"/>
      <c r="S21" s="2934"/>
      <c r="T21" s="2934"/>
      <c r="U21" s="2934"/>
      <c r="V21" s="2934"/>
      <c r="W21" s="2934"/>
      <c r="X21" s="2934"/>
      <c r="Y21" s="2934"/>
      <c r="Z21" s="2934"/>
      <c r="AA21" s="2934"/>
      <c r="AB21" s="2934"/>
    </row>
    <row r="22" spans="1:28" s="2022" customFormat="1" ht="14.25">
      <c r="A22" s="3706" t="s">
        <v>1875</v>
      </c>
      <c r="B22" s="3707"/>
      <c r="C22" s="3707"/>
      <c r="D22" s="3707"/>
      <c r="E22" s="3707"/>
      <c r="F22" s="3707"/>
      <c r="G22" s="3707"/>
      <c r="H22" s="3707"/>
      <c r="I22" s="3707"/>
      <c r="J22" s="3707"/>
      <c r="K22" s="3707"/>
      <c r="L22" s="3707"/>
      <c r="M22" s="3707"/>
      <c r="N22" s="3707"/>
      <c r="O22" s="3707"/>
      <c r="P22" s="3707"/>
      <c r="Q22" s="3708"/>
      <c r="R22" s="2934"/>
      <c r="S22" s="2934"/>
      <c r="T22" s="2934"/>
      <c r="U22" s="2934"/>
      <c r="V22" s="2934"/>
      <c r="W22" s="2934"/>
      <c r="X22" s="2934"/>
      <c r="Y22" s="2934"/>
      <c r="Z22" s="2934"/>
      <c r="AA22" s="2934"/>
      <c r="AB22" s="2934"/>
    </row>
    <row r="23" spans="1:28" s="2022" customFormat="1" ht="14.25">
      <c r="A23" s="3706" t="s">
        <v>1876</v>
      </c>
      <c r="B23" s="3707"/>
      <c r="C23" s="3707"/>
      <c r="D23" s="3707"/>
      <c r="E23" s="3707"/>
      <c r="F23" s="3707"/>
      <c r="G23" s="3707"/>
      <c r="H23" s="3707"/>
      <c r="I23" s="3707"/>
      <c r="J23" s="3707"/>
      <c r="K23" s="3707"/>
      <c r="L23" s="3707"/>
      <c r="M23" s="3707"/>
      <c r="N23" s="3707"/>
      <c r="O23" s="3707"/>
      <c r="P23" s="3707"/>
      <c r="Q23" s="3708"/>
      <c r="R23" s="2934"/>
      <c r="S23" s="2934"/>
      <c r="T23" s="2934"/>
      <c r="U23" s="2934"/>
      <c r="V23" s="2934"/>
      <c r="W23" s="2934"/>
      <c r="X23" s="2934"/>
      <c r="Y23" s="2934"/>
      <c r="Z23" s="2934"/>
      <c r="AA23" s="2934"/>
      <c r="AB23" s="2934"/>
    </row>
    <row r="24" spans="1:28" s="2022" customFormat="1" ht="14.25">
      <c r="A24" s="3706" t="s">
        <v>1877</v>
      </c>
      <c r="B24" s="3707"/>
      <c r="C24" s="3707"/>
      <c r="D24" s="3707"/>
      <c r="E24" s="3707"/>
      <c r="F24" s="3707"/>
      <c r="G24" s="3707"/>
      <c r="H24" s="3707"/>
      <c r="I24" s="3707"/>
      <c r="J24" s="3707"/>
      <c r="K24" s="3707"/>
      <c r="L24" s="3707"/>
      <c r="M24" s="3707"/>
      <c r="N24" s="3707"/>
      <c r="O24" s="3707"/>
      <c r="P24" s="3707"/>
      <c r="Q24" s="3708"/>
      <c r="R24" s="2934"/>
      <c r="S24" s="2934"/>
      <c r="T24" s="2934"/>
      <c r="U24" s="2934"/>
      <c r="V24" s="2934"/>
      <c r="W24" s="2934"/>
      <c r="X24" s="2934"/>
      <c r="Y24" s="2934"/>
      <c r="Z24" s="2934"/>
      <c r="AA24" s="2934"/>
      <c r="AB24" s="2934"/>
    </row>
    <row r="25" spans="1:28" s="2022" customFormat="1" ht="14.25">
      <c r="A25" s="3706" t="s">
        <v>1878</v>
      </c>
      <c r="B25" s="3707"/>
      <c r="C25" s="3707"/>
      <c r="D25" s="3707"/>
      <c r="E25" s="3707"/>
      <c r="F25" s="3707"/>
      <c r="G25" s="3707"/>
      <c r="H25" s="3707"/>
      <c r="I25" s="3707"/>
      <c r="J25" s="3707"/>
      <c r="K25" s="3707"/>
      <c r="L25" s="3707"/>
      <c r="M25" s="3707"/>
      <c r="N25" s="3707"/>
      <c r="O25" s="3707"/>
      <c r="P25" s="3707"/>
      <c r="Q25" s="3708"/>
      <c r="R25" s="2934"/>
      <c r="S25" s="2934"/>
      <c r="T25" s="2934"/>
      <c r="U25" s="2934"/>
      <c r="V25" s="2934"/>
      <c r="W25" s="2934"/>
      <c r="X25" s="2934"/>
      <c r="Y25" s="2934"/>
      <c r="Z25" s="2934"/>
      <c r="AA25" s="2934"/>
      <c r="AB25" s="2934"/>
    </row>
    <row r="26" spans="1:28" s="2022" customFormat="1" ht="14.25">
      <c r="A26" s="3706" t="s">
        <v>1879</v>
      </c>
      <c r="B26" s="3707"/>
      <c r="C26" s="3707"/>
      <c r="D26" s="3707"/>
      <c r="E26" s="3707"/>
      <c r="F26" s="3707"/>
      <c r="G26" s="3707"/>
      <c r="H26" s="3707"/>
      <c r="I26" s="3707"/>
      <c r="J26" s="3707"/>
      <c r="K26" s="3707"/>
      <c r="L26" s="3707"/>
      <c r="M26" s="3707"/>
      <c r="N26" s="3707"/>
      <c r="O26" s="3707"/>
      <c r="P26" s="3707"/>
      <c r="Q26" s="3708"/>
      <c r="R26" s="2934"/>
      <c r="S26" s="2934"/>
      <c r="T26" s="2934"/>
      <c r="U26" s="2934"/>
      <c r="V26" s="2934"/>
      <c r="W26" s="2934"/>
      <c r="X26" s="2934"/>
      <c r="Y26" s="2934"/>
      <c r="Z26" s="2934"/>
      <c r="AA26" s="2934"/>
      <c r="AB26" s="2934"/>
    </row>
    <row r="27" spans="1:28" s="2022" customFormat="1" ht="14.25">
      <c r="A27" s="3706" t="s">
        <v>1880</v>
      </c>
      <c r="B27" s="3707"/>
      <c r="C27" s="3707"/>
      <c r="D27" s="3707"/>
      <c r="E27" s="3707"/>
      <c r="F27" s="3707"/>
      <c r="G27" s="3707"/>
      <c r="H27" s="3707"/>
      <c r="I27" s="3707"/>
      <c r="J27" s="3707"/>
      <c r="K27" s="3707"/>
      <c r="L27" s="3707"/>
      <c r="M27" s="3707"/>
      <c r="N27" s="3707"/>
      <c r="O27" s="3707"/>
      <c r="P27" s="3707"/>
      <c r="Q27" s="3708"/>
      <c r="R27" s="2934"/>
      <c r="S27" s="2934"/>
      <c r="T27" s="2934"/>
      <c r="U27" s="2934"/>
      <c r="V27" s="2934"/>
      <c r="W27" s="2934"/>
      <c r="X27" s="2934"/>
      <c r="Y27" s="2934"/>
      <c r="Z27" s="2934"/>
      <c r="AA27" s="2934"/>
      <c r="AB27" s="2934"/>
    </row>
    <row r="28" spans="1:28" s="2022" customFormat="1" ht="14.25">
      <c r="A28" s="3715" t="s">
        <v>1881</v>
      </c>
      <c r="B28" s="3716"/>
      <c r="C28" s="3716"/>
      <c r="D28" s="3716"/>
      <c r="E28" s="3716"/>
      <c r="F28" s="3716"/>
      <c r="G28" s="3716"/>
      <c r="H28" s="3716"/>
      <c r="I28" s="3716"/>
      <c r="J28" s="3716"/>
      <c r="K28" s="3716"/>
      <c r="L28" s="3716"/>
      <c r="M28" s="3716"/>
      <c r="N28" s="3716"/>
      <c r="O28" s="3716"/>
      <c r="P28" s="3716"/>
      <c r="Q28" s="3717"/>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1730</v>
      </c>
      <c r="P31" s="3718"/>
      <c r="Q31" s="3719"/>
    </row>
    <row r="32" spans="1:28" ht="20.25" customHeight="1">
      <c r="B32" s="2034" t="s">
        <v>6773</v>
      </c>
      <c r="C32" s="2034"/>
      <c r="D32" s="2034"/>
      <c r="E32" s="2034"/>
      <c r="F32" s="2034"/>
      <c r="G32" s="2031"/>
      <c r="H32" s="2031"/>
      <c r="I32" s="2031"/>
      <c r="J32" s="2031"/>
      <c r="K32" s="2026"/>
      <c r="L32" s="2026"/>
      <c r="M32" s="2026"/>
      <c r="N32" s="2026"/>
      <c r="O32" s="2026"/>
      <c r="P32" s="2026"/>
    </row>
    <row r="33" spans="1:28" ht="76.5" customHeight="1">
      <c r="A33" s="3720" t="s">
        <v>7124</v>
      </c>
      <c r="B33" s="3720"/>
      <c r="C33" s="3720"/>
      <c r="D33" s="3720"/>
      <c r="E33" s="3720"/>
      <c r="F33" s="3720"/>
      <c r="G33" s="3720"/>
      <c r="H33" s="3720"/>
      <c r="I33" s="3720"/>
      <c r="J33" s="3720"/>
      <c r="K33" s="3720"/>
      <c r="L33" s="3720"/>
      <c r="M33" s="3720"/>
      <c r="N33" s="3720"/>
      <c r="O33" s="3720"/>
      <c r="P33" s="3720"/>
      <c r="Q33" s="3721"/>
    </row>
    <row r="34" spans="1:28" ht="20.25" customHeight="1">
      <c r="B34" s="2034" t="s">
        <v>1729</v>
      </c>
      <c r="C34" s="2035"/>
      <c r="D34" s="2036"/>
      <c r="E34" s="2036"/>
      <c r="F34" s="2036"/>
      <c r="G34" s="2036"/>
      <c r="H34" s="2036"/>
      <c r="I34" s="2036"/>
      <c r="J34" s="2036"/>
      <c r="K34" s="2036"/>
      <c r="L34" s="2036"/>
      <c r="M34" s="2036"/>
      <c r="N34" s="2036"/>
      <c r="O34" s="2036"/>
      <c r="P34" s="2036"/>
    </row>
    <row r="35" spans="1:28" ht="20.25" customHeight="1">
      <c r="A35" s="3722"/>
      <c r="B35" s="3722"/>
      <c r="C35" s="3722"/>
      <c r="D35" s="3722"/>
      <c r="E35" s="3722"/>
      <c r="F35" s="3722"/>
      <c r="G35" s="3722"/>
      <c r="H35" s="3722"/>
      <c r="I35" s="3722"/>
      <c r="J35" s="3722"/>
      <c r="K35" s="3722"/>
      <c r="L35" s="3722"/>
      <c r="M35" s="3722"/>
      <c r="N35" s="3722"/>
      <c r="O35" s="3722"/>
      <c r="P35" s="3722"/>
      <c r="Q35" s="372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1730</v>
      </c>
      <c r="P38" s="3723"/>
      <c r="Q38" s="3724"/>
    </row>
    <row r="39" spans="1:28" ht="20.25" customHeight="1">
      <c r="A39" s="2042"/>
      <c r="B39" s="3736" t="s">
        <v>6774</v>
      </c>
      <c r="C39" s="3736"/>
      <c r="D39" s="3736"/>
      <c r="E39" s="3736"/>
      <c r="F39" s="3736"/>
      <c r="G39" s="3736"/>
      <c r="H39" s="3736"/>
      <c r="I39" s="3736"/>
      <c r="J39" s="3736"/>
      <c r="K39" s="3736"/>
      <c r="L39" s="3736"/>
      <c r="M39" s="3736"/>
      <c r="N39" s="3736"/>
      <c r="O39" s="3736"/>
      <c r="P39" s="3737" t="s">
        <v>2649</v>
      </c>
      <c r="Q39" s="3738"/>
    </row>
    <row r="40" spans="1:28" ht="20.25" customHeight="1">
      <c r="B40" s="2045" t="s">
        <v>3240</v>
      </c>
      <c r="D40" s="2045"/>
      <c r="E40" s="2045"/>
      <c r="F40" s="2045"/>
      <c r="G40" s="2045"/>
      <c r="H40" s="2043"/>
      <c r="I40" s="2031"/>
      <c r="J40" s="2031"/>
    </row>
    <row r="41" spans="1:28" ht="20.25" customHeight="1">
      <c r="A41" s="3739" t="s">
        <v>7077</v>
      </c>
      <c r="B41" s="3740"/>
      <c r="C41" s="3740"/>
      <c r="D41" s="3740"/>
      <c r="E41" s="3740"/>
      <c r="F41" s="3740"/>
      <c r="G41" s="3740"/>
      <c r="H41" s="3740"/>
      <c r="I41" s="3740"/>
      <c r="J41" s="3740"/>
      <c r="K41" s="3740"/>
      <c r="L41" s="3740"/>
      <c r="M41" s="3740"/>
      <c r="N41" s="3740"/>
      <c r="O41" s="3740"/>
      <c r="P41" s="3740"/>
      <c r="Q41" s="3741"/>
    </row>
    <row r="42" spans="1:28" ht="20.25" customHeight="1">
      <c r="A42" s="2026"/>
      <c r="B42" s="2034" t="s">
        <v>1729</v>
      </c>
      <c r="C42" s="2026"/>
      <c r="D42" s="2026"/>
      <c r="E42" s="2026"/>
      <c r="F42" s="2026"/>
      <c r="G42" s="2026"/>
      <c r="H42" s="2026"/>
      <c r="I42" s="2036"/>
      <c r="J42" s="2036"/>
      <c r="K42" s="2036"/>
      <c r="L42" s="2036"/>
      <c r="M42" s="2036"/>
      <c r="N42" s="2036"/>
      <c r="O42" s="2036"/>
      <c r="P42" s="2036"/>
      <c r="Q42" s="2026"/>
    </row>
    <row r="43" spans="1:28" ht="20.25" customHeight="1">
      <c r="A43" s="3722"/>
      <c r="B43" s="3722"/>
      <c r="C43" s="3722"/>
      <c r="D43" s="3722"/>
      <c r="E43" s="3722"/>
      <c r="F43" s="3722"/>
      <c r="G43" s="3722"/>
      <c r="H43" s="3722"/>
      <c r="I43" s="3722"/>
      <c r="J43" s="3722"/>
      <c r="K43" s="3722"/>
      <c r="L43" s="3722"/>
      <c r="M43" s="3722"/>
      <c r="N43" s="3722"/>
      <c r="O43" s="3722"/>
      <c r="P43" s="3722"/>
      <c r="Q43" s="372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1730</v>
      </c>
      <c r="P46" s="3723"/>
      <c r="Q46" s="3727"/>
    </row>
    <row r="47" spans="1:28" ht="20.25" customHeight="1">
      <c r="A47" s="2053"/>
      <c r="B47" s="2043" t="s">
        <v>6775</v>
      </c>
      <c r="C47" s="2042"/>
      <c r="D47" s="2036"/>
      <c r="E47" s="2036"/>
      <c r="F47" s="2036"/>
      <c r="G47" s="2036"/>
      <c r="H47" s="2036"/>
      <c r="I47" s="2036"/>
      <c r="J47" s="2036"/>
      <c r="L47" s="2051"/>
      <c r="M47" s="2052"/>
      <c r="O47" s="2032"/>
      <c r="P47" s="3737" t="s">
        <v>2649</v>
      </c>
      <c r="Q47" s="3738"/>
    </row>
    <row r="48" spans="1:28" ht="20.25" customHeight="1">
      <c r="B48" s="2045" t="s">
        <v>3240</v>
      </c>
      <c r="D48" s="2045"/>
      <c r="E48" s="2045"/>
      <c r="F48" s="2045"/>
      <c r="G48" s="2045"/>
      <c r="H48" s="2043"/>
      <c r="I48" s="2031"/>
      <c r="J48" s="2031"/>
      <c r="K48" s="2034" t="s">
        <v>1729</v>
      </c>
      <c r="L48" s="2026"/>
      <c r="M48" s="2026"/>
      <c r="N48" s="2026"/>
      <c r="O48" s="2026"/>
      <c r="P48" s="2026"/>
      <c r="Q48" s="2026"/>
    </row>
    <row r="49" spans="1:28" ht="37.5" customHeight="1">
      <c r="A49" s="3720" t="s">
        <v>7078</v>
      </c>
      <c r="B49" s="3720"/>
      <c r="C49" s="3720"/>
      <c r="D49" s="3720"/>
      <c r="E49" s="3720"/>
      <c r="F49" s="3720"/>
      <c r="G49" s="3720"/>
      <c r="H49" s="3720"/>
      <c r="I49" s="3720"/>
      <c r="J49" s="3720"/>
      <c r="K49" s="3725"/>
      <c r="L49" s="3725"/>
      <c r="M49" s="3725"/>
      <c r="N49" s="3725"/>
      <c r="O49" s="3725"/>
      <c r="P49" s="3725"/>
      <c r="Q49" s="372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1730</v>
      </c>
      <c r="P52" s="3723"/>
      <c r="Q52" s="3727"/>
    </row>
    <row r="53" spans="1:28" ht="33" customHeight="1">
      <c r="A53" s="2053"/>
      <c r="B53" s="3728" t="s">
        <v>2263</v>
      </c>
      <c r="C53" s="3728"/>
      <c r="D53" s="3728"/>
      <c r="E53" s="3728"/>
      <c r="F53" s="3728"/>
      <c r="G53" s="3728"/>
      <c r="H53" s="3729"/>
      <c r="I53" s="3730" t="s">
        <v>7079</v>
      </c>
      <c r="J53" s="3731"/>
      <c r="K53" s="3731"/>
      <c r="L53" s="3731"/>
      <c r="M53" s="3731"/>
      <c r="N53" s="3731"/>
      <c r="O53" s="3731"/>
      <c r="P53" s="3731"/>
      <c r="Q53" s="3732"/>
    </row>
    <row r="54" spans="1:28" ht="20.25" customHeight="1">
      <c r="A54" s="2053"/>
      <c r="B54" s="2030" t="s">
        <v>6776</v>
      </c>
      <c r="D54" s="2056"/>
      <c r="E54" s="2056"/>
      <c r="F54" s="2056"/>
      <c r="I54" s="3733">
        <v>95.3</v>
      </c>
      <c r="J54" s="3734"/>
      <c r="K54" s="3735"/>
      <c r="L54" s="2044"/>
      <c r="M54" s="2057"/>
      <c r="N54" s="2057"/>
      <c r="O54" s="2057"/>
      <c r="P54" s="2057"/>
      <c r="Q54" s="2026"/>
    </row>
    <row r="55" spans="1:28" ht="20.25" customHeight="1">
      <c r="A55" s="2053"/>
      <c r="B55" s="2030" t="s">
        <v>6777</v>
      </c>
      <c r="D55" s="2056"/>
      <c r="E55" s="2056"/>
      <c r="F55" s="2056"/>
      <c r="H55" s="2044" t="s">
        <v>6778</v>
      </c>
      <c r="I55" s="3754">
        <v>3.1E-2</v>
      </c>
      <c r="J55" s="3734"/>
      <c r="K55" s="3735"/>
      <c r="L55" s="2058"/>
      <c r="M55" s="2059" t="s">
        <v>6779</v>
      </c>
      <c r="N55" s="3733" t="s">
        <v>906</v>
      </c>
      <c r="O55" s="3735"/>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0.25" customHeight="1">
      <c r="A57" s="3720" t="s">
        <v>7122</v>
      </c>
      <c r="B57" s="3720"/>
      <c r="C57" s="3720"/>
      <c r="D57" s="3720"/>
      <c r="E57" s="3720"/>
      <c r="F57" s="3720"/>
      <c r="G57" s="3720"/>
      <c r="H57" s="3720"/>
      <c r="I57" s="3720"/>
      <c r="J57" s="3720"/>
      <c r="K57" s="3720"/>
      <c r="L57" s="3720"/>
      <c r="M57" s="3720"/>
      <c r="N57" s="3720"/>
      <c r="O57" s="3720"/>
      <c r="P57" s="3720"/>
      <c r="Q57" s="3721"/>
    </row>
    <row r="58" spans="1:28" ht="20.25" customHeight="1">
      <c r="B58" s="2034" t="s">
        <v>1729</v>
      </c>
      <c r="C58" s="2035"/>
      <c r="D58" s="2036"/>
      <c r="E58" s="2036"/>
      <c r="F58" s="2036"/>
      <c r="G58" s="2036"/>
      <c r="H58" s="2036"/>
      <c r="I58" s="2036"/>
      <c r="J58" s="2036"/>
      <c r="K58" s="2036"/>
      <c r="L58" s="2036"/>
      <c r="M58" s="2036"/>
      <c r="N58" s="2036"/>
      <c r="O58" s="2036"/>
      <c r="P58" s="2036"/>
      <c r="Q58" s="2036"/>
    </row>
    <row r="59" spans="1:28" ht="20.25" customHeight="1">
      <c r="A59" s="3725"/>
      <c r="B59" s="3725"/>
      <c r="C59" s="3725"/>
      <c r="D59" s="3725"/>
      <c r="E59" s="3725"/>
      <c r="F59" s="3725"/>
      <c r="G59" s="3725"/>
      <c r="H59" s="3725"/>
      <c r="I59" s="3725"/>
      <c r="J59" s="3725"/>
      <c r="K59" s="3725"/>
      <c r="L59" s="3725"/>
      <c r="M59" s="3725"/>
      <c r="N59" s="3725"/>
      <c r="O59" s="3725"/>
      <c r="P59" s="3725"/>
      <c r="Q59" s="372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1730</v>
      </c>
      <c r="P62" s="3751"/>
      <c r="Q62" s="3752"/>
    </row>
    <row r="63" spans="1:28" ht="20.25" customHeight="1">
      <c r="A63" s="2053"/>
      <c r="B63" s="2030" t="s">
        <v>6780</v>
      </c>
      <c r="I63" s="2062"/>
      <c r="J63" s="3733" t="s">
        <v>7080</v>
      </c>
      <c r="K63" s="3733"/>
      <c r="L63" s="3733"/>
      <c r="M63" s="3733"/>
      <c r="N63" s="3733"/>
      <c r="O63" s="3733"/>
      <c r="P63" s="3733"/>
      <c r="Q63" s="3753"/>
    </row>
    <row r="64" spans="1:28" ht="20.25" customHeight="1">
      <c r="A64" s="2053"/>
      <c r="B64" s="2030" t="s">
        <v>3947</v>
      </c>
      <c r="O64" s="2044"/>
      <c r="P64" s="2065" t="s">
        <v>2649</v>
      </c>
      <c r="Q64" s="2066"/>
    </row>
    <row r="65" spans="1:28" ht="33" customHeight="1">
      <c r="B65" s="2042"/>
      <c r="C65" s="3728" t="s">
        <v>6781</v>
      </c>
      <c r="D65" s="3728"/>
      <c r="E65" s="3728"/>
      <c r="F65" s="3728"/>
      <c r="G65" s="3728"/>
      <c r="H65" s="3728"/>
      <c r="I65" s="3728"/>
      <c r="J65" s="3728"/>
      <c r="K65" s="3728"/>
      <c r="L65" s="3728"/>
      <c r="M65" s="3728"/>
      <c r="N65" s="3728"/>
      <c r="O65" s="3728"/>
      <c r="P65" s="2065" t="s">
        <v>7072</v>
      </c>
      <c r="Q65" s="2066"/>
    </row>
    <row r="66" spans="1:28" ht="33" customHeight="1">
      <c r="A66" s="2053"/>
      <c r="B66" s="2042"/>
      <c r="C66" s="3728" t="s">
        <v>6782</v>
      </c>
      <c r="D66" s="3728"/>
      <c r="E66" s="3728"/>
      <c r="F66" s="3728"/>
      <c r="G66" s="3728"/>
      <c r="H66" s="3728"/>
      <c r="I66" s="3728"/>
      <c r="J66" s="3728"/>
      <c r="K66" s="3728"/>
      <c r="L66" s="3728"/>
      <c r="M66" s="3728"/>
      <c r="N66" s="3728"/>
      <c r="O66" s="3728"/>
      <c r="P66" s="2067" t="s">
        <v>2649</v>
      </c>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45.75" customHeight="1">
      <c r="A68" s="3739" t="s">
        <v>7081</v>
      </c>
      <c r="B68" s="3742"/>
      <c r="C68" s="3742"/>
      <c r="D68" s="3742"/>
      <c r="E68" s="3742"/>
      <c r="F68" s="3742"/>
      <c r="G68" s="3742"/>
      <c r="H68" s="3742"/>
      <c r="I68" s="3742"/>
      <c r="J68" s="3742"/>
      <c r="K68" s="3742"/>
      <c r="L68" s="3742"/>
      <c r="M68" s="3742"/>
      <c r="N68" s="3742"/>
      <c r="O68" s="3742"/>
      <c r="P68" s="3742"/>
      <c r="Q68" s="3743"/>
    </row>
    <row r="69" spans="1:28" ht="20.25" customHeight="1">
      <c r="B69" s="2034" t="s">
        <v>1729</v>
      </c>
      <c r="C69" s="2035"/>
      <c r="D69" s="2036"/>
      <c r="E69" s="2036"/>
      <c r="F69" s="2036"/>
      <c r="G69" s="2036"/>
      <c r="H69" s="2036"/>
      <c r="I69" s="2036"/>
      <c r="J69" s="2036"/>
      <c r="K69" s="2036"/>
      <c r="L69" s="2036"/>
      <c r="M69" s="2036"/>
      <c r="N69" s="2036"/>
      <c r="O69" s="2036"/>
      <c r="P69" s="2036"/>
      <c r="Q69" s="2036"/>
    </row>
    <row r="70" spans="1:28" ht="20.25" customHeight="1">
      <c r="A70" s="3744"/>
      <c r="B70" s="3745"/>
      <c r="C70" s="3745"/>
      <c r="D70" s="3745"/>
      <c r="E70" s="3745"/>
      <c r="F70" s="3745"/>
      <c r="G70" s="3745"/>
      <c r="H70" s="3745"/>
      <c r="I70" s="3745"/>
      <c r="J70" s="3745"/>
      <c r="K70" s="3745"/>
      <c r="L70" s="3745"/>
      <c r="M70" s="3745"/>
      <c r="N70" s="3745"/>
      <c r="O70" s="3745"/>
      <c r="P70" s="3745"/>
      <c r="Q70" s="374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1730</v>
      </c>
      <c r="P73" s="3723"/>
      <c r="Q73" s="3727"/>
    </row>
    <row r="74" spans="1:28" ht="32.25" customHeight="1">
      <c r="A74" s="2053"/>
      <c r="B74" s="3728" t="s">
        <v>6783</v>
      </c>
      <c r="C74" s="3728"/>
      <c r="D74" s="3728"/>
      <c r="E74" s="3728"/>
      <c r="F74" s="3728"/>
      <c r="G74" s="3728"/>
      <c r="H74" s="3728"/>
      <c r="I74" s="3728"/>
      <c r="J74" s="3728"/>
      <c r="K74" s="3729"/>
      <c r="L74" s="3747" t="s">
        <v>7125</v>
      </c>
      <c r="M74" s="3748"/>
      <c r="N74" s="3748"/>
      <c r="O74" s="3748"/>
      <c r="P74" s="3749"/>
      <c r="Q74" s="3750"/>
    </row>
    <row r="75" spans="1:28" ht="20.25" customHeight="1">
      <c r="B75" s="2030" t="s">
        <v>6784</v>
      </c>
      <c r="C75" s="2033"/>
      <c r="O75" s="2044"/>
      <c r="P75" s="2070" t="s">
        <v>2652</v>
      </c>
      <c r="Q75" s="2061"/>
    </row>
    <row r="76" spans="1:28" ht="20.25" customHeight="1">
      <c r="A76" s="2053"/>
      <c r="B76" s="2030" t="s">
        <v>6630</v>
      </c>
      <c r="D76" s="2056"/>
      <c r="E76" s="2056"/>
      <c r="F76" s="2056"/>
      <c r="G76" s="2056"/>
      <c r="H76" s="2056"/>
      <c r="K76" s="2056"/>
      <c r="L76" s="2036"/>
      <c r="O76" s="2044"/>
      <c r="P76" s="2067" t="s">
        <v>2649</v>
      </c>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t="s">
        <v>2652</v>
      </c>
      <c r="Q78" s="2061"/>
    </row>
    <row r="79" spans="1:28" ht="20.25" customHeight="1">
      <c r="A79" s="2053"/>
      <c r="B79" s="2042"/>
      <c r="C79" s="2030" t="s">
        <v>6787</v>
      </c>
      <c r="E79" s="2056"/>
      <c r="F79" s="2056"/>
      <c r="G79" s="2056"/>
      <c r="K79" s="2056"/>
      <c r="L79" s="2036"/>
      <c r="M79" s="2036"/>
      <c r="O79" s="2044"/>
      <c r="P79" s="2063" t="s">
        <v>2652</v>
      </c>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t="s">
        <v>2652</v>
      </c>
      <c r="Q81" s="2068"/>
    </row>
    <row r="82" spans="1:28" ht="32.25" customHeight="1">
      <c r="A82" s="2053"/>
      <c r="B82" s="3756" t="s">
        <v>6790</v>
      </c>
      <c r="C82" s="3756"/>
      <c r="D82" s="3756"/>
      <c r="E82" s="3756"/>
      <c r="F82" s="3756"/>
      <c r="G82" s="3756"/>
      <c r="H82" s="3756"/>
      <c r="I82" s="3756"/>
      <c r="J82" s="3756"/>
      <c r="K82" s="3756"/>
      <c r="L82" s="3756"/>
      <c r="M82" s="3756"/>
      <c r="N82" s="3756"/>
      <c r="O82" s="3756"/>
      <c r="P82" s="3756"/>
      <c r="Q82" s="3756"/>
    </row>
    <row r="83" spans="1:28" ht="20.25" customHeight="1">
      <c r="B83" s="3733" t="s">
        <v>7126</v>
      </c>
      <c r="C83" s="3733"/>
      <c r="D83" s="3733"/>
      <c r="E83" s="3733"/>
      <c r="F83" s="3733"/>
      <c r="G83" s="3733"/>
      <c r="H83" s="3733"/>
      <c r="I83" s="3733"/>
      <c r="J83" s="3733"/>
      <c r="K83" s="3733"/>
      <c r="L83" s="3733"/>
      <c r="M83" s="3733"/>
      <c r="N83" s="3733"/>
      <c r="O83" s="3733"/>
      <c r="P83" s="3733"/>
      <c r="Q83" s="3753"/>
    </row>
    <row r="84" spans="1:28" ht="20.25" customHeight="1">
      <c r="B84" s="2060" t="s">
        <v>3240</v>
      </c>
      <c r="D84" s="2060"/>
      <c r="E84" s="2060"/>
      <c r="F84" s="2060"/>
      <c r="G84" s="2060"/>
      <c r="H84" s="2043"/>
      <c r="I84" s="2031"/>
      <c r="J84" s="2031"/>
      <c r="K84" s="2031"/>
      <c r="L84" s="2026"/>
      <c r="M84" s="2026"/>
      <c r="N84" s="2026"/>
      <c r="O84" s="2026"/>
      <c r="P84" s="2026"/>
      <c r="Q84" s="2026"/>
    </row>
    <row r="85" spans="1:28" ht="47.25" customHeight="1">
      <c r="A85" s="3720" t="s">
        <v>7127</v>
      </c>
      <c r="B85" s="3720"/>
      <c r="C85" s="3720"/>
      <c r="D85" s="3720"/>
      <c r="E85" s="3720"/>
      <c r="F85" s="3720"/>
      <c r="G85" s="3720"/>
      <c r="H85" s="3720"/>
      <c r="I85" s="3720"/>
      <c r="J85" s="3720"/>
      <c r="K85" s="3720"/>
      <c r="L85" s="3720"/>
      <c r="M85" s="3720"/>
      <c r="N85" s="3720"/>
      <c r="O85" s="3720"/>
      <c r="P85" s="3720"/>
      <c r="Q85" s="3721"/>
    </row>
    <row r="86" spans="1:28" ht="20.25" customHeight="1">
      <c r="B86" s="2034" t="s">
        <v>1729</v>
      </c>
      <c r="C86" s="2035"/>
      <c r="D86" s="2036"/>
      <c r="E86" s="2036"/>
      <c r="F86" s="2036"/>
      <c r="G86" s="2036"/>
      <c r="H86" s="2036"/>
      <c r="I86" s="2036"/>
      <c r="J86" s="2036"/>
      <c r="K86" s="2036"/>
      <c r="L86" s="2036"/>
      <c r="M86" s="2036"/>
      <c r="N86" s="2036"/>
      <c r="O86" s="2036"/>
      <c r="P86" s="2036"/>
      <c r="Q86" s="2036"/>
    </row>
    <row r="87" spans="1:28" ht="20.25" customHeight="1">
      <c r="A87" s="3725"/>
      <c r="B87" s="3725"/>
      <c r="C87" s="3725"/>
      <c r="D87" s="3725"/>
      <c r="E87" s="3725"/>
      <c r="F87" s="3725"/>
      <c r="G87" s="3725"/>
      <c r="H87" s="3725"/>
      <c r="I87" s="3725"/>
      <c r="J87" s="3725"/>
      <c r="K87" s="3725"/>
      <c r="L87" s="3725"/>
      <c r="M87" s="3725"/>
      <c r="N87" s="3725"/>
      <c r="O87" s="3725"/>
      <c r="P87" s="3725"/>
      <c r="Q87" s="372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1730</v>
      </c>
      <c r="P90" s="3723"/>
      <c r="Q90" s="3727"/>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57" t="s">
        <v>6840</v>
      </c>
      <c r="M91" s="3758"/>
      <c r="N91" s="3759"/>
      <c r="O91" s="3723" t="s">
        <v>1646</v>
      </c>
      <c r="P91" s="3760"/>
      <c r="Q91" s="3761"/>
    </row>
    <row r="92" spans="1:28" ht="20.25" customHeight="1">
      <c r="A92" s="2053"/>
      <c r="B92" s="2030" t="s">
        <v>636</v>
      </c>
      <c r="G92" s="3733" t="s">
        <v>7082</v>
      </c>
      <c r="H92" s="3733"/>
      <c r="I92" s="3733"/>
      <c r="J92" s="3733"/>
      <c r="K92" s="3733"/>
      <c r="L92" s="3733"/>
      <c r="M92" s="3733"/>
      <c r="N92" s="3733"/>
      <c r="O92" s="3733"/>
      <c r="P92" s="3733"/>
      <c r="Q92" s="3753"/>
    </row>
    <row r="93" spans="1:28" ht="20.25" customHeight="1">
      <c r="B93" s="2060" t="s">
        <v>3240</v>
      </c>
      <c r="D93" s="2060"/>
      <c r="E93" s="2060"/>
      <c r="F93" s="2060"/>
      <c r="G93" s="2060"/>
      <c r="H93" s="2043"/>
      <c r="I93" s="2031"/>
      <c r="J93" s="2031"/>
      <c r="K93" s="2031"/>
      <c r="L93" s="2026"/>
      <c r="M93" s="2026"/>
      <c r="N93" s="2026"/>
      <c r="O93" s="2026"/>
      <c r="P93" s="2026"/>
      <c r="Q93" s="2026"/>
    </row>
    <row r="94" spans="1:28" ht="39.75" customHeight="1">
      <c r="A94" s="3720" t="s">
        <v>7083</v>
      </c>
      <c r="B94" s="3720"/>
      <c r="C94" s="3720"/>
      <c r="D94" s="3720"/>
      <c r="E94" s="3720"/>
      <c r="F94" s="3720"/>
      <c r="G94" s="3720"/>
      <c r="H94" s="3720"/>
      <c r="I94" s="3720"/>
      <c r="J94" s="3720"/>
      <c r="K94" s="3720"/>
      <c r="L94" s="3720"/>
      <c r="M94" s="3720"/>
      <c r="N94" s="3720"/>
      <c r="O94" s="3720"/>
      <c r="P94" s="3720"/>
      <c r="Q94" s="3755"/>
    </row>
    <row r="95" spans="1:28" ht="20.25" customHeight="1">
      <c r="B95" s="2034" t="s">
        <v>1729</v>
      </c>
      <c r="C95" s="2035"/>
      <c r="D95" s="2036"/>
      <c r="E95" s="2036"/>
      <c r="F95" s="2036"/>
      <c r="G95" s="2036"/>
      <c r="H95" s="2036"/>
      <c r="I95" s="2036"/>
      <c r="J95" s="2036"/>
      <c r="K95" s="2036"/>
      <c r="L95" s="2036"/>
      <c r="M95" s="2036"/>
      <c r="N95" s="2036"/>
      <c r="O95" s="2036"/>
      <c r="P95" s="2036"/>
      <c r="Q95" s="2036"/>
    </row>
    <row r="96" spans="1:28" ht="20.25" customHeight="1">
      <c r="A96" s="3725"/>
      <c r="B96" s="3725"/>
      <c r="C96" s="3725"/>
      <c r="D96" s="3725"/>
      <c r="E96" s="3725"/>
      <c r="F96" s="3725"/>
      <c r="G96" s="3725"/>
      <c r="H96" s="3725"/>
      <c r="I96" s="3725"/>
      <c r="J96" s="3725"/>
      <c r="K96" s="3725"/>
      <c r="L96" s="3725"/>
      <c r="M96" s="3725"/>
      <c r="N96" s="3725"/>
      <c r="O96" s="3725"/>
      <c r="P96" s="3725"/>
      <c r="Q96" s="372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1730</v>
      </c>
      <c r="P99" s="3723"/>
      <c r="Q99" s="3727"/>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20" t="s">
        <v>7120</v>
      </c>
      <c r="B101" s="3720"/>
      <c r="C101" s="3720"/>
      <c r="D101" s="3720"/>
      <c r="E101" s="3720"/>
      <c r="F101" s="3720"/>
      <c r="G101" s="3720"/>
      <c r="H101" s="3720"/>
      <c r="I101" s="3720"/>
      <c r="J101" s="3720"/>
      <c r="K101" s="3720"/>
      <c r="L101" s="3720"/>
      <c r="M101" s="3720"/>
      <c r="N101" s="3720"/>
      <c r="O101" s="3720"/>
      <c r="P101" s="3720"/>
      <c r="Q101" s="3755"/>
    </row>
    <row r="102" spans="1:28" ht="20.25" customHeight="1">
      <c r="B102" s="2034" t="s">
        <v>1729</v>
      </c>
      <c r="C102" s="2035"/>
      <c r="D102" s="2036"/>
      <c r="E102" s="2036"/>
      <c r="F102" s="2036"/>
      <c r="G102" s="2036"/>
      <c r="H102" s="2036"/>
      <c r="I102" s="2036"/>
      <c r="J102" s="2036"/>
      <c r="K102" s="2036"/>
      <c r="L102" s="2036"/>
      <c r="M102" s="2036"/>
      <c r="N102" s="2036"/>
      <c r="O102" s="2036"/>
      <c r="P102" s="2036"/>
      <c r="Q102" s="2036"/>
    </row>
    <row r="103" spans="1:28" ht="20.25" customHeight="1">
      <c r="A103" s="3725"/>
      <c r="B103" s="3725"/>
      <c r="C103" s="3725"/>
      <c r="D103" s="3725"/>
      <c r="E103" s="3725"/>
      <c r="F103" s="3725"/>
      <c r="G103" s="3725"/>
      <c r="H103" s="3725"/>
      <c r="I103" s="3725"/>
      <c r="J103" s="3725"/>
      <c r="K103" s="3725"/>
      <c r="L103" s="3725"/>
      <c r="M103" s="3725"/>
      <c r="N103" s="3725"/>
      <c r="O103" s="3725"/>
      <c r="P103" s="3725"/>
      <c r="Q103" s="372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2" t="s">
        <v>2426</v>
      </c>
      <c r="C106" s="3762"/>
      <c r="D106" s="3762"/>
      <c r="N106" s="2069"/>
      <c r="O106" s="2032" t="s">
        <v>1730</v>
      </c>
      <c r="P106" s="3723"/>
      <c r="Q106" s="3727"/>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20" t="s">
        <v>7084</v>
      </c>
      <c r="B108" s="3720"/>
      <c r="C108" s="3720"/>
      <c r="D108" s="3720"/>
      <c r="E108" s="3720"/>
      <c r="F108" s="3720"/>
      <c r="G108" s="3720"/>
      <c r="H108" s="3720"/>
      <c r="I108" s="3720"/>
      <c r="J108" s="3720"/>
      <c r="K108" s="3720"/>
      <c r="L108" s="3720"/>
      <c r="M108" s="3720"/>
      <c r="N108" s="3720"/>
      <c r="O108" s="3720"/>
      <c r="P108" s="3720"/>
      <c r="Q108" s="3755"/>
    </row>
    <row r="109" spans="1:28" ht="20.25" customHeight="1">
      <c r="B109" s="2034" t="s">
        <v>1729</v>
      </c>
      <c r="C109" s="2035"/>
      <c r="D109" s="2036"/>
      <c r="E109" s="2036"/>
      <c r="F109" s="2036"/>
      <c r="G109" s="2036"/>
      <c r="H109" s="2036"/>
      <c r="I109" s="2036"/>
      <c r="J109" s="2036"/>
      <c r="K109" s="2036"/>
      <c r="L109" s="2036"/>
      <c r="M109" s="2036"/>
      <c r="N109" s="2036"/>
      <c r="O109" s="2036"/>
      <c r="P109" s="2036"/>
      <c r="Q109" s="2036"/>
    </row>
    <row r="110" spans="1:28" ht="20.25" customHeight="1">
      <c r="A110" s="3725"/>
      <c r="B110" s="3725"/>
      <c r="C110" s="3725"/>
      <c r="D110" s="3725"/>
      <c r="E110" s="3725"/>
      <c r="F110" s="3725"/>
      <c r="G110" s="3725"/>
      <c r="H110" s="3725"/>
      <c r="I110" s="3725"/>
      <c r="J110" s="3725"/>
      <c r="K110" s="3725"/>
      <c r="L110" s="3725"/>
      <c r="M110" s="3725"/>
      <c r="N110" s="3725"/>
      <c r="O110" s="3725"/>
      <c r="P110" s="3725"/>
      <c r="Q110" s="372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1730</v>
      </c>
      <c r="P113" s="3751"/>
      <c r="Q113" s="3752"/>
    </row>
    <row r="114" spans="1:28" ht="20.25" customHeight="1">
      <c r="A114" s="2053"/>
      <c r="B114" s="2030" t="s">
        <v>6791</v>
      </c>
      <c r="H114" s="2030" t="s">
        <v>6792</v>
      </c>
      <c r="J114" s="3766" t="s">
        <v>906</v>
      </c>
      <c r="K114" s="3767"/>
      <c r="L114" s="3767"/>
      <c r="M114" s="3767"/>
      <c r="N114" s="3767"/>
      <c r="O114" s="3767"/>
      <c r="P114" s="3767"/>
      <c r="Q114" s="3768"/>
    </row>
    <row r="115" spans="1:28" ht="20.25" customHeight="1">
      <c r="A115" s="2053"/>
      <c r="B115" s="2053"/>
      <c r="H115" s="2030" t="s">
        <v>6793</v>
      </c>
      <c r="J115" s="3763" t="s">
        <v>7085</v>
      </c>
      <c r="K115" s="3764"/>
      <c r="L115" s="3764"/>
      <c r="M115" s="3764"/>
      <c r="N115" s="3764"/>
      <c r="O115" s="3764"/>
      <c r="P115" s="3764"/>
      <c r="Q115" s="3765"/>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20" t="s">
        <v>7086</v>
      </c>
      <c r="B117" s="3720"/>
      <c r="C117" s="3720"/>
      <c r="D117" s="3720"/>
      <c r="E117" s="3720"/>
      <c r="F117" s="3720"/>
      <c r="G117" s="3720"/>
      <c r="H117" s="3720"/>
      <c r="I117" s="3720"/>
      <c r="J117" s="3720"/>
      <c r="K117" s="3720"/>
      <c r="L117" s="3720"/>
      <c r="M117" s="3720"/>
      <c r="N117" s="3720"/>
      <c r="O117" s="3720"/>
      <c r="P117" s="3720"/>
      <c r="Q117" s="3755"/>
    </row>
    <row r="118" spans="1:28" ht="20.25" customHeight="1">
      <c r="B118" s="2034" t="s">
        <v>1729</v>
      </c>
      <c r="C118" s="2035"/>
      <c r="D118" s="2036"/>
      <c r="E118" s="2036"/>
      <c r="F118" s="2036"/>
      <c r="G118" s="2036"/>
      <c r="H118" s="2036"/>
      <c r="I118" s="2036"/>
      <c r="J118" s="2036"/>
      <c r="K118" s="2036"/>
      <c r="L118" s="2036"/>
      <c r="M118" s="2036"/>
      <c r="N118" s="2036"/>
      <c r="O118" s="2036"/>
      <c r="P118" s="2036"/>
      <c r="Q118" s="2036"/>
    </row>
    <row r="119" spans="1:28" ht="20.25" customHeight="1">
      <c r="A119" s="3725"/>
      <c r="B119" s="3725"/>
      <c r="C119" s="3725"/>
      <c r="D119" s="3725"/>
      <c r="E119" s="3725"/>
      <c r="F119" s="3725"/>
      <c r="G119" s="3725"/>
      <c r="H119" s="3725"/>
      <c r="I119" s="3725"/>
      <c r="J119" s="3725"/>
      <c r="K119" s="3725"/>
      <c r="L119" s="3725"/>
      <c r="M119" s="3725"/>
      <c r="N119" s="3725"/>
      <c r="O119" s="3725"/>
      <c r="P119" s="3725"/>
      <c r="Q119" s="372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1730</v>
      </c>
      <c r="P122" s="3723"/>
      <c r="Q122" s="3727"/>
    </row>
    <row r="123" spans="1:28" ht="20.25" customHeight="1">
      <c r="A123" s="2053"/>
      <c r="B123" s="2030" t="s">
        <v>6795</v>
      </c>
      <c r="H123" s="2030" t="s">
        <v>6796</v>
      </c>
      <c r="J123" s="3766" t="s">
        <v>7087</v>
      </c>
      <c r="K123" s="3767"/>
      <c r="L123" s="3767"/>
      <c r="M123" s="3767"/>
      <c r="N123" s="3767"/>
      <c r="O123" s="3767"/>
      <c r="P123" s="3767"/>
      <c r="Q123" s="3768"/>
      <c r="R123" s="2083"/>
    </row>
    <row r="124" spans="1:28" ht="20.25" customHeight="1">
      <c r="A124" s="2082"/>
      <c r="B124" s="2053"/>
      <c r="H124" s="2030" t="s">
        <v>6797</v>
      </c>
      <c r="J124" s="3763" t="s">
        <v>7087</v>
      </c>
      <c r="K124" s="3764"/>
      <c r="L124" s="3764"/>
      <c r="M124" s="3764"/>
      <c r="N124" s="3764"/>
      <c r="O124" s="3764"/>
      <c r="P124" s="3764"/>
      <c r="Q124" s="3765"/>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20" t="s">
        <v>7088</v>
      </c>
      <c r="B126" s="3720"/>
      <c r="C126" s="3720"/>
      <c r="D126" s="3720"/>
      <c r="E126" s="3720"/>
      <c r="F126" s="3720"/>
      <c r="G126" s="3720"/>
      <c r="H126" s="3720"/>
      <c r="I126" s="3720"/>
      <c r="J126" s="3720"/>
      <c r="K126" s="3720"/>
      <c r="L126" s="3720"/>
      <c r="M126" s="3720"/>
      <c r="N126" s="3720"/>
      <c r="O126" s="3720"/>
      <c r="P126" s="3720"/>
      <c r="Q126" s="3755"/>
    </row>
    <row r="127" spans="1:28" ht="20.25" customHeight="1">
      <c r="B127" s="2034" t="s">
        <v>1729</v>
      </c>
      <c r="C127" s="2035"/>
      <c r="D127" s="2036"/>
      <c r="E127" s="2036"/>
      <c r="F127" s="2036"/>
      <c r="G127" s="2036"/>
      <c r="H127" s="2036"/>
      <c r="I127" s="2036"/>
      <c r="J127" s="2036"/>
      <c r="K127" s="2036"/>
      <c r="L127" s="2036"/>
      <c r="M127" s="2036"/>
      <c r="N127" s="2036"/>
      <c r="O127" s="2036"/>
      <c r="P127" s="2036"/>
      <c r="Q127" s="2036"/>
    </row>
    <row r="128" spans="1:28" ht="20.25" customHeight="1">
      <c r="A128" s="3725"/>
      <c r="B128" s="3725"/>
      <c r="C128" s="3725"/>
      <c r="D128" s="3725"/>
      <c r="E128" s="3725"/>
      <c r="F128" s="3725"/>
      <c r="G128" s="3725"/>
      <c r="H128" s="3725"/>
      <c r="I128" s="3725"/>
      <c r="J128" s="3725"/>
      <c r="K128" s="3725"/>
      <c r="L128" s="3725"/>
      <c r="M128" s="3725"/>
      <c r="N128" s="3725"/>
      <c r="O128" s="3725"/>
      <c r="P128" s="3725"/>
      <c r="Q128" s="372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1730</v>
      </c>
      <c r="P131" s="3723"/>
      <c r="Q131" s="3727"/>
    </row>
    <row r="132" spans="1:28" ht="31.5" customHeight="1">
      <c r="A132" s="2033"/>
      <c r="B132" s="3728" t="s">
        <v>6798</v>
      </c>
      <c r="C132" s="3728"/>
      <c r="D132" s="3728"/>
      <c r="E132" s="3728"/>
      <c r="F132" s="3728"/>
      <c r="G132" s="3728"/>
      <c r="H132" s="3728"/>
      <c r="I132" s="3728"/>
      <c r="J132" s="3728"/>
      <c r="K132" s="3728"/>
      <c r="L132" s="3728"/>
      <c r="M132" s="3728"/>
      <c r="N132" s="3728"/>
      <c r="O132" s="3729"/>
      <c r="P132" s="3737" t="s">
        <v>2649</v>
      </c>
      <c r="Q132" s="3738"/>
    </row>
    <row r="133" spans="1:28" ht="20.25" customHeight="1">
      <c r="A133" s="2053" t="s">
        <v>1840</v>
      </c>
      <c r="B133" s="2030" t="s">
        <v>6799</v>
      </c>
      <c r="O133" s="2044"/>
      <c r="P133" s="2033"/>
      <c r="Q133" s="2033"/>
    </row>
    <row r="134" spans="1:28" ht="20.25" customHeight="1">
      <c r="A134" s="2053"/>
      <c r="B134" s="2043"/>
      <c r="C134" s="2030" t="s">
        <v>1791</v>
      </c>
      <c r="J134" s="2044"/>
      <c r="K134" s="2033"/>
      <c r="L134" s="2033"/>
      <c r="M134" s="3769" t="s">
        <v>7089</v>
      </c>
      <c r="N134" s="3770"/>
      <c r="O134" s="3770"/>
      <c r="P134" s="3770"/>
      <c r="Q134" s="3771"/>
    </row>
    <row r="135" spans="1:28" ht="20.25" customHeight="1">
      <c r="A135" s="2053"/>
      <c r="B135" s="2043"/>
      <c r="C135" s="2043" t="s">
        <v>6717</v>
      </c>
      <c r="E135" s="2043"/>
      <c r="F135" s="2043"/>
      <c r="G135" s="2043"/>
      <c r="H135" s="2043"/>
      <c r="J135" s="2044"/>
      <c r="K135" s="2033"/>
      <c r="L135" s="2033"/>
      <c r="M135" s="3772" t="s">
        <v>7090</v>
      </c>
      <c r="N135" s="3773"/>
      <c r="O135" s="3773"/>
      <c r="P135" s="3773"/>
      <c r="Q135" s="3774"/>
    </row>
    <row r="136" spans="1:28" ht="20.25" customHeight="1">
      <c r="A136" s="2053"/>
      <c r="B136" s="2043"/>
      <c r="C136" s="3775" t="s">
        <v>6192</v>
      </c>
      <c r="D136" s="3776"/>
      <c r="E136" s="3776"/>
      <c r="F136" s="3776"/>
      <c r="G136" s="3776"/>
      <c r="H136" s="3776"/>
      <c r="I136" s="3776"/>
      <c r="J136" s="3776"/>
      <c r="K136" s="3776"/>
      <c r="L136" s="3776"/>
      <c r="M136" s="3777"/>
      <c r="N136" s="3777"/>
      <c r="O136" s="3777"/>
      <c r="P136" s="3777"/>
      <c r="Q136" s="3778"/>
    </row>
    <row r="137" spans="1:28" ht="20.25" customHeight="1">
      <c r="A137" s="2053"/>
      <c r="B137" s="2043"/>
      <c r="C137" s="2043" t="s">
        <v>3785</v>
      </c>
      <c r="E137" s="2043"/>
      <c r="F137" s="2043"/>
      <c r="G137" s="2043"/>
      <c r="H137" s="2043"/>
      <c r="J137" s="2044"/>
      <c r="K137" s="2033"/>
      <c r="L137" s="2033"/>
      <c r="M137" s="3763" t="s">
        <v>7091</v>
      </c>
      <c r="N137" s="3764"/>
      <c r="O137" s="3764"/>
      <c r="P137" s="3764"/>
      <c r="Q137" s="3765"/>
    </row>
    <row r="138" spans="1:28" ht="20.25" customHeight="1">
      <c r="A138" s="2053" t="s">
        <v>1842</v>
      </c>
      <c r="B138" s="3728" t="s">
        <v>6800</v>
      </c>
      <c r="C138" s="3728"/>
      <c r="D138" s="3728"/>
      <c r="E138" s="3728"/>
      <c r="F138" s="3728"/>
      <c r="G138" s="3728"/>
      <c r="H138" s="3728"/>
      <c r="I138" s="3728"/>
      <c r="J138" s="3728"/>
      <c r="K138" s="3728"/>
      <c r="L138" s="3728"/>
      <c r="M138" s="3728"/>
      <c r="N138" s="3728"/>
      <c r="O138" s="2044"/>
      <c r="P138" s="2084"/>
      <c r="Q138" s="2026"/>
    </row>
    <row r="139" spans="1:28" ht="48" customHeight="1">
      <c r="A139" s="2071"/>
      <c r="B139" s="2036"/>
      <c r="C139" s="3728" t="s">
        <v>6801</v>
      </c>
      <c r="D139" s="3728"/>
      <c r="E139" s="3728"/>
      <c r="F139" s="3728"/>
      <c r="G139" s="3728"/>
      <c r="H139" s="3728"/>
      <c r="I139" s="3728"/>
      <c r="J139" s="3728"/>
      <c r="K139" s="3728"/>
      <c r="L139" s="3728"/>
      <c r="M139" s="3728"/>
      <c r="N139" s="3728"/>
      <c r="O139" s="3728"/>
      <c r="P139" s="2084"/>
      <c r="Q139" s="2026"/>
    </row>
    <row r="140" spans="1:28" ht="15.75" customHeight="1">
      <c r="A140" s="2026"/>
      <c r="B140" s="2078" t="s">
        <v>1614</v>
      </c>
      <c r="C140" s="3784" t="s">
        <v>3850</v>
      </c>
      <c r="D140" s="3785"/>
      <c r="E140" s="3785"/>
      <c r="F140" s="3785"/>
      <c r="G140" s="3785"/>
      <c r="H140" s="3786"/>
      <c r="I140" s="2033"/>
      <c r="J140" s="3796" t="s">
        <v>6802</v>
      </c>
      <c r="K140" s="3797"/>
      <c r="L140" s="3797"/>
      <c r="M140" s="3797"/>
      <c r="N140" s="3797"/>
      <c r="O140" s="3797"/>
      <c r="P140" s="3797"/>
      <c r="Q140" s="3798"/>
    </row>
    <row r="141" spans="1:28" ht="15.75" customHeight="1">
      <c r="A141" s="2026"/>
      <c r="B141" s="2078" t="s">
        <v>1615</v>
      </c>
      <c r="C141" s="3787" t="s">
        <v>1540</v>
      </c>
      <c r="D141" s="3788"/>
      <c r="E141" s="3788"/>
      <c r="F141" s="3788"/>
      <c r="G141" s="3788"/>
      <c r="H141" s="3789"/>
      <c r="I141" s="2033"/>
      <c r="J141" s="3793" t="s">
        <v>6802</v>
      </c>
      <c r="K141" s="3794"/>
      <c r="L141" s="3794"/>
      <c r="M141" s="3794"/>
      <c r="N141" s="3794"/>
      <c r="O141" s="3794"/>
      <c r="P141" s="3794"/>
      <c r="Q141" s="3795"/>
    </row>
    <row r="142" spans="1:28" ht="15.75" customHeight="1">
      <c r="A142" s="2026"/>
      <c r="B142" s="2078" t="s">
        <v>1616</v>
      </c>
      <c r="C142" s="3787" t="s">
        <v>3899</v>
      </c>
      <c r="D142" s="3788"/>
      <c r="E142" s="3788"/>
      <c r="F142" s="3788"/>
      <c r="G142" s="3788"/>
      <c r="H142" s="3789"/>
      <c r="I142" s="2033"/>
      <c r="J142" s="3793" t="s">
        <v>6802</v>
      </c>
      <c r="K142" s="3794"/>
      <c r="L142" s="3794"/>
      <c r="M142" s="3794"/>
      <c r="N142" s="3794"/>
      <c r="O142" s="3794"/>
      <c r="P142" s="3794"/>
      <c r="Q142" s="3795"/>
    </row>
    <row r="143" spans="1:28" ht="15.75" customHeight="1">
      <c r="A143" s="2026"/>
      <c r="B143" s="2078" t="s">
        <v>2181</v>
      </c>
      <c r="C143" s="3779" t="s">
        <v>3848</v>
      </c>
      <c r="D143" s="3780"/>
      <c r="E143" s="3780"/>
      <c r="F143" s="3780"/>
      <c r="G143" s="3780"/>
      <c r="H143" s="3781"/>
      <c r="I143" s="2033"/>
      <c r="J143" s="3790" t="s">
        <v>6802</v>
      </c>
      <c r="K143" s="3791"/>
      <c r="L143" s="3791"/>
      <c r="M143" s="3791"/>
      <c r="N143" s="3791"/>
      <c r="O143" s="3791"/>
      <c r="P143" s="3791"/>
      <c r="Q143" s="379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20" t="s">
        <v>7092</v>
      </c>
      <c r="B145" s="3720"/>
      <c r="C145" s="3720"/>
      <c r="D145" s="3720"/>
      <c r="E145" s="3720"/>
      <c r="F145" s="3720"/>
      <c r="G145" s="3720"/>
      <c r="H145" s="3720"/>
      <c r="I145" s="3720"/>
      <c r="J145" s="3720"/>
      <c r="K145" s="3720"/>
      <c r="L145" s="3720"/>
      <c r="M145" s="3720"/>
      <c r="N145" s="3720"/>
      <c r="O145" s="3720"/>
      <c r="P145" s="3720"/>
      <c r="Q145" s="3755"/>
    </row>
    <row r="146" spans="1:28" ht="20.25" customHeight="1">
      <c r="B146" s="2034" t="s">
        <v>1729</v>
      </c>
      <c r="C146" s="2035"/>
      <c r="D146" s="2036"/>
      <c r="E146" s="2036"/>
      <c r="F146" s="2036"/>
      <c r="G146" s="2036"/>
      <c r="H146" s="2036"/>
      <c r="I146" s="2036"/>
      <c r="J146" s="2036"/>
      <c r="K146" s="2036"/>
      <c r="L146" s="2036"/>
      <c r="M146" s="2036"/>
      <c r="N146" s="2036"/>
      <c r="O146" s="2036"/>
      <c r="P146" s="2036"/>
      <c r="Q146" s="2036"/>
    </row>
    <row r="147" spans="1:28" ht="20.25" customHeight="1">
      <c r="A147" s="3725"/>
      <c r="B147" s="3725"/>
      <c r="C147" s="3725"/>
      <c r="D147" s="3725"/>
      <c r="E147" s="3725"/>
      <c r="F147" s="3725"/>
      <c r="G147" s="3725"/>
      <c r="H147" s="3725"/>
      <c r="I147" s="3725"/>
      <c r="J147" s="3725"/>
      <c r="K147" s="3725"/>
      <c r="L147" s="3725"/>
      <c r="M147" s="3725"/>
      <c r="N147" s="3725"/>
      <c r="O147" s="3725"/>
      <c r="P147" s="3725"/>
      <c r="Q147" s="372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3950</v>
      </c>
      <c r="C150" s="2029"/>
      <c r="D150" s="2029"/>
      <c r="E150" s="2029"/>
      <c r="F150" s="2029"/>
      <c r="G150" s="2029"/>
      <c r="H150" s="2036"/>
      <c r="I150" s="2036"/>
      <c r="J150" s="2036"/>
      <c r="K150" s="2036"/>
      <c r="L150" s="2085"/>
      <c r="M150" s="2086"/>
      <c r="O150" s="2032" t="s">
        <v>1730</v>
      </c>
      <c r="P150" s="3751"/>
      <c r="Q150" s="3752"/>
    </row>
    <row r="151" spans="1:28" ht="20.25" customHeight="1">
      <c r="A151" s="2033"/>
      <c r="B151" s="2030" t="s">
        <v>6803</v>
      </c>
      <c r="C151" s="2033"/>
      <c r="D151" s="2033"/>
      <c r="E151" s="2033"/>
      <c r="F151" s="2033"/>
      <c r="G151" s="2033"/>
      <c r="H151" s="2033"/>
      <c r="I151" s="2033"/>
      <c r="J151" s="2033"/>
      <c r="K151" s="2033"/>
      <c r="L151" s="2033"/>
      <c r="M151" s="2033"/>
      <c r="N151" s="2031"/>
      <c r="O151" s="2033"/>
      <c r="P151" s="3782"/>
      <c r="Q151" s="3783"/>
    </row>
    <row r="152" spans="1:28" ht="20.25" customHeight="1">
      <c r="A152" s="2053"/>
      <c r="B152" s="2030" t="s">
        <v>1192</v>
      </c>
      <c r="G152" s="2033"/>
      <c r="H152" s="3806" t="s">
        <v>1646</v>
      </c>
      <c r="I152" s="3807"/>
      <c r="J152" s="3807"/>
      <c r="K152" s="3807"/>
      <c r="L152" s="3807"/>
      <c r="M152" s="3807"/>
      <c r="N152" s="3807"/>
      <c r="O152" s="3807"/>
      <c r="P152" s="3808"/>
      <c r="Q152" s="3809"/>
      <c r="R152" s="2062"/>
    </row>
    <row r="153" spans="1:28" ht="20.25" customHeight="1">
      <c r="A153" s="2053"/>
      <c r="B153" s="2030" t="s">
        <v>1805</v>
      </c>
      <c r="G153" s="2033"/>
      <c r="H153" s="3810"/>
      <c r="I153" s="3811"/>
      <c r="J153" s="3811"/>
      <c r="K153" s="3811"/>
      <c r="L153" s="3811"/>
      <c r="M153" s="3811"/>
      <c r="N153" s="3811"/>
      <c r="O153" s="3811"/>
      <c r="P153" s="3811"/>
      <c r="Q153" s="3812"/>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20" t="s">
        <v>7093</v>
      </c>
      <c r="B155" s="3720"/>
      <c r="C155" s="3720"/>
      <c r="D155" s="3720"/>
      <c r="E155" s="3720"/>
      <c r="F155" s="3720"/>
      <c r="G155" s="3720"/>
      <c r="H155" s="3720"/>
      <c r="I155" s="3720"/>
      <c r="J155" s="3720"/>
      <c r="K155" s="3720"/>
      <c r="L155" s="3720"/>
      <c r="M155" s="3720"/>
      <c r="N155" s="3720"/>
      <c r="O155" s="3720"/>
      <c r="P155" s="3720"/>
      <c r="Q155" s="3755"/>
    </row>
    <row r="156" spans="1:28" ht="20.25" customHeight="1">
      <c r="B156" s="2034" t="s">
        <v>1729</v>
      </c>
      <c r="C156" s="2035"/>
      <c r="D156" s="2036"/>
      <c r="E156" s="2036"/>
      <c r="F156" s="2036"/>
      <c r="G156" s="2036"/>
      <c r="H156" s="2036"/>
      <c r="I156" s="2036"/>
      <c r="J156" s="2036"/>
      <c r="K156" s="2036"/>
      <c r="L156" s="2036"/>
      <c r="M156" s="2036"/>
      <c r="N156" s="2036"/>
      <c r="O156" s="2036"/>
      <c r="P156" s="2036"/>
      <c r="Q156" s="2036"/>
    </row>
    <row r="157" spans="1:28" ht="20.25" customHeight="1">
      <c r="A157" s="3725"/>
      <c r="B157" s="3725"/>
      <c r="C157" s="3725"/>
      <c r="D157" s="3725"/>
      <c r="E157" s="3725"/>
      <c r="F157" s="3725"/>
      <c r="G157" s="3725"/>
      <c r="H157" s="3725"/>
      <c r="I157" s="3725"/>
      <c r="J157" s="3725"/>
      <c r="K157" s="3725"/>
      <c r="L157" s="3725"/>
      <c r="M157" s="3725"/>
      <c r="N157" s="3725"/>
      <c r="O157" s="3725"/>
      <c r="P157" s="3725"/>
      <c r="Q157" s="372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2079</v>
      </c>
      <c r="B160" s="2029" t="s">
        <v>2430</v>
      </c>
      <c r="C160" s="2029"/>
      <c r="D160" s="2029"/>
      <c r="E160" s="2029"/>
      <c r="F160" s="2029"/>
      <c r="G160" s="2029"/>
      <c r="H160" s="2036"/>
      <c r="I160" s="2036"/>
      <c r="J160" s="2036"/>
      <c r="K160" s="2036"/>
      <c r="L160" s="2036"/>
      <c r="M160" s="2036"/>
      <c r="O160" s="2032" t="s">
        <v>1730</v>
      </c>
      <c r="P160" s="3723"/>
      <c r="Q160" s="3727"/>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20" t="s">
        <v>7094</v>
      </c>
      <c r="B162" s="3720"/>
      <c r="C162" s="3720"/>
      <c r="D162" s="3720"/>
      <c r="E162" s="3720"/>
      <c r="F162" s="3720"/>
      <c r="G162" s="3720"/>
      <c r="H162" s="3720"/>
      <c r="I162" s="3720"/>
      <c r="J162" s="3720"/>
      <c r="K162" s="3720"/>
      <c r="L162" s="3720"/>
      <c r="M162" s="3720"/>
      <c r="N162" s="3720"/>
      <c r="O162" s="3720"/>
      <c r="P162" s="3720"/>
      <c r="Q162" s="3755"/>
    </row>
    <row r="163" spans="1:28" ht="20.25" customHeight="1">
      <c r="B163" s="2034" t="s">
        <v>1729</v>
      </c>
      <c r="C163" s="2035"/>
      <c r="D163" s="2036"/>
      <c r="E163" s="2036"/>
      <c r="F163" s="2036"/>
      <c r="G163" s="2036"/>
      <c r="H163" s="2036"/>
      <c r="I163" s="2036"/>
      <c r="J163" s="2036"/>
      <c r="K163" s="2036"/>
      <c r="L163" s="2036"/>
      <c r="M163" s="2036"/>
      <c r="N163" s="2036"/>
      <c r="O163" s="2036"/>
      <c r="P163" s="2036"/>
      <c r="Q163" s="2036"/>
    </row>
    <row r="164" spans="1:28" ht="20.25" customHeight="1">
      <c r="A164" s="3725"/>
      <c r="B164" s="3725"/>
      <c r="C164" s="3725"/>
      <c r="D164" s="3725"/>
      <c r="E164" s="3725"/>
      <c r="F164" s="3725"/>
      <c r="G164" s="3725"/>
      <c r="H164" s="3725"/>
      <c r="I164" s="3725"/>
      <c r="J164" s="3725"/>
      <c r="K164" s="3725"/>
      <c r="L164" s="3725"/>
      <c r="M164" s="3725"/>
      <c r="N164" s="3725"/>
      <c r="O164" s="3725"/>
      <c r="P164" s="3725"/>
      <c r="Q164" s="372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1730</v>
      </c>
      <c r="P167" s="3723"/>
      <c r="Q167" s="3727"/>
    </row>
    <row r="168" spans="1:28" ht="20.25" customHeight="1">
      <c r="A168" s="2053" t="s">
        <v>1840</v>
      </c>
      <c r="B168" s="2029" t="s">
        <v>6197</v>
      </c>
      <c r="G168" s="2033"/>
      <c r="J168" s="2033"/>
      <c r="K168" s="2033"/>
      <c r="L168" s="2033"/>
      <c r="M168" s="2033"/>
      <c r="N168" s="2033"/>
      <c r="O168" s="2044"/>
      <c r="P168" s="2033"/>
      <c r="Q168" s="2033"/>
    </row>
    <row r="169" spans="1:28" ht="33" customHeight="1">
      <c r="B169" s="3803" t="s">
        <v>6804</v>
      </c>
      <c r="C169" s="3803"/>
      <c r="D169" s="3803"/>
      <c r="E169" s="3803"/>
      <c r="F169" s="3803"/>
      <c r="G169" s="3803"/>
      <c r="H169" s="3803"/>
      <c r="I169" s="3803"/>
      <c r="J169" s="3803"/>
      <c r="K169" s="3803"/>
      <c r="L169" s="3803"/>
      <c r="M169" s="3803"/>
      <c r="N169" s="3803"/>
      <c r="O169" s="3813"/>
      <c r="P169" s="3799" t="s">
        <v>7095</v>
      </c>
      <c r="Q169" s="3800"/>
    </row>
    <row r="170" spans="1:28" ht="20.25" customHeight="1">
      <c r="A170" s="2053" t="s">
        <v>1842</v>
      </c>
      <c r="B170" s="2029" t="s">
        <v>297</v>
      </c>
      <c r="G170" s="2033"/>
      <c r="H170" s="3801" t="s">
        <v>3333</v>
      </c>
      <c r="I170" s="3801"/>
      <c r="J170" s="3801"/>
      <c r="K170" s="3801"/>
      <c r="L170" s="3801"/>
      <c r="M170" s="3801"/>
      <c r="N170" s="3801"/>
      <c r="O170" s="3801"/>
      <c r="P170" s="3802"/>
      <c r="Q170" s="3802"/>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3" t="s">
        <v>6198</v>
      </c>
      <c r="C172" s="3803"/>
      <c r="D172" s="3803"/>
      <c r="E172" s="3803"/>
      <c r="F172" s="3803"/>
      <c r="G172" s="3803"/>
      <c r="H172" s="3803"/>
      <c r="I172" s="3803"/>
      <c r="J172" s="3803"/>
      <c r="K172" s="3803"/>
      <c r="L172" s="3803"/>
      <c r="M172" s="3803"/>
      <c r="N172" s="2432" t="s">
        <v>6199</v>
      </c>
      <c r="O172" s="2078" t="s">
        <v>698</v>
      </c>
      <c r="P172" s="3804" t="s">
        <v>7095</v>
      </c>
      <c r="Q172" s="3805"/>
    </row>
    <row r="173" spans="1:28" ht="20.25" customHeight="1">
      <c r="B173" s="2060" t="s">
        <v>3240</v>
      </c>
      <c r="M173" s="2031"/>
      <c r="N173" s="2031"/>
      <c r="O173" s="2087"/>
      <c r="P173" s="2026"/>
    </row>
    <row r="174" spans="1:28" ht="20.25" customHeight="1">
      <c r="A174" s="3720" t="s">
        <v>7096</v>
      </c>
      <c r="B174" s="3720"/>
      <c r="C174" s="3720"/>
      <c r="D174" s="3720"/>
      <c r="E174" s="3720"/>
      <c r="F174" s="3720"/>
      <c r="G174" s="3720"/>
      <c r="H174" s="3720"/>
      <c r="I174" s="3720"/>
      <c r="J174" s="3720"/>
      <c r="K174" s="3720"/>
      <c r="L174" s="3720"/>
      <c r="M174" s="3720"/>
      <c r="N174" s="3720"/>
      <c r="O174" s="3720"/>
      <c r="P174" s="3720"/>
      <c r="Q174" s="3755"/>
    </row>
    <row r="175" spans="1:28" ht="20.25" customHeight="1">
      <c r="B175" s="2034" t="s">
        <v>1729</v>
      </c>
      <c r="C175" s="2035"/>
      <c r="D175" s="2036"/>
      <c r="E175" s="2036"/>
      <c r="F175" s="2036"/>
      <c r="G175" s="2036"/>
      <c r="H175" s="2036"/>
      <c r="I175" s="2036"/>
      <c r="J175" s="2036"/>
      <c r="K175" s="2036"/>
      <c r="L175" s="2036"/>
      <c r="M175" s="2036"/>
      <c r="N175" s="2036"/>
      <c r="O175" s="2036"/>
      <c r="P175" s="2036"/>
      <c r="Q175" s="2036"/>
    </row>
    <row r="176" spans="1:28" ht="20.25" customHeight="1">
      <c r="A176" s="3725"/>
      <c r="B176" s="3725"/>
      <c r="C176" s="3725"/>
      <c r="D176" s="3725"/>
      <c r="E176" s="3725"/>
      <c r="F176" s="3725"/>
      <c r="G176" s="3725"/>
      <c r="H176" s="3725"/>
      <c r="I176" s="3725"/>
      <c r="J176" s="3725"/>
      <c r="K176" s="3725"/>
      <c r="L176" s="3725"/>
      <c r="M176" s="3725"/>
      <c r="N176" s="3725"/>
      <c r="O176" s="3725"/>
      <c r="P176" s="3725"/>
      <c r="Q176" s="372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1730</v>
      </c>
      <c r="P179" s="3751"/>
      <c r="Q179" s="3820"/>
    </row>
    <row r="180" spans="1:28" ht="20.25" customHeight="1">
      <c r="A180" s="2033"/>
      <c r="B180" s="2030" t="s">
        <v>6803</v>
      </c>
      <c r="C180" s="2033"/>
      <c r="D180" s="2033"/>
      <c r="E180" s="2033"/>
      <c r="F180" s="2033"/>
      <c r="G180" s="2033"/>
      <c r="H180" s="2033"/>
      <c r="I180" s="2033"/>
      <c r="J180" s="2033"/>
      <c r="K180" s="2033"/>
      <c r="L180" s="2033"/>
      <c r="M180" s="2033"/>
      <c r="N180" s="2031"/>
      <c r="O180" s="2033"/>
      <c r="P180" s="3782" t="s">
        <v>2652</v>
      </c>
      <c r="Q180" s="3815"/>
    </row>
    <row r="181" spans="1:28" ht="33.75" customHeight="1">
      <c r="A181" s="2033"/>
      <c r="B181" s="3728" t="s">
        <v>6805</v>
      </c>
      <c r="C181" s="3728"/>
      <c r="D181" s="3728"/>
      <c r="E181" s="3728"/>
      <c r="F181" s="3728"/>
      <c r="G181" s="3728"/>
      <c r="H181" s="3728"/>
      <c r="I181" s="3728"/>
      <c r="J181" s="3728"/>
      <c r="K181" s="3728"/>
      <c r="L181" s="3728"/>
      <c r="M181" s="3728"/>
      <c r="N181" s="3728"/>
      <c r="O181" s="3728"/>
      <c r="P181" s="3818" t="s">
        <v>7095</v>
      </c>
      <c r="Q181" s="3821"/>
    </row>
    <row r="182" spans="1:28" ht="12" customHeight="1">
      <c r="A182" s="2033"/>
      <c r="C182" s="2033"/>
      <c r="D182" s="2033"/>
      <c r="E182" s="2033"/>
      <c r="F182" s="2033"/>
      <c r="G182" s="2033"/>
      <c r="H182" s="2033"/>
      <c r="I182" s="2033"/>
      <c r="J182" s="2033"/>
      <c r="K182" s="2033"/>
      <c r="L182" s="3814" t="s">
        <v>6806</v>
      </c>
      <c r="M182" s="3814"/>
      <c r="N182" s="2031"/>
      <c r="O182" s="2033"/>
      <c r="P182" s="2084"/>
      <c r="Q182" s="2026"/>
    </row>
    <row r="183" spans="1:28" ht="20.25" customHeight="1">
      <c r="A183" s="2053" t="s">
        <v>1842</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11</v>
      </c>
      <c r="M184" s="2094">
        <f>'DCA Underwriting Assumptions'!$Q$122</f>
        <v>0.05</v>
      </c>
      <c r="N184" s="2033"/>
      <c r="O184" s="2044"/>
      <c r="P184" s="3782">
        <v>11</v>
      </c>
      <c r="Q184" s="3815"/>
    </row>
    <row r="185" spans="1:28" ht="20.25" customHeight="1">
      <c r="A185" s="2053"/>
      <c r="B185" s="2043"/>
      <c r="D185" s="3728" t="s">
        <v>6810</v>
      </c>
      <c r="E185" s="3728"/>
      <c r="F185" s="3728"/>
      <c r="G185" s="3728"/>
      <c r="H185" s="3728"/>
      <c r="I185" s="3728"/>
      <c r="J185" s="3728"/>
      <c r="K185" s="2092"/>
      <c r="L185" s="2095">
        <f>ROUNDUP(L184*M185,0)</f>
        <v>5</v>
      </c>
      <c r="M185" s="2094">
        <f>'DCA Underwriting Assumptions'!$Q$123</f>
        <v>0.4</v>
      </c>
      <c r="N185" s="2033"/>
      <c r="O185" s="2044"/>
      <c r="P185" s="3816">
        <v>5</v>
      </c>
      <c r="Q185" s="3817"/>
    </row>
    <row r="186" spans="1:28" ht="20.25" customHeight="1">
      <c r="A186" s="2053"/>
      <c r="B186" s="3728" t="s">
        <v>6811</v>
      </c>
      <c r="C186" s="3728"/>
      <c r="D186" s="3728"/>
      <c r="E186" s="3728"/>
      <c r="F186" s="3728"/>
      <c r="G186" s="3728"/>
      <c r="H186" s="3728"/>
      <c r="I186" s="3728"/>
      <c r="J186" s="3728"/>
      <c r="K186" s="2033"/>
      <c r="L186" s="2096">
        <f>ROUNDUP('Part V-Revenues &amp; Expenses'!$P$67*M186,0)</f>
        <v>5</v>
      </c>
      <c r="M186" s="2094">
        <f>'DCA Underwriting Assumptions'!$Q$124</f>
        <v>0.02</v>
      </c>
      <c r="N186" s="2033"/>
      <c r="O186" s="2044"/>
      <c r="P186" s="3818">
        <v>5</v>
      </c>
      <c r="Q186" s="3819"/>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20" t="s">
        <v>7097</v>
      </c>
      <c r="B188" s="3720"/>
      <c r="C188" s="3720"/>
      <c r="D188" s="3720"/>
      <c r="E188" s="3720"/>
      <c r="F188" s="3720"/>
      <c r="G188" s="3720"/>
      <c r="H188" s="3720"/>
      <c r="I188" s="3720"/>
      <c r="J188" s="3720"/>
      <c r="K188" s="3720"/>
      <c r="L188" s="3720"/>
      <c r="M188" s="3720"/>
      <c r="N188" s="3720"/>
      <c r="O188" s="3720"/>
      <c r="P188" s="3720"/>
      <c r="Q188" s="3721"/>
    </row>
    <row r="189" spans="1:28" ht="20.25" customHeight="1">
      <c r="B189" s="2034" t="s">
        <v>1729</v>
      </c>
      <c r="C189" s="2035"/>
      <c r="D189" s="2036"/>
      <c r="E189" s="2036"/>
      <c r="F189" s="2036"/>
      <c r="G189" s="2036"/>
      <c r="H189" s="2036"/>
      <c r="I189" s="2036"/>
      <c r="J189" s="2036"/>
      <c r="K189" s="2036"/>
      <c r="L189" s="2036"/>
      <c r="M189" s="2036"/>
      <c r="N189" s="2036"/>
      <c r="O189" s="2036"/>
      <c r="P189" s="2036"/>
      <c r="Q189" s="2036"/>
    </row>
    <row r="190" spans="1:28" ht="20.25" customHeight="1">
      <c r="A190" s="3725"/>
      <c r="B190" s="3725"/>
      <c r="C190" s="3725"/>
      <c r="D190" s="3725"/>
      <c r="E190" s="3725"/>
      <c r="F190" s="3725"/>
      <c r="G190" s="3725"/>
      <c r="H190" s="3725"/>
      <c r="I190" s="3725"/>
      <c r="J190" s="3725"/>
      <c r="K190" s="3725"/>
      <c r="L190" s="3725"/>
      <c r="M190" s="3725"/>
      <c r="N190" s="3725"/>
      <c r="O190" s="3725"/>
      <c r="P190" s="3725"/>
      <c r="Q190" s="372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1730</v>
      </c>
      <c r="P193" s="3723"/>
      <c r="Q193" s="3724"/>
    </row>
    <row r="194" spans="1:28" ht="20.25" customHeight="1">
      <c r="B194" s="2030" t="s">
        <v>6803</v>
      </c>
      <c r="P194" s="3782" t="s">
        <v>2652</v>
      </c>
      <c r="Q194" s="3815"/>
    </row>
    <row r="195" spans="1:28" ht="36" customHeight="1">
      <c r="B195" s="3728" t="s">
        <v>6812</v>
      </c>
      <c r="C195" s="3728"/>
      <c r="D195" s="3728"/>
      <c r="E195" s="3728"/>
      <c r="F195" s="3728"/>
      <c r="G195" s="3728"/>
      <c r="H195" s="3728"/>
      <c r="I195" s="3728"/>
      <c r="J195" s="3728"/>
      <c r="K195" s="3728"/>
      <c r="L195" s="3728"/>
      <c r="M195" s="3728"/>
      <c r="N195" s="3728"/>
      <c r="P195" s="3818" t="s">
        <v>2649</v>
      </c>
      <c r="Q195" s="3819"/>
    </row>
    <row r="196" spans="1:28" ht="20.25" customHeight="1">
      <c r="A196" s="2053" t="s">
        <v>1842</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3" t="s">
        <v>6910</v>
      </c>
      <c r="D197" s="3803"/>
      <c r="E197" s="3803"/>
      <c r="F197" s="3730" t="s">
        <v>6304</v>
      </c>
      <c r="G197" s="3731"/>
      <c r="H197" s="3731"/>
      <c r="I197" s="3731"/>
      <c r="J197" s="3731"/>
      <c r="K197" s="3731"/>
      <c r="L197" s="3731"/>
      <c r="M197" s="3731"/>
      <c r="N197" s="3731"/>
      <c r="O197" s="3731"/>
      <c r="P197" s="3731"/>
      <c r="Q197" s="3732"/>
    </row>
    <row r="198" spans="1:28" ht="30" customHeight="1">
      <c r="B198" s="2078" t="s">
        <v>1615</v>
      </c>
      <c r="C198" s="3803" t="s">
        <v>6911</v>
      </c>
      <c r="D198" s="3803"/>
      <c r="E198" s="3803"/>
      <c r="F198" s="3803"/>
      <c r="G198" s="3813"/>
      <c r="H198" s="3730" t="s">
        <v>3249</v>
      </c>
      <c r="I198" s="3731"/>
      <c r="J198" s="3731"/>
      <c r="K198" s="3731"/>
      <c r="L198" s="3731"/>
      <c r="M198" s="3731"/>
      <c r="N198" s="3731"/>
      <c r="O198" s="3731"/>
      <c r="P198" s="3731"/>
      <c r="Q198" s="3732"/>
    </row>
    <row r="199" spans="1:28" ht="20.25" customHeight="1">
      <c r="A199" s="2053"/>
      <c r="B199" s="2078" t="s">
        <v>1616</v>
      </c>
      <c r="C199" s="3728" t="s">
        <v>6813</v>
      </c>
      <c r="D199" s="3728"/>
      <c r="E199" s="3728"/>
      <c r="F199" s="3728"/>
      <c r="G199" s="3728"/>
      <c r="H199" s="3728"/>
      <c r="I199" s="3728"/>
      <c r="J199" s="3728"/>
      <c r="K199" s="3728"/>
      <c r="L199" s="3728"/>
      <c r="M199" s="3728"/>
      <c r="N199" s="3728"/>
      <c r="O199" s="3728"/>
      <c r="P199" s="3728"/>
      <c r="Q199" s="3728"/>
    </row>
    <row r="200" spans="1:28" ht="20.25" customHeight="1">
      <c r="A200" s="2053"/>
      <c r="B200" s="2044"/>
      <c r="C200" s="3806"/>
      <c r="D200" s="3806"/>
      <c r="E200" s="3806"/>
      <c r="F200" s="3806"/>
      <c r="G200" s="3806"/>
      <c r="H200" s="3806"/>
      <c r="I200" s="3806"/>
      <c r="J200" s="3806"/>
      <c r="K200" s="3806"/>
      <c r="L200" s="3806"/>
      <c r="M200" s="3806"/>
      <c r="N200" s="3806"/>
      <c r="O200" s="3806"/>
      <c r="P200" s="3806"/>
      <c r="Q200" s="3822"/>
    </row>
    <row r="201" spans="1:28" ht="20.25" customHeight="1">
      <c r="A201" s="2053"/>
      <c r="B201" s="2044"/>
      <c r="C201" s="3810"/>
      <c r="D201" s="3810"/>
      <c r="E201" s="3810"/>
      <c r="F201" s="3810"/>
      <c r="G201" s="3810"/>
      <c r="H201" s="3810"/>
      <c r="I201" s="3810"/>
      <c r="J201" s="3810"/>
      <c r="K201" s="3810"/>
      <c r="L201" s="3810"/>
      <c r="M201" s="3810"/>
      <c r="N201" s="3810"/>
      <c r="O201" s="3810"/>
      <c r="P201" s="3810"/>
      <c r="Q201" s="3827"/>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20" t="s">
        <v>7097</v>
      </c>
      <c r="B203" s="3720"/>
      <c r="C203" s="3720"/>
      <c r="D203" s="3720"/>
      <c r="E203" s="3720"/>
      <c r="F203" s="3720"/>
      <c r="G203" s="3720"/>
      <c r="H203" s="3720"/>
      <c r="I203" s="3720"/>
      <c r="J203" s="3720"/>
      <c r="K203" s="3720"/>
      <c r="L203" s="3720"/>
      <c r="M203" s="3720"/>
      <c r="N203" s="3720"/>
      <c r="O203" s="3720"/>
      <c r="P203" s="3720"/>
      <c r="Q203" s="3721"/>
    </row>
    <row r="204" spans="1:28" ht="20.25" customHeight="1">
      <c r="B204" s="2034" t="s">
        <v>1729</v>
      </c>
      <c r="C204" s="2035"/>
      <c r="D204" s="2036"/>
      <c r="E204" s="2036"/>
      <c r="F204" s="2036"/>
      <c r="G204" s="2036"/>
      <c r="H204" s="2036"/>
      <c r="I204" s="2036"/>
      <c r="J204" s="2036"/>
      <c r="K204" s="2036"/>
      <c r="L204" s="2036"/>
      <c r="M204" s="2036"/>
      <c r="N204" s="2036"/>
      <c r="O204" s="2036"/>
      <c r="P204" s="2036"/>
      <c r="Q204" s="2036"/>
    </row>
    <row r="205" spans="1:28" ht="20.25" customHeight="1">
      <c r="A205" s="3725"/>
      <c r="B205" s="3725"/>
      <c r="C205" s="3725"/>
      <c r="D205" s="3725"/>
      <c r="E205" s="3725"/>
      <c r="F205" s="3725"/>
      <c r="G205" s="3725"/>
      <c r="H205" s="3725"/>
      <c r="I205" s="3725"/>
      <c r="J205" s="3725"/>
      <c r="K205" s="3725"/>
      <c r="L205" s="3725"/>
      <c r="M205" s="3725"/>
      <c r="N205" s="3725"/>
      <c r="O205" s="3725"/>
      <c r="P205" s="3725"/>
      <c r="Q205" s="372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1730</v>
      </c>
      <c r="P208" s="3751"/>
      <c r="Q208" s="3820"/>
    </row>
    <row r="209" spans="1:28" ht="20.25" customHeight="1">
      <c r="A209" s="2053"/>
      <c r="B209" s="2030" t="s">
        <v>6814</v>
      </c>
      <c r="O209" s="2044"/>
      <c r="P209" s="3828" t="s">
        <v>7098</v>
      </c>
      <c r="Q209" s="3829"/>
    </row>
    <row r="210" spans="1:28" ht="20.25" customHeight="1">
      <c r="A210" s="2053"/>
      <c r="B210" s="2030" t="s">
        <v>6815</v>
      </c>
      <c r="O210" s="2044"/>
      <c r="P210" s="3823" t="s">
        <v>7098</v>
      </c>
      <c r="Q210" s="3824"/>
    </row>
    <row r="211" spans="1:28" ht="22.5" customHeight="1">
      <c r="A211" s="2053"/>
      <c r="B211" s="2030" t="s">
        <v>6816</v>
      </c>
      <c r="C211" s="2033"/>
      <c r="K211" s="2031"/>
      <c r="M211" s="2044"/>
      <c r="O211" s="2099"/>
      <c r="P211" s="3823" t="s">
        <v>7099</v>
      </c>
      <c r="Q211" s="3824"/>
    </row>
    <row r="212" spans="1:28" ht="31.5" customHeight="1">
      <c r="A212" s="2053"/>
      <c r="B212" s="3728" t="s">
        <v>6817</v>
      </c>
      <c r="C212" s="3728"/>
      <c r="D212" s="3728"/>
      <c r="E212" s="3728"/>
      <c r="F212" s="3728"/>
      <c r="G212" s="3728"/>
      <c r="H212" s="3728"/>
      <c r="I212" s="3728"/>
      <c r="J212" s="3728"/>
      <c r="K212" s="3728"/>
      <c r="L212" s="3728"/>
      <c r="M212" s="3728"/>
      <c r="N212" s="3728"/>
      <c r="O212" s="3728"/>
      <c r="P212" s="3825" t="s">
        <v>2652</v>
      </c>
      <c r="Q212" s="3826"/>
    </row>
    <row r="213" spans="1:28" ht="20.25" customHeight="1">
      <c r="A213" s="2053"/>
      <c r="B213" s="2030" t="s">
        <v>6818</v>
      </c>
      <c r="M213" s="2033"/>
      <c r="N213" s="2033"/>
      <c r="O213" s="3830" t="s">
        <v>4047</v>
      </c>
      <c r="P213" s="3831"/>
      <c r="Q213" s="3832"/>
    </row>
    <row r="214" spans="1:28" ht="20.25" customHeight="1">
      <c r="A214" s="2053"/>
      <c r="B214" s="2029" t="s">
        <v>6819</v>
      </c>
      <c r="G214" s="3723"/>
      <c r="H214" s="3760"/>
      <c r="I214" s="3760"/>
      <c r="J214" s="3760"/>
      <c r="K214" s="3760"/>
      <c r="L214" s="3761"/>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45.75" customHeight="1">
      <c r="A216" s="3739" t="s">
        <v>7100</v>
      </c>
      <c r="B216" s="3742"/>
      <c r="C216" s="3742"/>
      <c r="D216" s="3742"/>
      <c r="E216" s="3742"/>
      <c r="F216" s="3742"/>
      <c r="G216" s="3742"/>
      <c r="H216" s="3742"/>
      <c r="I216" s="3742"/>
      <c r="J216" s="3742"/>
      <c r="K216" s="3742"/>
      <c r="L216" s="3742"/>
      <c r="M216" s="3742"/>
      <c r="N216" s="3742"/>
      <c r="O216" s="3742"/>
      <c r="P216" s="3742"/>
      <c r="Q216" s="3743"/>
    </row>
    <row r="217" spans="1:28" ht="20.25" customHeight="1">
      <c r="B217" s="2034" t="s">
        <v>1729</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45"/>
      <c r="C218" s="3745"/>
      <c r="D218" s="3745"/>
      <c r="E218" s="3745"/>
      <c r="F218" s="3745"/>
      <c r="G218" s="3745"/>
      <c r="H218" s="3745"/>
      <c r="I218" s="3745"/>
      <c r="J218" s="3745"/>
      <c r="K218" s="3745"/>
      <c r="L218" s="3745"/>
      <c r="M218" s="3745"/>
      <c r="N218" s="3745"/>
      <c r="O218" s="3745"/>
      <c r="P218" s="3745"/>
      <c r="Q218" s="374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1730</v>
      </c>
      <c r="P221" s="3723"/>
      <c r="Q221" s="3724"/>
    </row>
    <row r="222" spans="1:28" ht="33.75" customHeight="1">
      <c r="A222" s="2042"/>
      <c r="B222" s="3728" t="s">
        <v>6820</v>
      </c>
      <c r="C222" s="3728"/>
      <c r="D222" s="3728"/>
      <c r="E222" s="3728"/>
      <c r="F222" s="3728"/>
      <c r="G222" s="3728"/>
      <c r="H222" s="3728"/>
      <c r="I222" s="3728"/>
      <c r="J222" s="3728"/>
      <c r="K222" s="3728"/>
      <c r="L222" s="3728"/>
      <c r="M222" s="3728"/>
      <c r="N222" s="3728"/>
      <c r="O222" s="3729"/>
      <c r="P222" s="3840"/>
      <c r="Q222" s="3841"/>
    </row>
    <row r="223" spans="1:28" s="2101" customFormat="1" ht="33.75" customHeight="1">
      <c r="A223" s="2071" t="s">
        <v>1840</v>
      </c>
      <c r="B223" s="3842" t="s">
        <v>6821</v>
      </c>
      <c r="C223" s="3842"/>
      <c r="D223" s="3842"/>
      <c r="E223" s="3842"/>
      <c r="F223" s="3842"/>
      <c r="G223" s="3842"/>
      <c r="H223" s="3842"/>
      <c r="I223" s="3842"/>
      <c r="J223" s="3842"/>
      <c r="K223" s="3842"/>
      <c r="L223" s="3842"/>
      <c r="M223" s="3842"/>
      <c r="N223" s="3842"/>
      <c r="O223" s="3842"/>
      <c r="P223" s="2063"/>
      <c r="Q223" s="2433"/>
      <c r="R223" s="2940"/>
      <c r="S223" s="2940"/>
      <c r="T223" s="2940"/>
      <c r="U223" s="2940"/>
      <c r="V223" s="2940"/>
      <c r="W223" s="2940"/>
      <c r="X223" s="2940"/>
      <c r="Y223" s="2940"/>
      <c r="Z223" s="2940"/>
      <c r="AA223" s="2940"/>
      <c r="AB223" s="2940"/>
    </row>
    <row r="224" spans="1:28" ht="47.25" customHeight="1">
      <c r="A224" s="2071" t="s">
        <v>1842</v>
      </c>
      <c r="B224" s="3803" t="s">
        <v>6822</v>
      </c>
      <c r="C224" s="3803"/>
      <c r="D224" s="3803"/>
      <c r="E224" s="3803"/>
      <c r="F224" s="3803"/>
      <c r="G224" s="3803"/>
      <c r="H224" s="3803"/>
      <c r="I224" s="3803"/>
      <c r="J224" s="3803"/>
      <c r="K224" s="3803"/>
      <c r="L224" s="3803"/>
      <c r="M224" s="3803"/>
      <c r="N224" s="3803"/>
      <c r="O224" s="3803"/>
      <c r="P224" s="2063"/>
      <c r="Q224" s="2064"/>
    </row>
    <row r="225" spans="1:28" ht="20.25" customHeight="1">
      <c r="A225" s="2053" t="s">
        <v>698</v>
      </c>
      <c r="B225" s="3833" t="s">
        <v>6823</v>
      </c>
      <c r="C225" s="3833"/>
      <c r="D225" s="3833"/>
      <c r="E225" s="3833"/>
      <c r="F225" s="3833"/>
      <c r="G225" s="3833"/>
      <c r="H225" s="3833"/>
      <c r="I225" s="3833"/>
      <c r="J225" s="3833"/>
      <c r="K225" s="3833"/>
      <c r="L225" s="3833"/>
      <c r="M225" s="3833"/>
      <c r="N225" s="3833"/>
      <c r="O225" s="3833"/>
      <c r="P225" s="2063"/>
      <c r="Q225" s="2064"/>
    </row>
    <row r="226" spans="1:28" ht="33.75" customHeight="1">
      <c r="A226" s="2071" t="s">
        <v>1961</v>
      </c>
      <c r="B226" s="3803" t="s">
        <v>6824</v>
      </c>
      <c r="C226" s="3803"/>
      <c r="D226" s="3803"/>
      <c r="E226" s="3803"/>
      <c r="F226" s="3803"/>
      <c r="G226" s="3803"/>
      <c r="H226" s="3803"/>
      <c r="I226" s="3803"/>
      <c r="J226" s="3803"/>
      <c r="K226" s="3803"/>
      <c r="L226" s="3803"/>
      <c r="M226" s="3803"/>
      <c r="N226" s="3803"/>
      <c r="O226" s="3803"/>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9" t="s">
        <v>906</v>
      </c>
      <c r="B228" s="3740"/>
      <c r="C228" s="3740"/>
      <c r="D228" s="3740"/>
      <c r="E228" s="3740"/>
      <c r="F228" s="3740"/>
      <c r="G228" s="3740"/>
      <c r="H228" s="3740"/>
      <c r="I228" s="3740"/>
      <c r="J228" s="3740"/>
      <c r="K228" s="3740"/>
      <c r="L228" s="3740"/>
      <c r="M228" s="3740"/>
      <c r="N228" s="3740"/>
      <c r="O228" s="3740"/>
      <c r="P228" s="3740"/>
      <c r="Q228" s="3741"/>
    </row>
    <row r="229" spans="1:28" ht="20.25" customHeight="1">
      <c r="B229" s="2034" t="s">
        <v>1729</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834"/>
      <c r="C230" s="3834"/>
      <c r="D230" s="3834"/>
      <c r="E230" s="3834"/>
      <c r="F230" s="3834"/>
      <c r="G230" s="3834"/>
      <c r="H230" s="3834"/>
      <c r="I230" s="3834"/>
      <c r="J230" s="3834"/>
      <c r="K230" s="3834"/>
      <c r="L230" s="3834"/>
      <c r="M230" s="3834"/>
      <c r="N230" s="3834"/>
      <c r="O230" s="3834"/>
      <c r="P230" s="3834"/>
      <c r="Q230" s="3835"/>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1730</v>
      </c>
      <c r="P233" s="3723"/>
      <c r="Q233" s="3761"/>
    </row>
    <row r="234" spans="1:28" ht="20.25" customHeight="1">
      <c r="A234" s="2053"/>
      <c r="B234" s="3833" t="s">
        <v>3358</v>
      </c>
      <c r="C234" s="3833"/>
      <c r="D234" s="3833"/>
      <c r="E234" s="3833"/>
      <c r="F234" s="3836"/>
      <c r="G234" s="3837"/>
      <c r="H234" s="3838"/>
      <c r="I234" s="3838"/>
      <c r="J234" s="3838"/>
      <c r="K234" s="3838"/>
      <c r="L234" s="3838"/>
      <c r="M234" s="3838"/>
      <c r="N234" s="3838"/>
      <c r="O234" s="3838"/>
      <c r="P234" s="3838"/>
      <c r="Q234" s="3839"/>
    </row>
    <row r="235" spans="1:28" ht="20.25" customHeight="1" thickBot="1">
      <c r="A235" s="2053"/>
      <c r="B235" s="3833" t="s">
        <v>3359</v>
      </c>
      <c r="C235" s="3833"/>
      <c r="D235" s="3833"/>
      <c r="E235" s="3833"/>
      <c r="F235" s="3836"/>
      <c r="G235" s="3847"/>
      <c r="H235" s="3848"/>
      <c r="I235" s="3848"/>
      <c r="J235" s="3848"/>
      <c r="K235" s="3848"/>
      <c r="L235" s="3848"/>
      <c r="M235" s="3848"/>
      <c r="N235" s="3848"/>
      <c r="O235" s="3848"/>
      <c r="P235" s="3849"/>
      <c r="Q235" s="3850"/>
    </row>
    <row r="236" spans="1:28" ht="20.25" customHeight="1" thickBot="1">
      <c r="A236" s="2053"/>
      <c r="B236" s="2030" t="s">
        <v>6825</v>
      </c>
      <c r="D236" s="2082"/>
      <c r="E236" s="2082"/>
      <c r="F236" s="2082"/>
      <c r="G236" s="2083"/>
      <c r="H236" s="2083"/>
      <c r="I236" s="2083"/>
      <c r="J236" s="2083"/>
      <c r="K236" s="2083"/>
      <c r="L236" s="2083"/>
      <c r="M236" s="2083"/>
      <c r="N236" s="2083"/>
      <c r="O236" s="2083"/>
      <c r="P236" s="3851"/>
      <c r="Q236" s="3852"/>
    </row>
    <row r="237" spans="1:28" ht="29.25" customHeight="1">
      <c r="A237" s="2053"/>
      <c r="B237" s="2103" t="s">
        <v>1962</v>
      </c>
      <c r="C237" s="3803" t="s">
        <v>6826</v>
      </c>
      <c r="D237" s="3803"/>
      <c r="E237" s="3803"/>
      <c r="F237" s="3803"/>
      <c r="G237" s="3803"/>
      <c r="H237" s="3803"/>
      <c r="I237" s="3803"/>
      <c r="J237" s="3803"/>
      <c r="K237" s="3803"/>
      <c r="L237" s="3803"/>
      <c r="M237" s="3803"/>
      <c r="N237" s="3803"/>
      <c r="O237" s="3803"/>
      <c r="P237" s="3803"/>
      <c r="Q237" s="3803"/>
    </row>
    <row r="238" spans="1:28" ht="29.25" customHeight="1">
      <c r="A238" s="2053"/>
      <c r="B238" s="2103" t="s">
        <v>1963</v>
      </c>
      <c r="C238" s="3803" t="s">
        <v>6827</v>
      </c>
      <c r="D238" s="3803"/>
      <c r="E238" s="3803"/>
      <c r="F238" s="3803"/>
      <c r="G238" s="3803"/>
      <c r="H238" s="3803"/>
      <c r="I238" s="3803"/>
      <c r="J238" s="3803"/>
      <c r="K238" s="3803"/>
      <c r="L238" s="3803"/>
      <c r="M238" s="3803"/>
      <c r="N238" s="3803"/>
      <c r="O238" s="3803"/>
      <c r="P238" s="3803"/>
      <c r="Q238" s="3803"/>
    </row>
    <row r="239" spans="1:28" ht="15.75" customHeight="1">
      <c r="A239" s="2053"/>
      <c r="B239" s="2103" t="s">
        <v>1611</v>
      </c>
      <c r="C239" s="3803" t="s">
        <v>6828</v>
      </c>
      <c r="D239" s="3803"/>
      <c r="E239" s="3803"/>
      <c r="F239" s="3803"/>
      <c r="G239" s="3803"/>
      <c r="H239" s="3803"/>
      <c r="I239" s="3803"/>
      <c r="J239" s="3803"/>
      <c r="K239" s="3803"/>
      <c r="L239" s="3803"/>
      <c r="M239" s="3803"/>
      <c r="N239" s="3803"/>
      <c r="O239" s="3803"/>
      <c r="P239" s="3803"/>
      <c r="Q239" s="3803"/>
    </row>
    <row r="240" spans="1:28" ht="29.25" customHeight="1">
      <c r="A240" s="2053"/>
      <c r="B240" s="2103" t="s">
        <v>3864</v>
      </c>
      <c r="C240" s="3803" t="s">
        <v>6829</v>
      </c>
      <c r="D240" s="3803"/>
      <c r="E240" s="3803"/>
      <c r="F240" s="3803"/>
      <c r="G240" s="3803"/>
      <c r="H240" s="3803"/>
      <c r="I240" s="3803"/>
      <c r="J240" s="3803"/>
      <c r="K240" s="3803"/>
      <c r="L240" s="3803"/>
      <c r="M240" s="3803"/>
      <c r="N240" s="3803"/>
      <c r="O240" s="3803"/>
      <c r="P240" s="3803"/>
      <c r="Q240" s="3803"/>
    </row>
    <row r="241" spans="1:28" ht="15.75" customHeight="1">
      <c r="A241" s="2053"/>
      <c r="B241" s="2103" t="s">
        <v>6830</v>
      </c>
      <c r="C241" s="3803" t="s">
        <v>6831</v>
      </c>
      <c r="D241" s="3803"/>
      <c r="E241" s="3803"/>
      <c r="F241" s="3803"/>
      <c r="G241" s="3803"/>
      <c r="H241" s="3803"/>
      <c r="I241" s="3803"/>
      <c r="J241" s="3803"/>
      <c r="K241" s="3803"/>
      <c r="L241" s="3803"/>
      <c r="M241" s="3803"/>
      <c r="N241" s="3803"/>
      <c r="O241" s="3803"/>
      <c r="P241" s="3803"/>
      <c r="Q241" s="3803"/>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20" t="s">
        <v>906</v>
      </c>
      <c r="B244" s="3843"/>
      <c r="C244" s="3843"/>
      <c r="D244" s="3843"/>
      <c r="E244" s="3843"/>
      <c r="F244" s="3843"/>
      <c r="G244" s="3843"/>
      <c r="H244" s="3843"/>
      <c r="I244" s="3843"/>
      <c r="J244" s="3843"/>
      <c r="K244" s="3843"/>
      <c r="L244" s="3843"/>
      <c r="M244" s="3843"/>
      <c r="N244" s="3843"/>
      <c r="O244" s="3843"/>
      <c r="P244" s="3843"/>
      <c r="Q244" s="3844"/>
    </row>
    <row r="245" spans="1:28" ht="20.25" customHeight="1">
      <c r="B245" s="2034" t="s">
        <v>1729</v>
      </c>
      <c r="C245" s="2035"/>
      <c r="D245" s="2036"/>
      <c r="E245" s="2036"/>
      <c r="F245" s="2036"/>
      <c r="G245" s="2036"/>
      <c r="H245" s="2036"/>
      <c r="I245" s="2036"/>
      <c r="J245" s="2036"/>
      <c r="K245" s="2036"/>
      <c r="L245" s="2036"/>
      <c r="M245" s="2036"/>
      <c r="N245" s="2036"/>
      <c r="O245" s="2036"/>
      <c r="P245" s="2036"/>
      <c r="Q245" s="2036"/>
    </row>
    <row r="246" spans="1:28" ht="20.25" customHeight="1">
      <c r="A246" s="3725"/>
      <c r="B246" s="3845"/>
      <c r="C246" s="3845"/>
      <c r="D246" s="3845"/>
      <c r="E246" s="3845"/>
      <c r="F246" s="3845"/>
      <c r="G246" s="3845"/>
      <c r="H246" s="3845"/>
      <c r="I246" s="3845"/>
      <c r="J246" s="3845"/>
      <c r="K246" s="3845"/>
      <c r="L246" s="3845"/>
      <c r="M246" s="3845"/>
      <c r="N246" s="3845"/>
      <c r="O246" s="3845"/>
      <c r="P246" s="3845"/>
      <c r="Q246" s="384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1730</v>
      </c>
      <c r="P249" s="3723"/>
      <c r="Q249" s="3761"/>
    </row>
    <row r="250" spans="1:28" ht="20.25" customHeight="1">
      <c r="A250" s="2053"/>
      <c r="B250" s="2030" t="s">
        <v>2437</v>
      </c>
      <c r="D250" s="2056"/>
      <c r="E250" s="2056"/>
      <c r="O250" s="2044"/>
      <c r="P250" s="3782"/>
      <c r="Q250" s="3783"/>
    </row>
    <row r="251" spans="1:28" ht="20.25" customHeight="1">
      <c r="A251" s="2053"/>
      <c r="B251" s="2030" t="s">
        <v>3143</v>
      </c>
      <c r="D251" s="2056"/>
      <c r="E251" s="2056"/>
      <c r="O251" s="2044"/>
      <c r="P251" s="3816"/>
      <c r="Q251" s="3854"/>
    </row>
    <row r="252" spans="1:28" ht="20.25" customHeight="1">
      <c r="A252" s="2053"/>
      <c r="B252" s="2030" t="s">
        <v>4030</v>
      </c>
      <c r="D252" s="2056"/>
      <c r="E252" s="2056"/>
      <c r="O252" s="2044"/>
      <c r="P252" s="3855"/>
      <c r="Q252" s="3856"/>
    </row>
    <row r="253" spans="1:28" ht="20.25" customHeight="1">
      <c r="A253" s="2053"/>
      <c r="B253" s="2030" t="s">
        <v>3144</v>
      </c>
      <c r="O253" s="2044"/>
      <c r="P253" s="3816"/>
      <c r="Q253" s="3854"/>
    </row>
    <row r="254" spans="1:28" ht="20.25" customHeight="1">
      <c r="A254" s="2053"/>
      <c r="B254" s="2030" t="s">
        <v>690</v>
      </c>
      <c r="D254" s="3720"/>
      <c r="E254" s="3843"/>
      <c r="F254" s="3843"/>
      <c r="G254" s="3843"/>
      <c r="H254" s="3843"/>
      <c r="I254" s="3843"/>
      <c r="J254" s="3843"/>
      <c r="K254" s="3843"/>
      <c r="L254" s="3843"/>
      <c r="M254" s="3843"/>
      <c r="N254" s="3843"/>
      <c r="O254" s="3843"/>
      <c r="P254" s="3857"/>
      <c r="Q254" s="385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0" t="s">
        <v>7101</v>
      </c>
      <c r="B256" s="3843"/>
      <c r="C256" s="3843"/>
      <c r="D256" s="3843"/>
      <c r="E256" s="3843"/>
      <c r="F256" s="3843"/>
      <c r="G256" s="3843"/>
      <c r="H256" s="3843"/>
      <c r="I256" s="3843"/>
      <c r="J256" s="3843"/>
      <c r="K256" s="3843"/>
      <c r="L256" s="3843"/>
      <c r="M256" s="3843"/>
      <c r="N256" s="3843"/>
      <c r="O256" s="3843"/>
      <c r="P256" s="3843"/>
      <c r="Q256" s="3844"/>
    </row>
    <row r="257" spans="1:28" ht="20.25" customHeight="1">
      <c r="B257" s="2034" t="s">
        <v>1729</v>
      </c>
      <c r="C257" s="2035"/>
      <c r="D257" s="2036"/>
      <c r="E257" s="2036"/>
      <c r="F257" s="2036"/>
      <c r="G257" s="2036"/>
      <c r="H257" s="2036"/>
      <c r="I257" s="2036"/>
      <c r="J257" s="2036"/>
      <c r="K257" s="2036"/>
      <c r="L257" s="2036"/>
      <c r="M257" s="2036"/>
      <c r="N257" s="2036"/>
      <c r="O257" s="2036"/>
      <c r="P257" s="2036"/>
      <c r="Q257" s="2036"/>
    </row>
    <row r="258" spans="1:28" ht="20.25" customHeight="1">
      <c r="A258" s="3725"/>
      <c r="B258" s="3845"/>
      <c r="C258" s="3845"/>
      <c r="D258" s="3845"/>
      <c r="E258" s="3845"/>
      <c r="F258" s="3845"/>
      <c r="G258" s="3845"/>
      <c r="H258" s="3845"/>
      <c r="I258" s="3845"/>
      <c r="J258" s="3845"/>
      <c r="K258" s="3845"/>
      <c r="L258" s="3845"/>
      <c r="M258" s="3845"/>
      <c r="N258" s="3845"/>
      <c r="O258" s="3845"/>
      <c r="P258" s="3845"/>
      <c r="Q258" s="384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1730</v>
      </c>
      <c r="P261" s="3723"/>
      <c r="Q261" s="3761"/>
    </row>
    <row r="262" spans="1:28" ht="20.25" customHeight="1">
      <c r="B262" s="2030" t="s">
        <v>6250</v>
      </c>
      <c r="O262" s="2044"/>
      <c r="P262" s="3737" t="s">
        <v>2652</v>
      </c>
      <c r="Q262" s="3738"/>
    </row>
    <row r="263" spans="1:28" ht="20.25" customHeight="1">
      <c r="A263" s="2053" t="s">
        <v>1840</v>
      </c>
      <c r="B263" s="2029" t="s">
        <v>3937</v>
      </c>
    </row>
    <row r="264" spans="1:28" ht="20.25" customHeight="1">
      <c r="A264" s="2053"/>
      <c r="B264" s="3853" t="s">
        <v>701</v>
      </c>
      <c r="C264" s="3853"/>
      <c r="D264" s="3853"/>
      <c r="E264" s="3853"/>
      <c r="F264" s="3853"/>
      <c r="G264" s="3853"/>
      <c r="H264" s="3853"/>
      <c r="I264" s="3853"/>
      <c r="J264" s="3853"/>
      <c r="K264" s="3853"/>
      <c r="L264" s="3853"/>
      <c r="M264" s="3853"/>
      <c r="N264" s="3853"/>
      <c r="O264" s="3853"/>
      <c r="P264" s="3782" t="s">
        <v>2652</v>
      </c>
      <c r="Q264" s="3783"/>
    </row>
    <row r="265" spans="1:28" ht="20.25" customHeight="1">
      <c r="B265" s="3853" t="s">
        <v>4032</v>
      </c>
      <c r="C265" s="3853"/>
      <c r="D265" s="3853"/>
      <c r="E265" s="3853"/>
      <c r="F265" s="3853"/>
      <c r="G265" s="3853"/>
      <c r="H265" s="3853"/>
      <c r="I265" s="3853"/>
      <c r="J265" s="3853"/>
      <c r="K265" s="3853"/>
      <c r="L265" s="3853"/>
      <c r="M265" s="3853"/>
      <c r="N265" s="3853"/>
      <c r="O265" s="3853"/>
      <c r="P265" s="3816" t="s">
        <v>2652</v>
      </c>
      <c r="Q265" s="3854"/>
    </row>
    <row r="266" spans="1:28" ht="32.25" customHeight="1">
      <c r="A266" s="2053"/>
      <c r="B266" s="3861" t="s">
        <v>6834</v>
      </c>
      <c r="C266" s="3861"/>
      <c r="D266" s="3861"/>
      <c r="E266" s="3861"/>
      <c r="F266" s="3861"/>
      <c r="G266" s="3861"/>
      <c r="H266" s="3861"/>
      <c r="I266" s="3861"/>
      <c r="J266" s="3861"/>
      <c r="K266" s="3861"/>
      <c r="L266" s="3861"/>
      <c r="M266" s="3861"/>
      <c r="N266" s="3861"/>
      <c r="O266" s="3861"/>
      <c r="P266" s="3818" t="s">
        <v>2652</v>
      </c>
      <c r="Q266" s="3821"/>
    </row>
    <row r="267" spans="1:28" ht="20.25" customHeight="1">
      <c r="B267" s="2060" t="s">
        <v>3240</v>
      </c>
      <c r="D267" s="2060"/>
      <c r="E267" s="2060"/>
      <c r="F267" s="2060"/>
      <c r="G267" s="2060"/>
      <c r="H267" s="2043"/>
      <c r="I267" s="2031"/>
      <c r="J267" s="2031"/>
      <c r="K267" s="2031"/>
    </row>
    <row r="268" spans="1:28" ht="20.25" customHeight="1">
      <c r="A268" s="3720" t="s">
        <v>7102</v>
      </c>
      <c r="B268" s="3843"/>
      <c r="C268" s="3843"/>
      <c r="D268" s="3843"/>
      <c r="E268" s="3843"/>
      <c r="F268" s="3843"/>
      <c r="G268" s="3843"/>
      <c r="H268" s="3843"/>
      <c r="I268" s="3843"/>
      <c r="J268" s="3843"/>
      <c r="K268" s="3843"/>
      <c r="L268" s="3843"/>
      <c r="M268" s="3843"/>
      <c r="N268" s="3843"/>
      <c r="O268" s="3843"/>
      <c r="P268" s="3843"/>
      <c r="Q268" s="3844"/>
    </row>
    <row r="269" spans="1:28" ht="20.25" customHeight="1">
      <c r="B269" s="2034" t="s">
        <v>1729</v>
      </c>
      <c r="C269" s="2035"/>
      <c r="D269" s="2036"/>
      <c r="E269" s="2036"/>
      <c r="F269" s="2036"/>
      <c r="G269" s="2036"/>
      <c r="H269" s="2036"/>
      <c r="I269" s="2036"/>
      <c r="J269" s="2036"/>
      <c r="K269" s="2036"/>
      <c r="L269" s="2036"/>
      <c r="M269" s="2036"/>
      <c r="N269" s="2036"/>
      <c r="O269" s="2036"/>
      <c r="P269" s="2036"/>
      <c r="Q269" s="2036"/>
    </row>
    <row r="270" spans="1:28" ht="20.25" customHeight="1">
      <c r="A270" s="3725"/>
      <c r="B270" s="3845"/>
      <c r="C270" s="3845"/>
      <c r="D270" s="3845"/>
      <c r="E270" s="3845"/>
      <c r="F270" s="3845"/>
      <c r="G270" s="3845"/>
      <c r="H270" s="3845"/>
      <c r="I270" s="3845"/>
      <c r="J270" s="3845"/>
      <c r="K270" s="3845"/>
      <c r="L270" s="3845"/>
      <c r="M270" s="3845"/>
      <c r="N270" s="3845"/>
      <c r="O270" s="3845"/>
      <c r="P270" s="3845"/>
      <c r="Q270" s="384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2508</v>
      </c>
      <c r="C273" s="2029"/>
      <c r="D273" s="2029"/>
      <c r="E273" s="2036"/>
      <c r="F273" s="2036"/>
      <c r="G273" s="2036"/>
      <c r="H273" s="2036"/>
      <c r="O273" s="2032" t="s">
        <v>1730</v>
      </c>
      <c r="P273" s="3727"/>
      <c r="Q273" s="3727"/>
    </row>
    <row r="274" spans="1:17" ht="33" customHeight="1">
      <c r="A274" s="2033"/>
      <c r="B274" s="3728" t="s">
        <v>6835</v>
      </c>
      <c r="C274" s="3728"/>
      <c r="D274" s="3728"/>
      <c r="E274" s="3728"/>
      <c r="F274" s="3728"/>
      <c r="G274" s="3728"/>
      <c r="H274" s="3728"/>
      <c r="I274" s="3728"/>
      <c r="J274" s="3728"/>
      <c r="K274" s="3728"/>
      <c r="L274" s="3728"/>
      <c r="M274" s="3728"/>
      <c r="N274" s="3728"/>
      <c r="O274" s="2104"/>
      <c r="P274" s="3737" t="s">
        <v>7095</v>
      </c>
      <c r="Q274" s="3738"/>
    </row>
    <row r="275" spans="1:17" ht="34.5" customHeight="1">
      <c r="A275" s="2033"/>
      <c r="B275" s="2078" t="s">
        <v>1840</v>
      </c>
      <c r="C275" s="3803" t="s">
        <v>3311</v>
      </c>
      <c r="D275" s="3803"/>
      <c r="E275" s="3803"/>
      <c r="F275" s="3803"/>
      <c r="G275" s="3803"/>
      <c r="H275" s="3803"/>
      <c r="I275" s="3803"/>
      <c r="J275" s="3803"/>
      <c r="K275" s="3803"/>
      <c r="L275" s="3803"/>
      <c r="M275" s="3803"/>
      <c r="N275" s="3803"/>
      <c r="O275" s="3803"/>
      <c r="P275" s="2056"/>
      <c r="Q275" s="2033"/>
    </row>
    <row r="276" spans="1:17" ht="34.5" customHeight="1">
      <c r="A276" s="2033"/>
      <c r="B276" s="2078" t="s">
        <v>1842</v>
      </c>
      <c r="C276" s="3803" t="s">
        <v>6836</v>
      </c>
      <c r="D276" s="3803"/>
      <c r="E276" s="3803"/>
      <c r="F276" s="3803"/>
      <c r="G276" s="3803"/>
      <c r="H276" s="3803"/>
      <c r="I276" s="3803"/>
      <c r="J276" s="3803"/>
      <c r="K276" s="3803"/>
      <c r="L276" s="3803"/>
      <c r="M276" s="3803"/>
      <c r="N276" s="3803"/>
      <c r="O276" s="3803"/>
      <c r="P276" s="2056"/>
      <c r="Q276" s="2026"/>
    </row>
    <row r="277" spans="1:17" ht="34.5" customHeight="1">
      <c r="A277" s="2033"/>
      <c r="C277" s="2430" t="s">
        <v>1843</v>
      </c>
      <c r="D277" s="3803" t="s">
        <v>3866</v>
      </c>
      <c r="E277" s="3803"/>
      <c r="F277" s="3803"/>
      <c r="G277" s="3803"/>
      <c r="H277" s="3803"/>
      <c r="I277" s="3803"/>
      <c r="J277" s="3803"/>
      <c r="K277" s="3803"/>
      <c r="L277" s="3803"/>
      <c r="M277" s="3803"/>
      <c r="N277" s="3803"/>
      <c r="O277" s="3803"/>
      <c r="P277" s="2044"/>
      <c r="Q277" s="2026"/>
    </row>
    <row r="278" spans="1:17" ht="15" customHeight="1">
      <c r="A278" s="2033"/>
      <c r="C278" s="2430" t="s">
        <v>1845</v>
      </c>
      <c r="D278" s="3859" t="s">
        <v>3867</v>
      </c>
      <c r="E278" s="3859"/>
      <c r="F278" s="3859"/>
      <c r="G278" s="3859"/>
      <c r="H278" s="3859"/>
      <c r="I278" s="3859"/>
      <c r="J278" s="3859"/>
      <c r="K278" s="3859"/>
      <c r="L278" s="3859"/>
      <c r="M278" s="3859"/>
      <c r="N278" s="3859"/>
      <c r="O278" s="3859"/>
      <c r="P278" s="2044"/>
      <c r="Q278" s="2026"/>
    </row>
    <row r="279" spans="1:17" ht="48" customHeight="1">
      <c r="A279" s="2033"/>
      <c r="C279" s="2430" t="s">
        <v>2331</v>
      </c>
      <c r="D279" s="3860" t="s">
        <v>3868</v>
      </c>
      <c r="E279" s="3860"/>
      <c r="F279" s="3860"/>
      <c r="G279" s="3860"/>
      <c r="H279" s="3860"/>
      <c r="I279" s="3860"/>
      <c r="J279" s="3860"/>
      <c r="K279" s="3860"/>
      <c r="L279" s="3860"/>
      <c r="M279" s="3860"/>
      <c r="N279" s="3860"/>
      <c r="O279" s="3860"/>
      <c r="P279" s="2044"/>
      <c r="Q279" s="2026"/>
    </row>
    <row r="280" spans="1:17" ht="48" customHeight="1">
      <c r="A280" s="2033"/>
      <c r="C280" s="2430" t="s">
        <v>1150</v>
      </c>
      <c r="D280" s="3860" t="s">
        <v>3869</v>
      </c>
      <c r="E280" s="3860"/>
      <c r="F280" s="3860"/>
      <c r="G280" s="3860"/>
      <c r="H280" s="3860"/>
      <c r="I280" s="3860"/>
      <c r="J280" s="3860"/>
      <c r="K280" s="3860"/>
      <c r="L280" s="3860"/>
      <c r="M280" s="3860"/>
      <c r="N280" s="3860"/>
      <c r="O280" s="3860"/>
      <c r="P280" s="2044"/>
      <c r="Q280" s="2026"/>
    </row>
    <row r="281" spans="1:17" ht="34.5" customHeight="1">
      <c r="A281" s="2033"/>
      <c r="B281" s="2078" t="s">
        <v>698</v>
      </c>
      <c r="C281" s="3803" t="s">
        <v>3312</v>
      </c>
      <c r="D281" s="3803"/>
      <c r="E281" s="3803"/>
      <c r="F281" s="3803"/>
      <c r="G281" s="3803"/>
      <c r="H281" s="3803"/>
      <c r="I281" s="3803"/>
      <c r="J281" s="3803"/>
      <c r="K281" s="3803"/>
      <c r="L281" s="3803"/>
      <c r="M281" s="3803"/>
      <c r="N281" s="3803"/>
      <c r="O281" s="3803"/>
      <c r="P281" s="2076"/>
      <c r="Q281" s="2026"/>
    </row>
    <row r="282" spans="1:17" ht="49.5" customHeight="1">
      <c r="A282" s="2033"/>
      <c r="B282" s="2078" t="s">
        <v>1961</v>
      </c>
      <c r="C282" s="3803" t="s">
        <v>3917</v>
      </c>
      <c r="D282" s="3803"/>
      <c r="E282" s="3803"/>
      <c r="F282" s="3803"/>
      <c r="G282" s="3803"/>
      <c r="H282" s="3803"/>
      <c r="I282" s="3803"/>
      <c r="J282" s="3803"/>
      <c r="K282" s="3803"/>
      <c r="L282" s="3803"/>
      <c r="M282" s="3803"/>
      <c r="N282" s="3803"/>
      <c r="O282" s="3803"/>
      <c r="P282" s="2076"/>
      <c r="Q282" s="2026"/>
    </row>
    <row r="283" spans="1:17" ht="34.5" customHeight="1">
      <c r="A283" s="2033"/>
      <c r="B283" s="2078" t="s">
        <v>1612</v>
      </c>
      <c r="C283" s="3803" t="s">
        <v>3918</v>
      </c>
      <c r="D283" s="3803"/>
      <c r="E283" s="3803"/>
      <c r="F283" s="3803"/>
      <c r="G283" s="3803"/>
      <c r="H283" s="3803"/>
      <c r="I283" s="3803"/>
      <c r="J283" s="3803"/>
      <c r="K283" s="3803"/>
      <c r="L283" s="3803"/>
      <c r="M283" s="3803"/>
      <c r="N283" s="3803"/>
      <c r="O283" s="3803"/>
      <c r="P283" s="2076"/>
      <c r="Q283" s="2026"/>
    </row>
    <row r="284" spans="1:17" ht="47.25" customHeight="1">
      <c r="A284" s="2071"/>
      <c r="B284" s="3803" t="s">
        <v>6837</v>
      </c>
      <c r="C284" s="3803"/>
      <c r="D284" s="3803"/>
      <c r="E284" s="3803"/>
      <c r="F284" s="3803"/>
      <c r="G284" s="3803"/>
      <c r="H284" s="3803"/>
      <c r="I284" s="3803"/>
      <c r="J284" s="3803"/>
      <c r="K284" s="3803"/>
      <c r="L284" s="3803"/>
      <c r="M284" s="3803"/>
      <c r="N284" s="3803"/>
      <c r="O284" s="3813"/>
      <c r="P284" s="3801" t="s">
        <v>7095</v>
      </c>
      <c r="Q284" s="380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1.5" customHeight="1">
      <c r="A286" s="3720" t="s">
        <v>7103</v>
      </c>
      <c r="B286" s="3843"/>
      <c r="C286" s="3843"/>
      <c r="D286" s="3843"/>
      <c r="E286" s="3843"/>
      <c r="F286" s="3843"/>
      <c r="G286" s="3843"/>
      <c r="H286" s="3843"/>
      <c r="I286" s="3843"/>
      <c r="J286" s="3843"/>
      <c r="K286" s="3843"/>
      <c r="L286" s="3843"/>
      <c r="M286" s="3843"/>
      <c r="N286" s="3843"/>
      <c r="O286" s="3843"/>
      <c r="P286" s="3843"/>
      <c r="Q286" s="3844"/>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725"/>
      <c r="B288" s="3845"/>
      <c r="C288" s="3845"/>
      <c r="D288" s="3845"/>
      <c r="E288" s="3845"/>
      <c r="F288" s="3845"/>
      <c r="G288" s="3845"/>
      <c r="H288" s="3845"/>
      <c r="I288" s="3845"/>
      <c r="J288" s="3845"/>
      <c r="K288" s="3845"/>
      <c r="L288" s="3845"/>
      <c r="M288" s="3845"/>
      <c r="N288" s="3845"/>
      <c r="O288" s="3845"/>
      <c r="P288" s="3845"/>
      <c r="Q288" s="384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1730</v>
      </c>
      <c r="P291" s="3723"/>
      <c r="Q291" s="3761"/>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0.25" customHeight="1">
      <c r="A293" s="3720" t="s">
        <v>7104</v>
      </c>
      <c r="B293" s="3843"/>
      <c r="C293" s="3843"/>
      <c r="D293" s="3843"/>
      <c r="E293" s="3843"/>
      <c r="F293" s="3843"/>
      <c r="G293" s="3843"/>
      <c r="H293" s="3843"/>
      <c r="I293" s="3843"/>
      <c r="J293" s="3843"/>
      <c r="K293" s="3843"/>
      <c r="L293" s="3843"/>
      <c r="M293" s="3843"/>
      <c r="N293" s="3843"/>
      <c r="O293" s="3843"/>
      <c r="P293" s="3843"/>
      <c r="Q293" s="3844"/>
    </row>
    <row r="294" spans="1:28" ht="20.25" customHeight="1">
      <c r="B294" s="2034" t="s">
        <v>1729</v>
      </c>
      <c r="C294" s="2035"/>
      <c r="D294" s="2036"/>
      <c r="E294" s="2036"/>
      <c r="F294" s="2036"/>
      <c r="G294" s="2036"/>
      <c r="H294" s="2036"/>
      <c r="I294" s="2036"/>
      <c r="J294" s="2036"/>
      <c r="K294" s="2036"/>
      <c r="L294" s="2036"/>
      <c r="M294" s="2036"/>
      <c r="N294" s="2036"/>
      <c r="O294" s="2036"/>
      <c r="P294" s="2036"/>
      <c r="Q294" s="2036"/>
    </row>
    <row r="295" spans="1:28" ht="20.25" customHeight="1">
      <c r="A295" s="3725"/>
      <c r="B295" s="3845"/>
      <c r="C295" s="3845"/>
      <c r="D295" s="3845"/>
      <c r="E295" s="3845"/>
      <c r="F295" s="3845"/>
      <c r="G295" s="3845"/>
      <c r="H295" s="3845"/>
      <c r="I295" s="3845"/>
      <c r="J295" s="3845"/>
      <c r="K295" s="3845"/>
      <c r="L295" s="3845"/>
      <c r="M295" s="3845"/>
      <c r="N295" s="3845"/>
      <c r="O295" s="3845"/>
      <c r="P295" s="3845"/>
      <c r="Q295" s="384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1952</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1979</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1974</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1975</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1976</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1977</v>
      </c>
      <c r="D311" s="2105"/>
      <c r="E311" s="2105"/>
      <c r="F311" s="2105"/>
      <c r="G311" s="2105"/>
      <c r="H311" s="2105"/>
      <c r="I311" s="2105"/>
      <c r="J311" s="2106" t="s">
        <v>1546</v>
      </c>
      <c r="K311" s="2105"/>
      <c r="L311" s="2105"/>
      <c r="M311" s="2105"/>
      <c r="N311" s="2107"/>
      <c r="O311" s="2106"/>
      <c r="P311" s="2108"/>
      <c r="Q311" s="2105"/>
    </row>
    <row r="312" spans="3:17" ht="20.25" customHeight="1">
      <c r="C312" s="2106" t="s">
        <v>1978</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1951</v>
      </c>
      <c r="K313" s="2105"/>
      <c r="L313" s="2105"/>
      <c r="M313" s="2105"/>
      <c r="N313" s="2107"/>
      <c r="O313" s="2106"/>
      <c r="P313" s="2108"/>
      <c r="Q313" s="2105"/>
    </row>
    <row r="314" spans="3:17" ht="20.25" customHeight="1">
      <c r="C314" s="2106" t="s">
        <v>2107</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2000</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1740</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1864</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2071</v>
      </c>
      <c r="L339" s="2105"/>
      <c r="M339" s="2105"/>
      <c r="N339" s="2105"/>
      <c r="O339" s="2105"/>
      <c r="P339" s="2105"/>
      <c r="Q339" s="2105"/>
    </row>
    <row r="340" spans="3:28" ht="20.25" customHeight="1">
      <c r="C340" s="2105" t="s">
        <v>1019</v>
      </c>
      <c r="D340" s="2105"/>
      <c r="E340" s="2105"/>
      <c r="F340" s="2105"/>
      <c r="G340" s="2105"/>
      <c r="H340" s="2105"/>
      <c r="I340" s="2105"/>
      <c r="J340" s="2105"/>
      <c r="K340" s="2105" t="s">
        <v>2146</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1964</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1808</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2184</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1937</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1938</v>
      </c>
      <c r="M356" s="2030" t="s">
        <v>1540</v>
      </c>
      <c r="R356" s="2099"/>
      <c r="S356" s="2099"/>
      <c r="T356" s="2099"/>
      <c r="U356" s="2099"/>
      <c r="V356" s="2099"/>
      <c r="W356" s="2099"/>
      <c r="X356" s="2099"/>
      <c r="Y356" s="2099"/>
      <c r="Z356" s="2099"/>
      <c r="AA356" s="2099"/>
      <c r="AB356" s="2099"/>
    </row>
    <row r="357" spans="3:28" s="2030" customFormat="1" ht="20.25" customHeight="1">
      <c r="C357" s="2030" t="s">
        <v>1809</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2034</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1951</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1887</v>
      </c>
      <c r="M369" s="2030" t="s">
        <v>3255</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85" zoomScaleNormal="85" workbookViewId="0">
      <selection activeCell="B396" sqref="B396:P396"/>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78" t="str">
        <f>CONCATENATE("PART EIGHT - SCORING CRITERIA","  -  ",'Part I-Project Identification'!$O$7," ",'Part I-Project Identification'!$F$25,", ",'Part I-Project Identification'!F26,", ",'Part I-Project Identification'!J26," County")</f>
        <v>PART EIGHT - SCORING CRITERIA  -  2023-5 Westbury, Decatur, DeKalb County</v>
      </c>
      <c r="B1" s="4079"/>
      <c r="C1" s="4079"/>
      <c r="D1" s="4079"/>
      <c r="E1" s="4079"/>
      <c r="F1" s="4079"/>
      <c r="G1" s="4079"/>
      <c r="H1" s="4079"/>
      <c r="I1" s="4079"/>
      <c r="J1" s="4079"/>
      <c r="K1" s="4079"/>
      <c r="L1" s="4079"/>
      <c r="M1" s="4079"/>
      <c r="N1" s="4079"/>
      <c r="O1" s="4079"/>
      <c r="P1" s="4080"/>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81" t="s">
        <v>6841</v>
      </c>
      <c r="B3" s="4081"/>
      <c r="C3" s="4081"/>
      <c r="D3" s="4081"/>
      <c r="E3" s="4081"/>
      <c r="F3" s="4081"/>
      <c r="G3" s="4081"/>
      <c r="H3" s="4081"/>
      <c r="I3" s="4081"/>
      <c r="J3" s="4081"/>
      <c r="K3" s="4081"/>
      <c r="L3" s="4081"/>
      <c r="M3" s="2123"/>
      <c r="N3" s="2121"/>
      <c r="O3" s="2124" t="s">
        <v>2049</v>
      </c>
      <c r="P3" s="2125" t="s">
        <v>245</v>
      </c>
      <c r="Q3" s="2116"/>
      <c r="R3" s="2116"/>
      <c r="S3" s="2116"/>
      <c r="T3" s="2116"/>
      <c r="U3" s="2116"/>
      <c r="V3" s="2116"/>
      <c r="W3" s="2116"/>
      <c r="X3" s="2117"/>
    </row>
    <row r="4" spans="1:25" s="2119" customFormat="1" ht="16.5" customHeight="1">
      <c r="A4" s="4081"/>
      <c r="B4" s="4081"/>
      <c r="C4" s="4081"/>
      <c r="D4" s="4081"/>
      <c r="E4" s="4081"/>
      <c r="F4" s="4081"/>
      <c r="G4" s="4081"/>
      <c r="H4" s="4081"/>
      <c r="I4" s="4081"/>
      <c r="J4" s="4081"/>
      <c r="K4" s="4081"/>
      <c r="L4" s="4081"/>
      <c r="M4" s="2123"/>
      <c r="N4" s="2126"/>
      <c r="O4" s="2127" t="s">
        <v>2050</v>
      </c>
      <c r="P4" s="2127" t="s">
        <v>2050</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2" t="str">
        <f>'Part I-Project Identification'!$A$6</f>
        <v>Sept 2023</v>
      </c>
      <c r="C6" s="4082"/>
      <c r="D6" s="4082"/>
      <c r="E6" s="4082"/>
      <c r="F6" s="4082"/>
      <c r="L6" s="2122" t="s">
        <v>1152</v>
      </c>
      <c r="M6" s="2131"/>
      <c r="N6" s="2132"/>
      <c r="O6" s="2133">
        <f>O404</f>
        <v>62</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3391</v>
      </c>
      <c r="B12" s="2144" t="s">
        <v>3392</v>
      </c>
      <c r="C12" s="2145"/>
      <c r="D12" s="2145"/>
      <c r="E12" s="2118" t="s">
        <v>3399</v>
      </c>
      <c r="F12" s="4083" t="s">
        <v>6495</v>
      </c>
      <c r="G12" s="4083"/>
      <c r="H12" s="4083"/>
      <c r="I12" s="4083"/>
      <c r="J12" s="4083"/>
      <c r="K12" s="4083"/>
      <c r="L12" s="4083"/>
      <c r="M12" s="4083"/>
      <c r="N12" s="4083"/>
      <c r="O12" s="2146" t="s">
        <v>3809</v>
      </c>
      <c r="P12" s="2147">
        <f>SUM(P13:P31)</f>
        <v>0</v>
      </c>
      <c r="Q12" s="4084"/>
      <c r="R12" s="4084"/>
      <c r="S12" s="4084"/>
      <c r="T12" s="4084"/>
      <c r="U12" s="4084"/>
      <c r="V12" s="2148"/>
    </row>
    <row r="13" spans="1:25" s="2119" customFormat="1" ht="14.45" customHeight="1">
      <c r="A13" s="2149" t="s">
        <v>1668</v>
      </c>
      <c r="B13" s="2150" t="s">
        <v>3393</v>
      </c>
      <c r="C13" s="2151"/>
      <c r="D13" s="2152"/>
      <c r="E13" s="2153">
        <f>$O$77</f>
        <v>20</v>
      </c>
      <c r="F13" s="4085" t="str">
        <f>$A$81</f>
        <v>Westbury has eleven (11) Desirable Activities within 1.5 miles and qualifies for twenty-two (22.0) Desirable Activities points, which allows the development to receive the maximum twenty (20) points in the category. The Food Desert Map states the site is in a Food Desert, but there is a Supermarket, Georgetown Food Market, within 0.2 miles. There is another grocery store, Food Depot, within a mile.</v>
      </c>
      <c r="G13" s="4086"/>
      <c r="H13" s="4086"/>
      <c r="I13" s="4086"/>
      <c r="J13" s="4086"/>
      <c r="K13" s="4086"/>
      <c r="L13" s="4086"/>
      <c r="M13" s="4086"/>
      <c r="N13" s="4086"/>
      <c r="O13" s="4086"/>
      <c r="P13" s="2154"/>
      <c r="Q13" s="4084"/>
      <c r="R13" s="4084"/>
      <c r="S13" s="4084"/>
      <c r="T13" s="4084"/>
      <c r="U13" s="4084"/>
      <c r="V13" s="2148"/>
    </row>
    <row r="14" spans="1:25" s="2119" customFormat="1" ht="14.45" customHeight="1">
      <c r="A14" s="2149" t="s">
        <v>496</v>
      </c>
      <c r="B14" s="2155" t="s">
        <v>4037</v>
      </c>
      <c r="C14" s="2156"/>
      <c r="D14" s="2157"/>
      <c r="E14" s="2158">
        <f>$O$86</f>
        <v>4</v>
      </c>
      <c r="F14" s="4066" t="str">
        <f>$A$102</f>
        <v>Westbury is within one (1.0) miles walking distance of a transit hub as defined by DCA. The hub services three bus lines - Routes 111, 116, and 119 - for MARTA. The lines are available more than five days a week. The services are publicized to the general public, the services are available to all residents, and services local routes. The MARTA website includes the cost of service, relevant transit route information, and route schedules. All backup documentation has been provided.</v>
      </c>
      <c r="G14" s="3893"/>
      <c r="H14" s="3893"/>
      <c r="I14" s="3893"/>
      <c r="J14" s="3893"/>
      <c r="K14" s="3893"/>
      <c r="L14" s="3893"/>
      <c r="M14" s="3893"/>
      <c r="N14" s="3893"/>
      <c r="O14" s="4067"/>
      <c r="P14" s="2160"/>
      <c r="Q14" s="4084"/>
      <c r="R14" s="4084"/>
      <c r="S14" s="4084"/>
      <c r="T14" s="4084"/>
      <c r="U14" s="4084"/>
    </row>
    <row r="15" spans="1:25" s="2119" customFormat="1" ht="14.45" customHeight="1">
      <c r="A15" s="2149" t="s">
        <v>720</v>
      </c>
      <c r="B15" s="2155" t="s">
        <v>3338</v>
      </c>
      <c r="C15" s="2156"/>
      <c r="D15" s="2157"/>
      <c r="E15" s="2158">
        <f>$O$106</f>
        <v>0</v>
      </c>
      <c r="F15" s="4066" t="str">
        <f>$A$117</f>
        <v>N/A</v>
      </c>
      <c r="G15" s="3893"/>
      <c r="H15" s="3893"/>
      <c r="I15" s="3893"/>
      <c r="J15" s="3893"/>
      <c r="K15" s="3893"/>
      <c r="L15" s="3893"/>
      <c r="M15" s="3893"/>
      <c r="N15" s="3893"/>
      <c r="O15" s="4067"/>
      <c r="P15" s="2160"/>
      <c r="Q15" s="2161"/>
      <c r="R15" s="2161"/>
      <c r="S15" s="2161"/>
      <c r="T15" s="2161"/>
      <c r="U15" s="2161"/>
    </row>
    <row r="16" spans="1:25" s="2119" customFormat="1" ht="14.45" customHeight="1">
      <c r="A16" s="2162" t="s">
        <v>280</v>
      </c>
      <c r="B16" s="2155" t="s">
        <v>3394</v>
      </c>
      <c r="C16" s="2156"/>
      <c r="D16" s="2157"/>
      <c r="E16" s="2450">
        <f>$O$122</f>
        <v>7</v>
      </c>
      <c r="F16" s="4066" t="str">
        <f>$A$137</f>
        <v>The development is within an area of a qualifying Community Revitalization Plan. The site is within the clearly Targeted Area that does not encompass the full Local Government Boundary. The plan discusses housing as a goal of the CRP. The plan includes an assessment of the targeted area's existing infrastructure. The plan designates implementation measures, and has been officially approved by the Local Government within ten (10) years. The site is within the Targeted Area. The Local Government solicited public input and engagement. The Local Government has demonstrated financial commitment to advance the CRP by adopting a TAD and a CID. The site is within a Qualified Census Tract. There has been Third Party Capital Investment that qualifies for the full two (2) points.</v>
      </c>
      <c r="G16" s="3893"/>
      <c r="H16" s="3893"/>
      <c r="I16" s="3893"/>
      <c r="J16" s="3893"/>
      <c r="K16" s="3893"/>
      <c r="L16" s="3893"/>
      <c r="M16" s="3893"/>
      <c r="N16" s="3893"/>
      <c r="O16" s="4067"/>
      <c r="P16" s="2160"/>
      <c r="Q16" s="2161"/>
      <c r="R16" s="2161"/>
      <c r="S16" s="2161"/>
      <c r="T16" s="2161"/>
      <c r="U16" s="2161"/>
    </row>
    <row r="17" spans="1:35" s="2119" customFormat="1" ht="14.45" customHeight="1">
      <c r="A17" s="2149" t="s">
        <v>401</v>
      </c>
      <c r="B17" s="2164" t="s">
        <v>3395</v>
      </c>
      <c r="C17" s="2165"/>
      <c r="D17" s="2166"/>
      <c r="E17" s="2167" t="s">
        <v>1610</v>
      </c>
      <c r="F17" s="4090">
        <f>$A$147</f>
        <v>0</v>
      </c>
      <c r="G17" s="4091"/>
      <c r="H17" s="4091"/>
      <c r="I17" s="4091"/>
      <c r="J17" s="4091"/>
      <c r="K17" s="4091"/>
      <c r="L17" s="4091"/>
      <c r="M17" s="4091"/>
      <c r="N17" s="4091"/>
      <c r="O17" s="4092"/>
      <c r="P17" s="2160"/>
      <c r="Q17" s="2161"/>
      <c r="R17" s="2161"/>
      <c r="S17" s="2161"/>
      <c r="T17" s="2161"/>
      <c r="U17" s="2161"/>
    </row>
    <row r="18" spans="1:35" s="2119" customFormat="1" ht="14.45" customHeight="1">
      <c r="A18" s="2149" t="s">
        <v>342</v>
      </c>
      <c r="B18" s="2155" t="s">
        <v>4038</v>
      </c>
      <c r="C18" s="2156"/>
      <c r="D18" s="2157"/>
      <c r="E18" s="2168">
        <f>$O$152</f>
        <v>0</v>
      </c>
      <c r="F18" s="4066" t="str">
        <f>$A$165</f>
        <v>N/A</v>
      </c>
      <c r="G18" s="3893"/>
      <c r="H18" s="3893"/>
      <c r="I18" s="3893"/>
      <c r="J18" s="3893"/>
      <c r="K18" s="3893"/>
      <c r="L18" s="3893"/>
      <c r="M18" s="3893"/>
      <c r="N18" s="3893"/>
      <c r="O18" s="4067"/>
      <c r="P18" s="2160"/>
      <c r="Q18" s="4093" t="str">
        <f>IF(OR($A$81="",$A$102="",$A$117="",$A$137="",$A$147="",$A$165="",$A$184="",$A$195="",$A$205="",$A$228="",$A$248="",$A$257="",$A$275="",$A$307="",$A$318="",$A$340="",$A$347="",$A$360="",$A$389=""),"Some Applicant Scoring Justification boxes are empty! Check to see if points claimed.","")</f>
        <v>Some Applicant Scoring Justification boxes are empty! Check to see if points claimed.</v>
      </c>
      <c r="R18" s="4033"/>
      <c r="S18" s="4033"/>
    </row>
    <row r="19" spans="1:35" s="2119" customFormat="1" ht="14.45" customHeight="1">
      <c r="A19" s="2149" t="s">
        <v>4040</v>
      </c>
      <c r="B19" s="2155" t="s">
        <v>3262</v>
      </c>
      <c r="C19" s="2156"/>
      <c r="D19" s="2157"/>
      <c r="E19" s="2168">
        <f>$O$179</f>
        <v>0</v>
      </c>
      <c r="F19" s="4066" t="str">
        <f>$A$184</f>
        <v>N/A</v>
      </c>
      <c r="G19" s="3893"/>
      <c r="H19" s="3893"/>
      <c r="I19" s="3893"/>
      <c r="J19" s="3893"/>
      <c r="K19" s="3893"/>
      <c r="L19" s="3893"/>
      <c r="M19" s="3893"/>
      <c r="N19" s="3893"/>
      <c r="O19" s="4067"/>
      <c r="P19" s="2160"/>
      <c r="Q19" s="4093"/>
      <c r="R19" s="4033"/>
      <c r="S19" s="4033"/>
    </row>
    <row r="20" spans="1:35" s="2119" customFormat="1" ht="14.45" customHeight="1">
      <c r="A20" s="2149" t="s">
        <v>4052</v>
      </c>
      <c r="B20" s="2155" t="s">
        <v>4041</v>
      </c>
      <c r="C20" s="2156"/>
      <c r="D20" s="2157"/>
      <c r="E20" s="2167">
        <f>$O$189</f>
        <v>0</v>
      </c>
      <c r="F20" s="4066">
        <f>$A$195</f>
        <v>0</v>
      </c>
      <c r="G20" s="3893"/>
      <c r="H20" s="3893"/>
      <c r="I20" s="3893"/>
      <c r="J20" s="3893"/>
      <c r="K20" s="3893"/>
      <c r="L20" s="3893"/>
      <c r="M20" s="3893"/>
      <c r="N20" s="3893"/>
      <c r="O20" s="4067"/>
      <c r="P20" s="2160"/>
      <c r="Q20" s="4093"/>
      <c r="R20" s="4033"/>
      <c r="S20" s="4033"/>
    </row>
    <row r="21" spans="1:35" s="2119" customFormat="1" ht="14.45" customHeight="1">
      <c r="A21" s="2169" t="s">
        <v>6242</v>
      </c>
      <c r="B21" s="2164" t="s">
        <v>4042</v>
      </c>
      <c r="C21" s="2165"/>
      <c r="D21" s="2166"/>
      <c r="E21" s="2170">
        <f>$O$200</f>
        <v>0</v>
      </c>
      <c r="F21" s="4090">
        <f>$A$205</f>
        <v>0</v>
      </c>
      <c r="G21" s="4091"/>
      <c r="H21" s="4091"/>
      <c r="I21" s="4091"/>
      <c r="J21" s="4091"/>
      <c r="K21" s="4091"/>
      <c r="L21" s="4091"/>
      <c r="M21" s="4091"/>
      <c r="N21" s="4091"/>
      <c r="O21" s="4092"/>
      <c r="P21" s="2160"/>
      <c r="Q21" s="4093"/>
      <c r="R21" s="4033"/>
      <c r="S21" s="4033"/>
    </row>
    <row r="22" spans="1:35" s="2119" customFormat="1" ht="14.45" customHeight="1">
      <c r="A22" s="2149" t="s">
        <v>6636</v>
      </c>
      <c r="B22" s="2155" t="s">
        <v>6548</v>
      </c>
      <c r="C22" s="2156"/>
      <c r="D22" s="2157"/>
      <c r="E22" s="2168">
        <f>$O$223</f>
        <v>0</v>
      </c>
      <c r="F22" s="4066">
        <f>$A$228</f>
        <v>0</v>
      </c>
      <c r="G22" s="3893"/>
      <c r="H22" s="3893"/>
      <c r="I22" s="3893"/>
      <c r="J22" s="3893"/>
      <c r="K22" s="3893"/>
      <c r="L22" s="3893"/>
      <c r="M22" s="3893"/>
      <c r="N22" s="3893"/>
      <c r="O22" s="4067"/>
      <c r="P22" s="2160"/>
      <c r="Q22" s="4093"/>
      <c r="R22" s="4033"/>
      <c r="S22" s="4033"/>
    </row>
    <row r="23" spans="1:35" s="2119" customFormat="1" ht="14.45" customHeight="1">
      <c r="A23" s="2149" t="s">
        <v>6638</v>
      </c>
      <c r="B23" s="2155" t="s">
        <v>6637</v>
      </c>
      <c r="C23" s="2156"/>
      <c r="D23" s="2157"/>
      <c r="E23" s="2168">
        <f>$O$233</f>
        <v>2</v>
      </c>
      <c r="F23" s="4066" t="str">
        <f>$A$248</f>
        <v>The Applicant commits to engage QBs in the development or operation of Westbury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23" s="3893"/>
      <c r="H23" s="3893"/>
      <c r="I23" s="3893"/>
      <c r="J23" s="3893"/>
      <c r="K23" s="3893"/>
      <c r="L23" s="3893"/>
      <c r="M23" s="3893"/>
      <c r="N23" s="3893"/>
      <c r="O23" s="4067"/>
      <c r="P23" s="2160"/>
      <c r="Q23" s="4093"/>
      <c r="R23" s="4033"/>
      <c r="S23" s="4033"/>
    </row>
    <row r="24" spans="1:35" s="2119" customFormat="1" ht="14.45" customHeight="1">
      <c r="A24" s="2162" t="s">
        <v>3368</v>
      </c>
      <c r="B24" s="2171" t="s">
        <v>6554</v>
      </c>
      <c r="C24" s="2172"/>
      <c r="D24" s="2173"/>
      <c r="E24" s="2163">
        <f>$O$253</f>
        <v>0</v>
      </c>
      <c r="F24" s="4087">
        <f>$A$257</f>
        <v>0</v>
      </c>
      <c r="G24" s="4088"/>
      <c r="H24" s="4088"/>
      <c r="I24" s="4088"/>
      <c r="J24" s="4088"/>
      <c r="K24" s="4088"/>
      <c r="L24" s="4088"/>
      <c r="M24" s="4088"/>
      <c r="N24" s="4088"/>
      <c r="O24" s="4089"/>
      <c r="P24" s="2160"/>
      <c r="Q24" s="4093"/>
      <c r="R24" s="4033"/>
      <c r="S24" s="4033"/>
    </row>
    <row r="25" spans="1:35" s="2119" customFormat="1" ht="14.45" customHeight="1">
      <c r="A25" s="2149" t="s">
        <v>3372</v>
      </c>
      <c r="B25" s="2155" t="s">
        <v>3396</v>
      </c>
      <c r="C25" s="2156"/>
      <c r="D25" s="2157"/>
      <c r="E25" s="2168">
        <f>$O$271</f>
        <v>0</v>
      </c>
      <c r="F25" s="4066">
        <f>$A$275</f>
        <v>0</v>
      </c>
      <c r="G25" s="3893"/>
      <c r="H25" s="3893"/>
      <c r="I25" s="3893"/>
      <c r="J25" s="3893"/>
      <c r="K25" s="3893"/>
      <c r="L25" s="3893"/>
      <c r="M25" s="3893"/>
      <c r="N25" s="3893"/>
      <c r="O25" s="4067"/>
      <c r="P25" s="2160"/>
      <c r="Q25" s="4093"/>
      <c r="R25" s="4033"/>
      <c r="S25" s="4033"/>
    </row>
    <row r="26" spans="1:35" s="2119" customFormat="1" ht="14.45" customHeight="1">
      <c r="A26" s="2149" t="s">
        <v>3375</v>
      </c>
      <c r="B26" s="2155" t="s">
        <v>3397</v>
      </c>
      <c r="C26" s="2156"/>
      <c r="D26" s="2157"/>
      <c r="E26" s="2168">
        <f>$O$280</f>
        <v>0</v>
      </c>
      <c r="F26" s="4066" t="str">
        <f>$A$307</f>
        <v>N/A</v>
      </c>
      <c r="G26" s="3893"/>
      <c r="H26" s="3893"/>
      <c r="I26" s="3893"/>
      <c r="J26" s="3893"/>
      <c r="K26" s="3893"/>
      <c r="L26" s="3893"/>
      <c r="M26" s="3893"/>
      <c r="N26" s="3893"/>
      <c r="O26" s="4067"/>
      <c r="P26" s="2160"/>
      <c r="Q26" s="4093"/>
      <c r="R26" s="4033"/>
      <c r="S26" s="4033"/>
    </row>
    <row r="27" spans="1:35" s="2119" customFormat="1" ht="14.45" customHeight="1">
      <c r="A27" s="2149" t="s">
        <v>3376</v>
      </c>
      <c r="B27" s="2155" t="s">
        <v>3398</v>
      </c>
      <c r="C27" s="2156"/>
      <c r="D27" s="2157"/>
      <c r="E27" s="2167">
        <f>$O$312</f>
        <v>0</v>
      </c>
      <c r="F27" s="4066">
        <f>$A$318</f>
        <v>0</v>
      </c>
      <c r="G27" s="3893"/>
      <c r="H27" s="3893"/>
      <c r="I27" s="3893"/>
      <c r="J27" s="3893"/>
      <c r="K27" s="3893"/>
      <c r="L27" s="3893"/>
      <c r="M27" s="3893"/>
      <c r="N27" s="3893"/>
      <c r="O27" s="4067"/>
      <c r="P27" s="2160"/>
      <c r="Q27" s="2174"/>
      <c r="R27" s="2116"/>
      <c r="S27" s="2116"/>
      <c r="AA27" s="2129"/>
      <c r="AB27" s="2129"/>
      <c r="AC27" s="2129"/>
      <c r="AD27" s="2129"/>
      <c r="AE27" s="2129"/>
      <c r="AF27" s="2129"/>
    </row>
    <row r="28" spans="1:35" s="2119" customFormat="1" ht="14.45" customHeight="1">
      <c r="A28" s="2175" t="s">
        <v>3378</v>
      </c>
      <c r="B28" s="2176" t="s">
        <v>6635</v>
      </c>
      <c r="C28" s="2177"/>
      <c r="D28" s="2178"/>
      <c r="E28" s="2179">
        <f>$O$332</f>
        <v>3</v>
      </c>
      <c r="F28" s="4094" t="str">
        <f>$A$340</f>
        <v>The Applicant agrees to accept a DCA PBRA Agreement for not more than 20% of the units. The development will have a Family tenancy.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28" s="4095"/>
      <c r="H28" s="4095"/>
      <c r="I28" s="4095"/>
      <c r="J28" s="4095"/>
      <c r="K28" s="4095"/>
      <c r="L28" s="4095"/>
      <c r="M28" s="4095"/>
      <c r="N28" s="4095"/>
      <c r="O28" s="4096"/>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3379</v>
      </c>
      <c r="B29" s="2155" t="s">
        <v>6131</v>
      </c>
      <c r="C29" s="2156"/>
      <c r="D29" s="2157"/>
      <c r="E29" s="2168">
        <f>$O$345</f>
        <v>0</v>
      </c>
      <c r="F29" s="4066" t="str">
        <f>$A$347</f>
        <v>N/A</v>
      </c>
      <c r="G29" s="3893"/>
      <c r="H29" s="3893"/>
      <c r="I29" s="3893"/>
      <c r="J29" s="3893"/>
      <c r="K29" s="3893"/>
      <c r="L29" s="3893"/>
      <c r="M29" s="3893"/>
      <c r="N29" s="3893"/>
      <c r="O29" s="4067"/>
      <c r="P29" s="2160"/>
      <c r="Q29" s="2174"/>
      <c r="R29" s="2116"/>
      <c r="S29" s="2116"/>
    </row>
    <row r="30" spans="1:35" s="2119" customFormat="1" ht="14.45" customHeight="1">
      <c r="A30" s="2149" t="s">
        <v>3802</v>
      </c>
      <c r="B30" s="2155" t="s">
        <v>6552</v>
      </c>
      <c r="C30" s="2156"/>
      <c r="D30" s="2157"/>
      <c r="E30" s="2168">
        <f>$O$358</f>
        <v>0</v>
      </c>
      <c r="F30" s="4066" t="str">
        <f>$A$360</f>
        <v>N/A</v>
      </c>
      <c r="G30" s="3893"/>
      <c r="H30" s="3893"/>
      <c r="I30" s="3893"/>
      <c r="J30" s="3893"/>
      <c r="K30" s="3893"/>
      <c r="L30" s="3893"/>
      <c r="M30" s="3893"/>
      <c r="N30" s="3893"/>
      <c r="O30" s="4067"/>
      <c r="P30" s="2160"/>
      <c r="Q30" s="2174"/>
    </row>
    <row r="31" spans="1:35" s="2119" customFormat="1" ht="14.45" customHeight="1">
      <c r="A31" s="2149" t="s">
        <v>6555</v>
      </c>
      <c r="B31" s="2155" t="s">
        <v>6553</v>
      </c>
      <c r="C31" s="2156"/>
      <c r="D31" s="2157"/>
      <c r="E31" s="2168">
        <f>$O$365</f>
        <v>0</v>
      </c>
      <c r="F31" s="4066" t="str">
        <f>$A$369</f>
        <v>N/A</v>
      </c>
      <c r="G31" s="3893"/>
      <c r="H31" s="3893"/>
      <c r="I31" s="3893"/>
      <c r="J31" s="3893"/>
      <c r="K31" s="3893"/>
      <c r="L31" s="3893"/>
      <c r="M31" s="3893"/>
      <c r="N31" s="3893"/>
      <c r="O31" s="4067"/>
      <c r="P31" s="2448"/>
      <c r="Q31" s="2174"/>
    </row>
    <row r="32" spans="1:35" s="2119" customFormat="1" ht="14.45" customHeight="1">
      <c r="A32" s="2449" t="s">
        <v>6915</v>
      </c>
      <c r="B32" s="2176" t="s">
        <v>6932</v>
      </c>
      <c r="C32" s="2177"/>
      <c r="D32" s="2177"/>
      <c r="E32" s="2447">
        <f>$O$373</f>
        <v>0</v>
      </c>
      <c r="F32" s="4094">
        <f>$A$388</f>
        <v>0</v>
      </c>
      <c r="G32" s="4095"/>
      <c r="H32" s="4095"/>
      <c r="I32" s="4095"/>
      <c r="J32" s="4095"/>
      <c r="K32" s="4095"/>
      <c r="L32" s="4095"/>
      <c r="M32" s="4095"/>
      <c r="N32" s="4095"/>
      <c r="O32" s="4096"/>
      <c r="P32" s="2181"/>
      <c r="Q32" s="2116"/>
    </row>
    <row r="33" spans="1:35" ht="12.75" customHeight="1">
      <c r="Q33" s="2183"/>
    </row>
    <row r="34" spans="1:35" ht="13.5" customHeight="1">
      <c r="A34" s="3865" t="s">
        <v>6946</v>
      </c>
      <c r="B34" s="3865"/>
      <c r="C34" s="3865"/>
      <c r="D34" s="3865"/>
      <c r="E34" s="4112" t="str">
        <f>IF(OR((C36-A36&gt;0),(D36-A36&gt;0)),"Points Exceed Max!","")</f>
        <v/>
      </c>
      <c r="F34" s="3938" t="s">
        <v>6880</v>
      </c>
      <c r="G34" s="3939"/>
      <c r="H34" s="3939"/>
      <c r="I34" s="3940"/>
      <c r="J34" s="4097" t="s">
        <v>6139</v>
      </c>
      <c r="K34" s="4098"/>
      <c r="L34" s="4098"/>
      <c r="M34" s="4099"/>
      <c r="O34" s="3944" t="s">
        <v>6881</v>
      </c>
      <c r="P34" s="3944"/>
      <c r="Q34" s="2183"/>
    </row>
    <row r="35" spans="1:35" ht="13.5" customHeight="1">
      <c r="A35" s="4117" t="s">
        <v>6906</v>
      </c>
      <c r="B35" s="4118"/>
      <c r="C35" s="2454" t="s">
        <v>2889</v>
      </c>
      <c r="D35" s="2453" t="s">
        <v>245</v>
      </c>
      <c r="E35" s="4112"/>
      <c r="F35" s="3941"/>
      <c r="G35" s="3942"/>
      <c r="H35" s="3942"/>
      <c r="I35" s="3943"/>
      <c r="J35" s="4100"/>
      <c r="K35" s="4101"/>
      <c r="L35" s="4101"/>
      <c r="M35" s="4102"/>
      <c r="O35" s="3945"/>
      <c r="P35" s="3945"/>
    </row>
    <row r="36" spans="1:35" ht="10.5" customHeight="1">
      <c r="A36" s="4113">
        <v>33</v>
      </c>
      <c r="B36" s="4114"/>
      <c r="C36" s="4127">
        <f>IF($O$36="4%",O77+O86+O106+O122+O152+O179,0)</f>
        <v>31</v>
      </c>
      <c r="D36" s="4125">
        <f>IF($O$36="4%",P77+P86+P106+P122+P152+P179,0)</f>
        <v>0</v>
      </c>
      <c r="E36" s="4112"/>
      <c r="F36" s="4060" t="s">
        <v>6124</v>
      </c>
      <c r="G36" s="4061"/>
      <c r="H36" s="4061"/>
      <c r="I36" s="4062"/>
      <c r="J36" s="4103" t="s">
        <v>3021</v>
      </c>
      <c r="K36" s="4104"/>
      <c r="L36" s="4104"/>
      <c r="M36" s="4105"/>
      <c r="O36" s="394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7"/>
    </row>
    <row r="37" spans="1:35" ht="10.5" customHeight="1">
      <c r="A37" s="4115"/>
      <c r="B37" s="4116"/>
      <c r="C37" s="4128"/>
      <c r="D37" s="4126"/>
      <c r="E37" s="4112"/>
      <c r="F37" s="4063"/>
      <c r="G37" s="4064"/>
      <c r="H37" s="4064"/>
      <c r="I37" s="4065"/>
      <c r="J37" s="4106"/>
      <c r="K37" s="4107"/>
      <c r="L37" s="4107"/>
      <c r="M37" s="4108"/>
      <c r="O37" s="3946"/>
      <c r="P37" s="394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1840</v>
      </c>
      <c r="B42" s="2129" t="s">
        <v>3804</v>
      </c>
      <c r="F42" s="2121"/>
      <c r="N42" s="2252"/>
      <c r="P42" s="2202">
        <f>SUM(P43:P45)</f>
        <v>0</v>
      </c>
    </row>
    <row r="43" spans="1:35">
      <c r="A43" s="2136"/>
      <c r="B43" s="2203" t="s">
        <v>1843</v>
      </c>
      <c r="C43" s="2119" t="s">
        <v>3807</v>
      </c>
      <c r="D43" s="2119"/>
      <c r="E43" s="2119"/>
      <c r="F43" s="2121"/>
      <c r="H43" s="2119"/>
      <c r="J43" s="2139"/>
      <c r="N43" s="2212"/>
      <c r="O43" s="2118"/>
      <c r="P43" s="2204">
        <f>F51</f>
        <v>0</v>
      </c>
    </row>
    <row r="44" spans="1:35">
      <c r="A44" s="2136"/>
      <c r="B44" s="2203" t="s">
        <v>1845</v>
      </c>
      <c r="C44" s="2119" t="s">
        <v>6872</v>
      </c>
      <c r="D44" s="2119"/>
      <c r="E44" s="2119"/>
      <c r="F44" s="2121"/>
      <c r="H44" s="2119"/>
      <c r="J44" s="2139"/>
      <c r="N44" s="2212"/>
      <c r="O44" s="2118"/>
      <c r="P44" s="2205">
        <f>J51</f>
        <v>0</v>
      </c>
    </row>
    <row r="45" spans="1:35">
      <c r="A45" s="2136"/>
      <c r="B45" s="2203" t="s">
        <v>2331</v>
      </c>
      <c r="C45" s="2119" t="s">
        <v>3806</v>
      </c>
      <c r="D45" s="2119"/>
      <c r="E45" s="2119"/>
      <c r="F45" s="2121"/>
      <c r="H45" s="2119"/>
      <c r="J45" s="2139"/>
      <c r="N45" s="2212"/>
      <c r="O45" s="2118"/>
      <c r="P45" s="2206"/>
    </row>
    <row r="46" spans="1:35">
      <c r="C46" s="3887" t="s">
        <v>6844</v>
      </c>
      <c r="D46" s="3888"/>
      <c r="E46" s="3888"/>
      <c r="F46" s="3888"/>
      <c r="G46" s="3888"/>
      <c r="H46" s="3888"/>
      <c r="I46" s="3888"/>
      <c r="J46" s="3888"/>
      <c r="K46" s="3888"/>
      <c r="L46" s="3888"/>
      <c r="M46" s="3888"/>
      <c r="N46" s="3888"/>
      <c r="O46" s="3888"/>
      <c r="P46" s="3889"/>
      <c r="Q46" s="2207"/>
      <c r="R46" s="2207"/>
    </row>
    <row r="47" spans="1:35" ht="3" customHeight="1">
      <c r="A47" s="2208"/>
      <c r="B47" s="2209"/>
      <c r="C47" s="2210"/>
      <c r="D47" s="2155"/>
      <c r="K47" s="2211"/>
      <c r="L47" s="2211"/>
      <c r="M47" s="2121"/>
      <c r="N47" s="2212"/>
      <c r="O47" s="2132"/>
      <c r="P47" s="2132"/>
    </row>
    <row r="48" spans="1:35" s="2119" customFormat="1" ht="12.75" customHeight="1">
      <c r="A48" s="2136" t="s">
        <v>1842</v>
      </c>
      <c r="B48" s="2129" t="s">
        <v>679</v>
      </c>
      <c r="F48" s="2121"/>
      <c r="J48" s="2139"/>
      <c r="M48" s="2121"/>
      <c r="N48" s="2252" t="s">
        <v>1842</v>
      </c>
      <c r="P48" s="2213">
        <f>O51</f>
        <v>0</v>
      </c>
    </row>
    <row r="49" spans="1:20" ht="3" customHeight="1">
      <c r="A49" s="2208"/>
      <c r="B49" s="2209"/>
      <c r="C49" s="2210"/>
      <c r="D49" s="2155"/>
      <c r="K49" s="2211"/>
      <c r="L49" s="2211"/>
      <c r="M49" s="2121"/>
      <c r="N49" s="2212"/>
      <c r="O49" s="2132"/>
      <c r="P49" s="2132"/>
    </row>
    <row r="50" spans="1:20" s="2119" customFormat="1" ht="16.5" customHeight="1">
      <c r="A50" s="3942" t="s">
        <v>6873</v>
      </c>
      <c r="B50" s="3942"/>
      <c r="C50" s="3942"/>
      <c r="D50" s="3942"/>
      <c r="E50" s="3942"/>
      <c r="F50" s="2214" t="s">
        <v>3179</v>
      </c>
      <c r="G50" s="3942" t="s">
        <v>6874</v>
      </c>
      <c r="H50" s="3942"/>
      <c r="I50" s="3942"/>
      <c r="J50" s="2214" t="s">
        <v>3179</v>
      </c>
      <c r="K50" s="4119" t="s">
        <v>6875</v>
      </c>
      <c r="L50" s="4119"/>
      <c r="M50" s="4119"/>
      <c r="N50" s="4119"/>
      <c r="O50" s="3875" t="s">
        <v>3179</v>
      </c>
      <c r="P50" s="3876"/>
      <c r="R50" s="2207"/>
      <c r="S50" s="2215"/>
    </row>
    <row r="51" spans="1:20" s="2119" customFormat="1" ht="12.75" customHeight="1">
      <c r="A51" s="4109"/>
      <c r="B51" s="4109"/>
      <c r="C51" s="4109"/>
      <c r="D51" s="4109"/>
      <c r="E51" s="4109"/>
      <c r="F51" s="2216">
        <f>SUM(F52:F63)</f>
        <v>0</v>
      </c>
      <c r="G51" s="4110"/>
      <c r="H51" s="4109"/>
      <c r="I51" s="4111"/>
      <c r="J51" s="2216">
        <f>SUM(J52:J63)</f>
        <v>0</v>
      </c>
      <c r="K51" s="4120"/>
      <c r="L51" s="4121"/>
      <c r="M51" s="4121"/>
      <c r="N51" s="4122"/>
      <c r="O51" s="4123">
        <f>SUM(O52:O63)</f>
        <v>0</v>
      </c>
      <c r="P51" s="4124"/>
      <c r="Q51" s="2207"/>
      <c r="R51" s="2215"/>
    </row>
    <row r="52" spans="1:20" s="2119" customFormat="1" ht="29.25" customHeight="1">
      <c r="A52" s="4071">
        <v>1</v>
      </c>
      <c r="B52" s="4072"/>
      <c r="C52" s="4072"/>
      <c r="D52" s="4072"/>
      <c r="E52" s="4073"/>
      <c r="F52" s="2217"/>
      <c r="G52" s="4071">
        <v>1</v>
      </c>
      <c r="H52" s="4072"/>
      <c r="I52" s="4073"/>
      <c r="J52" s="2218" t="s">
        <v>1610</v>
      </c>
      <c r="K52" s="4074">
        <v>1</v>
      </c>
      <c r="L52" s="4075"/>
      <c r="M52" s="4075"/>
      <c r="N52" s="4075"/>
      <c r="O52" s="4076" t="s">
        <v>1610</v>
      </c>
      <c r="P52" s="4077"/>
      <c r="Q52" s="2250"/>
      <c r="R52" s="2215"/>
    </row>
    <row r="53" spans="1:20" s="2119" customFormat="1" ht="29.25" customHeight="1">
      <c r="A53" s="4046">
        <v>2</v>
      </c>
      <c r="B53" s="4047"/>
      <c r="C53" s="4047"/>
      <c r="D53" s="4047"/>
      <c r="E53" s="4048"/>
      <c r="F53" s="2219"/>
      <c r="G53" s="4046">
        <v>2</v>
      </c>
      <c r="H53" s="4047"/>
      <c r="I53" s="4048"/>
      <c r="J53" s="2219"/>
      <c r="K53" s="4056">
        <v>2</v>
      </c>
      <c r="L53" s="4057"/>
      <c r="M53" s="4057"/>
      <c r="N53" s="4057"/>
      <c r="O53" s="4049"/>
      <c r="P53" s="4050"/>
      <c r="Q53" s="2207"/>
      <c r="R53" s="2215"/>
    </row>
    <row r="54" spans="1:20" s="2119" customFormat="1" ht="29.25" customHeight="1">
      <c r="A54" s="4046">
        <v>3</v>
      </c>
      <c r="B54" s="4047"/>
      <c r="C54" s="4047"/>
      <c r="D54" s="4047"/>
      <c r="E54" s="4048"/>
      <c r="F54" s="2219"/>
      <c r="G54" s="4046">
        <v>3</v>
      </c>
      <c r="H54" s="4047"/>
      <c r="I54" s="4048"/>
      <c r="J54" s="2220"/>
      <c r="K54" s="4056">
        <v>3</v>
      </c>
      <c r="L54" s="4057"/>
      <c r="M54" s="4057"/>
      <c r="N54" s="4057"/>
      <c r="O54" s="4049"/>
      <c r="P54" s="4050"/>
      <c r="Q54" s="2402"/>
      <c r="R54" s="2148"/>
      <c r="S54" s="2148"/>
      <c r="T54" s="2148"/>
    </row>
    <row r="55" spans="1:20" s="2119" customFormat="1" ht="29.25" customHeight="1">
      <c r="A55" s="4046">
        <v>4</v>
      </c>
      <c r="B55" s="4047"/>
      <c r="C55" s="4047"/>
      <c r="D55" s="4047"/>
      <c r="E55" s="4048"/>
      <c r="F55" s="2219"/>
      <c r="G55" s="4046">
        <v>4</v>
      </c>
      <c r="H55" s="4047"/>
      <c r="I55" s="4048"/>
      <c r="J55" s="2219"/>
      <c r="K55" s="4056">
        <v>4</v>
      </c>
      <c r="L55" s="4057"/>
      <c r="M55" s="4057"/>
      <c r="N55" s="4057"/>
      <c r="O55" s="4049"/>
      <c r="P55" s="4050"/>
      <c r="Q55" s="2402"/>
      <c r="R55" s="2148"/>
      <c r="S55" s="2148"/>
      <c r="T55" s="2148"/>
    </row>
    <row r="56" spans="1:20" s="2119" customFormat="1" ht="29.25" customHeight="1">
      <c r="A56" s="4046">
        <v>5</v>
      </c>
      <c r="B56" s="4047"/>
      <c r="C56" s="4047"/>
      <c r="D56" s="4047"/>
      <c r="E56" s="4048"/>
      <c r="F56" s="2219"/>
      <c r="G56" s="4046">
        <v>5</v>
      </c>
      <c r="H56" s="4047"/>
      <c r="I56" s="4048"/>
      <c r="J56" s="2220"/>
      <c r="K56" s="4056">
        <v>5</v>
      </c>
      <c r="L56" s="4057"/>
      <c r="M56" s="4057"/>
      <c r="N56" s="4057"/>
      <c r="O56" s="4049"/>
      <c r="P56" s="4050"/>
      <c r="Q56" s="2402"/>
      <c r="R56" s="2148"/>
      <c r="S56" s="2148"/>
      <c r="T56" s="2148"/>
    </row>
    <row r="57" spans="1:20" s="2119" customFormat="1" ht="29.25" customHeight="1">
      <c r="A57" s="4046">
        <v>6</v>
      </c>
      <c r="B57" s="4047"/>
      <c r="C57" s="4047"/>
      <c r="D57" s="4047"/>
      <c r="E57" s="4048"/>
      <c r="F57" s="2219"/>
      <c r="G57" s="4046">
        <v>6</v>
      </c>
      <c r="H57" s="4047"/>
      <c r="I57" s="4048"/>
      <c r="J57" s="2219"/>
      <c r="K57" s="4056">
        <v>6</v>
      </c>
      <c r="L57" s="4057"/>
      <c r="M57" s="4057"/>
      <c r="N57" s="4057"/>
      <c r="O57" s="4049"/>
      <c r="P57" s="4050"/>
      <c r="Q57" s="2402"/>
      <c r="R57" s="2148"/>
    </row>
    <row r="58" spans="1:20" s="2119" customFormat="1" ht="29.25" customHeight="1">
      <c r="A58" s="4046">
        <v>7</v>
      </c>
      <c r="B58" s="4047"/>
      <c r="C58" s="4047"/>
      <c r="D58" s="4047"/>
      <c r="E58" s="4048"/>
      <c r="F58" s="2219"/>
      <c r="G58" s="4046">
        <v>7</v>
      </c>
      <c r="H58" s="4047"/>
      <c r="I58" s="4048"/>
      <c r="J58" s="2220"/>
      <c r="K58" s="4056">
        <v>7</v>
      </c>
      <c r="L58" s="4057"/>
      <c r="M58" s="4057"/>
      <c r="N58" s="4057"/>
      <c r="O58" s="4049"/>
      <c r="P58" s="4050"/>
      <c r="Q58" s="2215"/>
      <c r="R58" s="2215"/>
    </row>
    <row r="59" spans="1:20" s="2119" customFormat="1" ht="29.25" customHeight="1">
      <c r="A59" s="4046">
        <v>8</v>
      </c>
      <c r="B59" s="4047"/>
      <c r="C59" s="4047"/>
      <c r="D59" s="4047"/>
      <c r="E59" s="4048"/>
      <c r="F59" s="2219"/>
      <c r="G59" s="4046">
        <v>8</v>
      </c>
      <c r="H59" s="4047"/>
      <c r="I59" s="4048"/>
      <c r="J59" s="2219"/>
      <c r="K59" s="4056">
        <v>8</v>
      </c>
      <c r="L59" s="4057"/>
      <c r="M59" s="4057"/>
      <c r="N59" s="4057"/>
      <c r="O59" s="4049"/>
      <c r="P59" s="4050"/>
      <c r="Q59" s="2215"/>
      <c r="R59" s="2215"/>
    </row>
    <row r="60" spans="1:20" s="2119" customFormat="1" ht="29.25" customHeight="1">
      <c r="A60" s="4046">
        <v>9</v>
      </c>
      <c r="B60" s="4047"/>
      <c r="C60" s="4047"/>
      <c r="D60" s="4047"/>
      <c r="E60" s="4048"/>
      <c r="F60" s="2219"/>
      <c r="G60" s="4046">
        <v>9</v>
      </c>
      <c r="H60" s="4047"/>
      <c r="I60" s="4048"/>
      <c r="J60" s="2220"/>
      <c r="K60" s="4056">
        <v>9</v>
      </c>
      <c r="L60" s="4057"/>
      <c r="M60" s="4057"/>
      <c r="N60" s="4057"/>
      <c r="O60" s="4049"/>
      <c r="P60" s="4050"/>
      <c r="Q60" s="2215"/>
      <c r="R60" s="2215"/>
    </row>
    <row r="61" spans="1:20" s="2119" customFormat="1" ht="29.25" customHeight="1">
      <c r="A61" s="4046">
        <v>10</v>
      </c>
      <c r="B61" s="4047"/>
      <c r="C61" s="4047"/>
      <c r="D61" s="4047"/>
      <c r="E61" s="4048"/>
      <c r="F61" s="2219"/>
      <c r="G61" s="4046">
        <v>10</v>
      </c>
      <c r="H61" s="4047"/>
      <c r="I61" s="4048"/>
      <c r="J61" s="2219"/>
      <c r="K61" s="4056">
        <v>10</v>
      </c>
      <c r="L61" s="4057"/>
      <c r="M61" s="4057"/>
      <c r="N61" s="4057"/>
      <c r="O61" s="4049"/>
      <c r="P61" s="4050"/>
      <c r="Q61" s="2215"/>
    </row>
    <row r="62" spans="1:20" s="2119" customFormat="1" ht="29.25" customHeight="1">
      <c r="A62" s="4046">
        <v>11</v>
      </c>
      <c r="B62" s="4047"/>
      <c r="C62" s="4047"/>
      <c r="D62" s="4047"/>
      <c r="E62" s="4048"/>
      <c r="F62" s="2219"/>
      <c r="G62" s="4046">
        <v>11</v>
      </c>
      <c r="H62" s="4047"/>
      <c r="I62" s="4048"/>
      <c r="J62" s="2220"/>
      <c r="K62" s="4046">
        <v>11</v>
      </c>
      <c r="L62" s="4047"/>
      <c r="M62" s="4047"/>
      <c r="N62" s="4048"/>
      <c r="O62" s="4049"/>
      <c r="P62" s="4050"/>
      <c r="Q62" s="2215"/>
      <c r="R62" s="2215"/>
    </row>
    <row r="63" spans="1:20" s="2119" customFormat="1" ht="29.25" customHeight="1">
      <c r="A63" s="4051">
        <v>12</v>
      </c>
      <c r="B63" s="4052"/>
      <c r="C63" s="4052"/>
      <c r="D63" s="4052"/>
      <c r="E63" s="4053"/>
      <c r="F63" s="2221"/>
      <c r="G63" s="4051">
        <v>12</v>
      </c>
      <c r="H63" s="4052"/>
      <c r="I63" s="4053"/>
      <c r="J63" s="2221"/>
      <c r="K63" s="4051">
        <v>12</v>
      </c>
      <c r="L63" s="4052"/>
      <c r="M63" s="4052"/>
      <c r="N63" s="4053"/>
      <c r="O63" s="4054"/>
      <c r="P63" s="4055"/>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1840</v>
      </c>
      <c r="B68" s="2231" t="s">
        <v>6876</v>
      </c>
      <c r="C68" s="2253"/>
      <c r="D68" s="2253"/>
      <c r="E68" s="2253"/>
      <c r="F68" s="2253"/>
      <c r="G68" s="2118" t="s">
        <v>6645</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3812</v>
      </c>
      <c r="G69" s="2119" t="s">
        <v>3813</v>
      </c>
      <c r="I69" s="2236"/>
      <c r="J69" s="2237">
        <f>'Part V-Revenues &amp; Expenses'!$B$50</f>
        <v>57.857142857142854</v>
      </c>
      <c r="L69" s="2183"/>
      <c r="M69" s="2121">
        <v>2</v>
      </c>
      <c r="N69" s="2370"/>
      <c r="O69" s="2238">
        <v>2</v>
      </c>
      <c r="P69" s="2239"/>
      <c r="Q69" s="2240" t="str">
        <f>IF(OR($O69=$M69,$O69=0,$O69=""),"","*CHECK!*")</f>
        <v/>
      </c>
      <c r="R69" s="2303"/>
    </row>
    <row r="70" spans="1:19" s="2119" customFormat="1" ht="15.95" customHeight="1">
      <c r="A70" s="2233"/>
      <c r="B70" s="2330"/>
      <c r="C70" s="2235" t="s">
        <v>3814</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1842</v>
      </c>
      <c r="B72" s="2231" t="s">
        <v>6879</v>
      </c>
      <c r="G72" s="2184" t="s">
        <v>6845</v>
      </c>
      <c r="I72" s="2403"/>
      <c r="J72" s="2243">
        <f>IF(OR('Part V-Revenues &amp; Expenses'!$P$65="", 'Part V-Revenues &amp; Expenses'!$P$65=0),0,'Part V-Revenues &amp; Expenses'!$P$100/'Part V-Revenues &amp; Expenses'!$P$65)</f>
        <v>9.5238095238095233E-2</v>
      </c>
      <c r="M72" s="2122">
        <v>3</v>
      </c>
      <c r="N72" s="2308"/>
      <c r="O72" s="2306"/>
      <c r="P72" s="2307"/>
    </row>
    <row r="73" spans="1:19" ht="15.95" customHeight="1">
      <c r="A73" s="2119"/>
      <c r="B73" s="2246" t="s">
        <v>1729</v>
      </c>
      <c r="D73" s="2247"/>
      <c r="E73" s="2159"/>
      <c r="F73" s="2159"/>
      <c r="G73" s="2159"/>
      <c r="H73" s="2159"/>
      <c r="I73" s="2159"/>
      <c r="J73" s="2159"/>
      <c r="K73" s="2159"/>
      <c r="L73" s="2159"/>
      <c r="M73" s="2159"/>
      <c r="N73" s="2248"/>
      <c r="O73" s="2249"/>
      <c r="P73" s="2122"/>
    </row>
    <row r="74" spans="1:19" ht="15.95" customHeight="1">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3367</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1840</v>
      </c>
      <c r="B78" s="2129" t="s">
        <v>1736</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1842</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52.5" customHeight="1" thickTop="1" thickBot="1">
      <c r="A81" s="3894" t="s">
        <v>7105</v>
      </c>
      <c r="B81" s="3895"/>
      <c r="C81" s="3895"/>
      <c r="D81" s="3895"/>
      <c r="E81" s="3895"/>
      <c r="F81" s="3895"/>
      <c r="G81" s="3895"/>
      <c r="H81" s="3895"/>
      <c r="I81" s="3895"/>
      <c r="J81" s="3895"/>
      <c r="K81" s="3895"/>
      <c r="L81" s="3895"/>
      <c r="M81" s="3895"/>
      <c r="N81" s="3895"/>
      <c r="O81" s="3895"/>
      <c r="P81" s="3896"/>
      <c r="Q81" s="2207"/>
      <c r="R81" s="2207"/>
    </row>
    <row r="82" spans="1:21" ht="15.95" customHeight="1" thickTop="1">
      <c r="A82" s="2119"/>
      <c r="B82" s="2139" t="s">
        <v>1729</v>
      </c>
      <c r="C82" s="2119"/>
      <c r="D82" s="2259"/>
      <c r="E82" s="2159"/>
      <c r="F82" s="2159"/>
      <c r="G82" s="2159"/>
      <c r="H82" s="2159"/>
      <c r="I82" s="2159"/>
      <c r="J82" s="2159"/>
      <c r="K82" s="2159"/>
      <c r="L82" s="2159"/>
      <c r="M82" s="2159"/>
      <c r="N82" s="2248"/>
      <c r="O82" s="2249"/>
      <c r="P82" s="2122"/>
    </row>
    <row r="83" spans="1:21" ht="15.95" customHeight="1">
      <c r="A83" s="3887"/>
      <c r="B83" s="3888"/>
      <c r="C83" s="3888"/>
      <c r="D83" s="3888"/>
      <c r="E83" s="3888"/>
      <c r="F83" s="3888"/>
      <c r="G83" s="3888"/>
      <c r="H83" s="3888"/>
      <c r="I83" s="3888"/>
      <c r="J83" s="3888"/>
      <c r="K83" s="3888"/>
      <c r="L83" s="3888"/>
      <c r="M83" s="3888"/>
      <c r="N83" s="3888"/>
      <c r="O83" s="3888"/>
      <c r="P83" s="3889"/>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2413</v>
      </c>
      <c r="H86" s="2405"/>
      <c r="I86" s="2231"/>
      <c r="J86" s="2208"/>
      <c r="K86" s="2122"/>
      <c r="L86" s="2208"/>
      <c r="M86" s="2122">
        <v>6</v>
      </c>
      <c r="N86" s="2252"/>
      <c r="O86" s="2264">
        <f>IF($F$36="New Supply",MAX(O94,O97),0)</f>
        <v>4</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3326</v>
      </c>
      <c r="F88" s="4045" t="s">
        <v>3216</v>
      </c>
      <c r="G88" s="4045"/>
      <c r="H88" s="4045"/>
      <c r="I88" s="4045"/>
      <c r="J88" s="4045" t="s">
        <v>3217</v>
      </c>
      <c r="K88" s="4045"/>
      <c r="L88" s="4045"/>
      <c r="M88" s="4045"/>
      <c r="N88" s="2252"/>
      <c r="O88" s="3877" t="s">
        <v>6846</v>
      </c>
      <c r="P88" s="3877"/>
      <c r="R88" s="2155"/>
      <c r="S88" s="2273">
        <v>0.5</v>
      </c>
      <c r="T88" s="2273">
        <v>4.5</v>
      </c>
      <c r="U88" s="2265"/>
    </row>
    <row r="89" spans="1:21" ht="15.95" customHeight="1">
      <c r="B89" s="2270"/>
      <c r="C89" s="2413" t="s">
        <v>6847</v>
      </c>
      <c r="F89" s="4037">
        <v>33.759445999999997</v>
      </c>
      <c r="G89" s="4038"/>
      <c r="H89" s="4039"/>
      <c r="I89" s="4040"/>
      <c r="J89" s="4037">
        <v>-84.237944999999996</v>
      </c>
      <c r="K89" s="4038"/>
      <c r="L89" s="4039"/>
      <c r="M89" s="4040"/>
      <c r="N89" s="2118"/>
      <c r="O89" s="3878"/>
      <c r="P89" s="3878"/>
      <c r="R89" s="2272" t="s">
        <v>6670</v>
      </c>
      <c r="S89" s="2278">
        <v>1</v>
      </c>
      <c r="T89" s="2278">
        <v>4</v>
      </c>
      <c r="U89" s="2265"/>
    </row>
    <row r="90" spans="1:21" ht="15.95" customHeight="1">
      <c r="A90" s="2270"/>
      <c r="B90" s="2156"/>
      <c r="C90" s="2413" t="s">
        <v>6848</v>
      </c>
      <c r="F90" s="4041">
        <v>33.763463999999999</v>
      </c>
      <c r="G90" s="4042"/>
      <c r="H90" s="4043"/>
      <c r="I90" s="4044"/>
      <c r="J90" s="4041">
        <v>-84.227771000000004</v>
      </c>
      <c r="K90" s="4042"/>
      <c r="L90" s="4043"/>
      <c r="M90" s="4044"/>
      <c r="N90" s="2252"/>
      <c r="O90" s="2274">
        <v>0.8</v>
      </c>
      <c r="P90" s="2275"/>
      <c r="R90" s="2276"/>
      <c r="S90" s="2279">
        <v>0.25</v>
      </c>
      <c r="T90" s="2279">
        <v>3</v>
      </c>
      <c r="U90" s="2265"/>
    </row>
    <row r="91" spans="1:21" ht="15.95" customHeight="1">
      <c r="A91" s="2156"/>
      <c r="B91" s="4034" t="s">
        <v>6885</v>
      </c>
      <c r="C91" s="4034"/>
      <c r="D91" s="4034"/>
      <c r="E91" s="4034"/>
      <c r="F91" s="2137" t="s">
        <v>6849</v>
      </c>
      <c r="G91" s="4036" t="s">
        <v>1672</v>
      </c>
      <c r="H91" s="4036"/>
      <c r="I91" s="4036"/>
      <c r="J91" s="4036" t="s">
        <v>6882</v>
      </c>
      <c r="K91" s="4036"/>
      <c r="L91" s="4036"/>
      <c r="M91" s="4036"/>
      <c r="N91" s="4036"/>
      <c r="O91" s="4036"/>
      <c r="P91" s="4036"/>
      <c r="R91" s="2277"/>
      <c r="S91" s="2273">
        <v>0.5</v>
      </c>
      <c r="T91" s="2273">
        <v>2</v>
      </c>
      <c r="U91" s="2265"/>
    </row>
    <row r="92" spans="1:21" ht="26.25" customHeight="1">
      <c r="A92" s="2156"/>
      <c r="B92" s="3948" t="s">
        <v>7107</v>
      </c>
      <c r="C92" s="3948"/>
      <c r="D92" s="3948"/>
      <c r="E92" s="3948"/>
      <c r="F92" s="2409" t="s">
        <v>7106</v>
      </c>
      <c r="G92" s="4035" t="s">
        <v>7108</v>
      </c>
      <c r="H92" s="4035"/>
      <c r="I92" s="4035"/>
      <c r="J92" s="4035" t="s">
        <v>7109</v>
      </c>
      <c r="K92" s="4035"/>
      <c r="L92" s="4035"/>
      <c r="M92" s="4035"/>
      <c r="N92" s="4035"/>
      <c r="O92" s="4035"/>
      <c r="P92" s="4035"/>
      <c r="R92" s="2272" t="s">
        <v>6671</v>
      </c>
      <c r="S92" s="2278">
        <v>1</v>
      </c>
      <c r="T92" s="2278">
        <v>1</v>
      </c>
      <c r="U92" s="2265"/>
    </row>
    <row r="93" spans="1:21" ht="10.5" customHeight="1">
      <c r="A93" s="2138"/>
      <c r="B93" s="2141"/>
      <c r="F93" s="2280"/>
      <c r="M93" s="2122"/>
      <c r="N93" s="2122"/>
      <c r="O93" s="2122"/>
      <c r="P93" s="2122"/>
      <c r="Q93" s="2201"/>
      <c r="R93" s="2265"/>
      <c r="S93" s="2265"/>
      <c r="T93" s="2265"/>
      <c r="U93" s="2265"/>
    </row>
    <row r="94" spans="1:21" ht="15.95" customHeight="1">
      <c r="A94" s="2281" t="s">
        <v>1840</v>
      </c>
      <c r="B94" s="2129" t="s">
        <v>3238</v>
      </c>
      <c r="F94" s="2258"/>
      <c r="M94" s="2122">
        <v>6</v>
      </c>
      <c r="N94" s="2212"/>
      <c r="O94" s="2282">
        <f>IF(OR($J$36="Atlanta Metro",$J$36="Other Metro",$J$36="N/A-4%"),MIN($M94,O95+O96),0)</f>
        <v>4</v>
      </c>
      <c r="P94" s="2282">
        <f>IF(OR($J$36="Atlanta Metro",$J$36="Other Metro",$J$36="N/A-4%"),MIN($M94,P95+P96),0)</f>
        <v>0</v>
      </c>
      <c r="Q94" s="2201"/>
    </row>
    <row r="95" spans="1:21" s="2155" customFormat="1" ht="32.1" customHeight="1">
      <c r="B95" s="2283" t="s">
        <v>1843</v>
      </c>
      <c r="C95" s="3893" t="s">
        <v>6877</v>
      </c>
      <c r="D95" s="3893"/>
      <c r="E95" s="3893"/>
      <c r="F95" s="3893"/>
      <c r="G95" s="3893"/>
      <c r="H95" s="3893"/>
      <c r="I95" s="3893"/>
      <c r="J95" s="3893"/>
      <c r="K95" s="3893"/>
      <c r="L95" s="3893"/>
      <c r="M95" s="2284">
        <v>6</v>
      </c>
      <c r="N95" s="2406"/>
      <c r="O95" s="2285"/>
      <c r="P95" s="2286"/>
      <c r="S95" s="2303"/>
    </row>
    <row r="96" spans="1:21" s="2155" customFormat="1" ht="15.95" customHeight="1">
      <c r="A96" s="2208" t="s">
        <v>1275</v>
      </c>
      <c r="B96" s="2283" t="s">
        <v>1845</v>
      </c>
      <c r="C96" s="2119" t="s">
        <v>6878</v>
      </c>
      <c r="D96" s="2119"/>
      <c r="E96" s="2119"/>
      <c r="F96" s="2119"/>
      <c r="G96" s="2119"/>
      <c r="H96" s="2119"/>
      <c r="I96" s="2119"/>
      <c r="J96" s="4033"/>
      <c r="K96" s="4033"/>
      <c r="L96" s="4033"/>
      <c r="M96" s="2121">
        <v>5</v>
      </c>
      <c r="N96" s="2142"/>
      <c r="O96" s="2256">
        <v>4</v>
      </c>
      <c r="P96" s="2257"/>
    </row>
    <row r="97" spans="1:21" s="2155" customFormat="1" ht="15.95" customHeight="1">
      <c r="A97" s="2281" t="s">
        <v>1842</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1843</v>
      </c>
      <c r="C98" s="2119" t="s">
        <v>6850</v>
      </c>
      <c r="D98" s="2253"/>
      <c r="E98" s="2253"/>
      <c r="F98" s="2253"/>
      <c r="G98" s="2253"/>
      <c r="H98" s="2253"/>
      <c r="I98" s="2253"/>
      <c r="J98" s="2291"/>
      <c r="K98" s="2291"/>
      <c r="L98" s="2291"/>
      <c r="M98" s="2121">
        <v>3</v>
      </c>
      <c r="N98" s="2142"/>
      <c r="O98" s="2292"/>
      <c r="P98" s="2293"/>
      <c r="U98" s="2155"/>
    </row>
    <row r="99" spans="1:21" ht="15.95" customHeight="1">
      <c r="A99" s="2208" t="s">
        <v>1275</v>
      </c>
      <c r="B99" s="2290" t="s">
        <v>1845</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93" t="s">
        <v>6883</v>
      </c>
      <c r="D100" s="3893"/>
      <c r="E100" s="3893"/>
      <c r="F100" s="3893"/>
      <c r="G100" s="3893"/>
      <c r="H100" s="3893"/>
      <c r="I100" s="3893"/>
      <c r="J100" s="3893"/>
      <c r="K100" s="3893"/>
      <c r="L100" s="3893"/>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54" customHeight="1" thickTop="1" thickBot="1">
      <c r="A102" s="3894" t="s">
        <v>7110</v>
      </c>
      <c r="B102" s="3895"/>
      <c r="C102" s="3895"/>
      <c r="D102" s="3895"/>
      <c r="E102" s="3895"/>
      <c r="F102" s="3895"/>
      <c r="G102" s="3895"/>
      <c r="H102" s="3895"/>
      <c r="I102" s="3895"/>
      <c r="J102" s="3895"/>
      <c r="K102" s="3895"/>
      <c r="L102" s="3895"/>
      <c r="M102" s="3895"/>
      <c r="N102" s="3895"/>
      <c r="O102" s="3895"/>
      <c r="P102" s="3896"/>
      <c r="Q102" s="2207"/>
      <c r="R102" s="2207"/>
    </row>
    <row r="103" spans="1:21" s="2119" customFormat="1" ht="15.95" customHeight="1" thickTop="1">
      <c r="B103" s="2246" t="s">
        <v>1729</v>
      </c>
      <c r="D103" s="2246"/>
      <c r="E103" s="2297"/>
      <c r="F103" s="2297"/>
      <c r="G103" s="2297"/>
      <c r="H103" s="2297"/>
      <c r="I103" s="2297"/>
      <c r="J103" s="2297"/>
      <c r="K103" s="2297"/>
      <c r="L103" s="2297"/>
      <c r="M103" s="2297"/>
      <c r="N103" s="2266"/>
      <c r="O103" s="2123"/>
      <c r="P103" s="2122"/>
      <c r="Q103" s="2118"/>
    </row>
    <row r="104" spans="1:21" ht="15.95" customHeight="1">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1" t="s">
        <v>6908</v>
      </c>
      <c r="G107" s="3881"/>
      <c r="H107" s="3881" t="s">
        <v>6909</v>
      </c>
      <c r="I107" s="3881"/>
      <c r="J107" s="4027" t="s">
        <v>6933</v>
      </c>
      <c r="K107" s="4028"/>
      <c r="L107" s="3879" t="s">
        <v>6888</v>
      </c>
      <c r="M107" s="3879"/>
      <c r="N107" s="3879"/>
      <c r="O107" s="3880"/>
      <c r="P107" s="2302"/>
    </row>
    <row r="108" spans="1:21" ht="24.6" customHeight="1">
      <c r="B108" s="2427"/>
      <c r="C108" s="2427"/>
      <c r="D108" s="2427"/>
      <c r="E108" s="2426"/>
      <c r="F108" s="3881"/>
      <c r="G108" s="3881"/>
      <c r="H108" s="3881"/>
      <c r="I108" s="3881"/>
      <c r="J108" s="4029"/>
      <c r="K108" s="4030"/>
      <c r="L108" s="3881"/>
      <c r="M108" s="3881"/>
      <c r="N108" s="3881"/>
      <c r="O108" s="3880"/>
      <c r="P108" s="2302"/>
    </row>
    <row r="109" spans="1:21" ht="15.95" customHeight="1">
      <c r="B109" s="2428" t="s">
        <v>6629</v>
      </c>
      <c r="C109" s="2429"/>
      <c r="D109" s="2426"/>
      <c r="E109" s="2426"/>
      <c r="F109" s="3882"/>
      <c r="G109" s="3882"/>
      <c r="H109" s="3882"/>
      <c r="I109" s="3882"/>
      <c r="J109" s="4031"/>
      <c r="K109" s="4032"/>
      <c r="L109" s="3882"/>
      <c r="M109" s="3882"/>
      <c r="N109" s="3882"/>
      <c r="O109" s="3883"/>
      <c r="P109" s="2302"/>
    </row>
    <row r="110" spans="1:21" ht="15.95" customHeight="1">
      <c r="B110" s="4015"/>
      <c r="C110" s="4016"/>
      <c r="D110" s="4016"/>
      <c r="E110" s="4017"/>
      <c r="F110" s="4025"/>
      <c r="G110" s="4026"/>
      <c r="H110" s="4025"/>
      <c r="I110" s="4026"/>
      <c r="J110" s="3872"/>
      <c r="K110" s="3874"/>
      <c r="L110" s="3872"/>
      <c r="M110" s="3873"/>
      <c r="N110" s="3873"/>
      <c r="O110" s="3874"/>
      <c r="P110" s="2255"/>
    </row>
    <row r="111" spans="1:21" ht="15.95" customHeight="1">
      <c r="B111" s="4009"/>
      <c r="C111" s="4010"/>
      <c r="D111" s="4010"/>
      <c r="E111" s="4011"/>
      <c r="F111" s="4022"/>
      <c r="G111" s="4023"/>
      <c r="H111" s="4022"/>
      <c r="I111" s="4023"/>
      <c r="J111" s="3869"/>
      <c r="K111" s="3871"/>
      <c r="L111" s="3869"/>
      <c r="M111" s="3870"/>
      <c r="N111" s="3870"/>
      <c r="O111" s="3871"/>
      <c r="P111" s="2268"/>
    </row>
    <row r="112" spans="1:21" ht="15.95" customHeight="1">
      <c r="B112" s="4009"/>
      <c r="C112" s="4010"/>
      <c r="D112" s="4010"/>
      <c r="E112" s="4011"/>
      <c r="F112" s="4022"/>
      <c r="G112" s="4023"/>
      <c r="H112" s="4022"/>
      <c r="I112" s="4023"/>
      <c r="J112" s="3869"/>
      <c r="K112" s="3871"/>
      <c r="L112" s="3869"/>
      <c r="M112" s="3870"/>
      <c r="N112" s="3870"/>
      <c r="O112" s="3871"/>
      <c r="P112" s="2268"/>
    </row>
    <row r="113" spans="1:21" ht="15.95" customHeight="1">
      <c r="B113" s="4009"/>
      <c r="C113" s="4010"/>
      <c r="D113" s="4010"/>
      <c r="E113" s="4011"/>
      <c r="F113" s="4022"/>
      <c r="G113" s="4023"/>
      <c r="H113" s="4022"/>
      <c r="I113" s="4023"/>
      <c r="J113" s="3869"/>
      <c r="K113" s="3871"/>
      <c r="L113" s="3869"/>
      <c r="M113" s="3870"/>
      <c r="N113" s="3870"/>
      <c r="O113" s="3871"/>
      <c r="P113" s="2268"/>
    </row>
    <row r="114" spans="1:21" ht="15.95" customHeight="1">
      <c r="B114" s="4009"/>
      <c r="C114" s="4010"/>
      <c r="D114" s="4010"/>
      <c r="E114" s="4011"/>
      <c r="F114" s="4022"/>
      <c r="G114" s="4023"/>
      <c r="H114" s="4022"/>
      <c r="I114" s="4023"/>
      <c r="J114" s="3869"/>
      <c r="K114" s="3871"/>
      <c r="L114" s="3869"/>
      <c r="M114" s="3870"/>
      <c r="N114" s="3870"/>
      <c r="O114" s="3871"/>
      <c r="P114" s="2268"/>
    </row>
    <row r="115" spans="1:21" ht="15.95" customHeight="1">
      <c r="B115" s="4012"/>
      <c r="C115" s="4013"/>
      <c r="D115" s="4013"/>
      <c r="E115" s="4014"/>
      <c r="F115" s="4018"/>
      <c r="G115" s="4019"/>
      <c r="H115" s="4018"/>
      <c r="I115" s="4019"/>
      <c r="J115" s="4020"/>
      <c r="K115" s="4021"/>
      <c r="L115" s="4020"/>
      <c r="M115" s="4024"/>
      <c r="N115" s="4024"/>
      <c r="O115" s="4021"/>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894" t="s">
        <v>906</v>
      </c>
      <c r="B117" s="3895"/>
      <c r="C117" s="3895"/>
      <c r="D117" s="3895"/>
      <c r="E117" s="3895"/>
      <c r="F117" s="3895"/>
      <c r="G117" s="3895"/>
      <c r="H117" s="3895"/>
      <c r="I117" s="3895"/>
      <c r="J117" s="3895"/>
      <c r="K117" s="3895"/>
      <c r="L117" s="3895"/>
      <c r="M117" s="3895"/>
      <c r="N117" s="3895"/>
      <c r="O117" s="3895"/>
      <c r="P117" s="3896"/>
      <c r="Q117" s="2207"/>
    </row>
    <row r="118" spans="1:21" ht="15.95" customHeight="1" thickTop="1">
      <c r="A118" s="2119"/>
      <c r="B118" s="2247" t="s">
        <v>1729</v>
      </c>
      <c r="C118" s="2145"/>
      <c r="D118" s="2247"/>
      <c r="E118" s="2180"/>
      <c r="F118" s="2159"/>
      <c r="G118" s="2159"/>
      <c r="H118" s="2159"/>
      <c r="I118" s="2159"/>
      <c r="J118" s="2159"/>
      <c r="K118" s="2159"/>
      <c r="L118" s="2159"/>
      <c r="M118" s="2159"/>
      <c r="N118" s="2248"/>
      <c r="O118" s="2249"/>
      <c r="P118" s="2122"/>
    </row>
    <row r="119" spans="1:21" ht="15.95" customHeight="1">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3339</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1840</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31.5" customHeight="1">
      <c r="A125" s="2309"/>
      <c r="B125" s="2252"/>
      <c r="C125" s="2155" t="s">
        <v>6886</v>
      </c>
      <c r="D125" s="2155"/>
      <c r="E125" s="2155"/>
      <c r="F125" s="2155"/>
      <c r="G125" s="2155"/>
      <c r="H125" s="2155"/>
      <c r="I125" s="2155"/>
      <c r="J125" s="2155"/>
      <c r="K125" s="2155"/>
      <c r="L125" s="2308"/>
      <c r="M125" s="4015" t="s">
        <v>7115</v>
      </c>
      <c r="N125" s="4016"/>
      <c r="O125" s="4016"/>
      <c r="P125" s="4017"/>
      <c r="S125" s="2116"/>
      <c r="T125" s="2116"/>
      <c r="U125" s="2116"/>
    </row>
    <row r="126" spans="1:21" s="2119" customFormat="1" ht="70.5" customHeight="1">
      <c r="B126" s="2252"/>
      <c r="C126" s="2119" t="s">
        <v>6852</v>
      </c>
      <c r="L126" s="2252"/>
      <c r="M126" s="4009" t="s">
        <v>7112</v>
      </c>
      <c r="N126" s="4010"/>
      <c r="O126" s="4010"/>
      <c r="P126" s="4011"/>
      <c r="S126" s="2116"/>
      <c r="T126" s="2116"/>
      <c r="U126" s="2116"/>
    </row>
    <row r="127" spans="1:21" s="2119" customFormat="1" ht="15.95" customHeight="1">
      <c r="B127" s="2252"/>
      <c r="C127" s="2119" t="s">
        <v>6853</v>
      </c>
      <c r="L127" s="2252"/>
      <c r="M127" s="4009" t="s">
        <v>7113</v>
      </c>
      <c r="N127" s="4010"/>
      <c r="O127" s="4010"/>
      <c r="P127" s="4011"/>
      <c r="Q127" s="2310">
        <f>IF(K127="Yes",1,0)</f>
        <v>0</v>
      </c>
      <c r="S127" s="2116"/>
      <c r="T127" s="2116"/>
      <c r="U127" s="2116"/>
    </row>
    <row r="128" spans="1:21" s="2119" customFormat="1" ht="15.95" customHeight="1">
      <c r="A128" s="2252"/>
      <c r="B128" s="2252"/>
      <c r="C128" s="2119" t="s">
        <v>6854</v>
      </c>
      <c r="L128" s="2252"/>
      <c r="M128" s="4009" t="s">
        <v>7111</v>
      </c>
      <c r="N128" s="4010"/>
      <c r="O128" s="4010"/>
      <c r="P128" s="4011"/>
      <c r="Q128" s="2310">
        <f>IF(K128="Yes",1,0)</f>
        <v>0</v>
      </c>
      <c r="S128" s="2116"/>
      <c r="T128" s="2116"/>
      <c r="U128" s="2116"/>
    </row>
    <row r="129" spans="1:22" s="2119" customFormat="1" ht="15.95" customHeight="1">
      <c r="A129" s="2252"/>
      <c r="B129" s="2252"/>
      <c r="C129" s="2119" t="s">
        <v>6891</v>
      </c>
      <c r="L129" s="2252"/>
      <c r="M129" s="4012" t="s">
        <v>7114</v>
      </c>
      <c r="N129" s="4013"/>
      <c r="O129" s="4013"/>
      <c r="P129" s="4014"/>
      <c r="Q129" s="2310"/>
      <c r="S129" s="2116"/>
      <c r="T129" s="2116"/>
      <c r="U129" s="2116"/>
      <c r="V129" s="2310"/>
    </row>
    <row r="130" spans="1:22" ht="15.95" customHeight="1">
      <c r="A130" s="2309"/>
      <c r="B130" s="2305" t="s">
        <v>1843</v>
      </c>
      <c r="C130" s="2231" t="s">
        <v>6890</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1845</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93" t="s">
        <v>6855</v>
      </c>
      <c r="D132" s="3893"/>
      <c r="E132" s="3893"/>
      <c r="F132" s="3893"/>
      <c r="G132" s="3893"/>
      <c r="H132" s="3893"/>
      <c r="I132" s="3893"/>
      <c r="J132" s="3893"/>
      <c r="K132" s="3893"/>
      <c r="L132" s="3893"/>
      <c r="M132" s="2284">
        <v>1</v>
      </c>
      <c r="N132" s="2308"/>
      <c r="O132" s="2312">
        <v>1</v>
      </c>
      <c r="P132" s="2313"/>
      <c r="Q132" s="2240" t="str">
        <f>IF(OR($O132=$M132,$O132=0,$O132=""),"","*CHECK!*")</f>
        <v/>
      </c>
      <c r="R132" s="2303"/>
    </row>
    <row r="133" spans="1:22" ht="30.75" customHeight="1">
      <c r="A133" s="2233"/>
      <c r="B133" s="2308"/>
      <c r="C133" s="3893" t="s">
        <v>6899</v>
      </c>
      <c r="D133" s="3893"/>
      <c r="E133" s="3893"/>
      <c r="F133" s="3893"/>
      <c r="G133" s="3893"/>
      <c r="H133" s="3893"/>
      <c r="I133" s="3893"/>
      <c r="J133" s="3893"/>
      <c r="K133" s="3893"/>
      <c r="L133" s="3893"/>
      <c r="M133" s="2284">
        <v>1</v>
      </c>
      <c r="N133" s="2308"/>
      <c r="O133" s="2314">
        <v>1</v>
      </c>
      <c r="P133" s="2315"/>
      <c r="Q133" s="2240" t="str">
        <f>IF(OR($O133=$M133,$O133=0,$O133=""),"","*CHECK!*")</f>
        <v/>
      </c>
      <c r="R133" s="2303"/>
    </row>
    <row r="134" spans="1:22" ht="15.95" customHeight="1">
      <c r="A134" s="2233"/>
      <c r="B134" s="2228"/>
      <c r="C134" s="2118" t="s">
        <v>6856</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1842</v>
      </c>
      <c r="B135" s="2129" t="s">
        <v>3821</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3241</v>
      </c>
      <c r="M136" s="2121"/>
      <c r="N136" s="2121"/>
      <c r="O136" s="2131"/>
      <c r="P136" s="2122"/>
    </row>
    <row r="137" spans="1:22" ht="76.5" customHeight="1" thickTop="1" thickBot="1">
      <c r="A137" s="3894" t="s">
        <v>7116</v>
      </c>
      <c r="B137" s="3895"/>
      <c r="C137" s="3895"/>
      <c r="D137" s="3895"/>
      <c r="E137" s="3895"/>
      <c r="F137" s="3895"/>
      <c r="G137" s="3895"/>
      <c r="H137" s="3895"/>
      <c r="I137" s="3895"/>
      <c r="J137" s="3895"/>
      <c r="K137" s="3895"/>
      <c r="L137" s="3895"/>
      <c r="M137" s="3895"/>
      <c r="N137" s="3895"/>
      <c r="O137" s="3895"/>
      <c r="P137" s="3896"/>
      <c r="Q137" s="2207"/>
    </row>
    <row r="138" spans="1:22" s="2119" customFormat="1" ht="15.95" customHeight="1" thickTop="1">
      <c r="B138" s="2246" t="s">
        <v>1729</v>
      </c>
      <c r="D138" s="2246"/>
      <c r="E138" s="2297"/>
      <c r="F138" s="2297"/>
      <c r="G138" s="2297"/>
      <c r="H138" s="2297"/>
      <c r="I138" s="2297"/>
      <c r="J138" s="2297"/>
      <c r="K138" s="2297"/>
      <c r="L138" s="2297"/>
      <c r="M138" s="2297"/>
      <c r="N138" s="2266"/>
      <c r="O138" s="2123"/>
      <c r="P138" s="2122"/>
      <c r="Q138" s="2118"/>
    </row>
    <row r="139" spans="1:22" ht="15.95" customHeight="1">
      <c r="A139" s="3887"/>
      <c r="B139" s="3888"/>
      <c r="C139" s="3888"/>
      <c r="D139" s="3888"/>
      <c r="E139" s="3888"/>
      <c r="F139" s="3888"/>
      <c r="G139" s="3888"/>
      <c r="H139" s="3888"/>
      <c r="I139" s="3888"/>
      <c r="J139" s="3888"/>
      <c r="K139" s="3888"/>
      <c r="L139" s="3888"/>
      <c r="M139" s="3888"/>
      <c r="N139" s="3888"/>
      <c r="O139" s="3888"/>
      <c r="P139" s="3889"/>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3966" t="s">
        <v>6898</v>
      </c>
      <c r="C145" s="3966"/>
      <c r="D145" s="3966"/>
      <c r="E145" s="3966"/>
      <c r="F145" s="3966"/>
      <c r="G145" s="3966"/>
      <c r="H145" s="3966"/>
      <c r="I145" s="3966"/>
      <c r="J145" s="3966"/>
      <c r="K145" s="3966"/>
      <c r="L145" s="3966"/>
      <c r="M145" s="3966"/>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3884"/>
      <c r="B147" s="3885"/>
      <c r="C147" s="3885"/>
      <c r="D147" s="3885"/>
      <c r="E147" s="3885"/>
      <c r="F147" s="3885"/>
      <c r="G147" s="3885"/>
      <c r="H147" s="3885"/>
      <c r="I147" s="3885"/>
      <c r="J147" s="3885"/>
      <c r="K147" s="3885"/>
      <c r="L147" s="3885"/>
      <c r="M147" s="3885"/>
      <c r="N147" s="3885"/>
      <c r="O147" s="3885"/>
      <c r="P147" s="3886"/>
      <c r="Q147" s="2207"/>
    </row>
    <row r="148" spans="1:27" ht="15.95" customHeight="1" thickTop="1">
      <c r="A148" s="2119"/>
      <c r="B148" s="2247" t="s">
        <v>1729</v>
      </c>
      <c r="C148" s="2119"/>
      <c r="D148" s="2247"/>
      <c r="E148" s="2159"/>
      <c r="F148" s="2159"/>
      <c r="G148" s="2159"/>
      <c r="H148" s="2159"/>
      <c r="I148" s="2159"/>
      <c r="J148" s="2159"/>
      <c r="K148" s="2159"/>
      <c r="L148" s="2159"/>
      <c r="M148" s="2159"/>
      <c r="N148" s="2248"/>
      <c r="O148" s="2249"/>
      <c r="P148" s="2122"/>
    </row>
    <row r="149" spans="1:27" ht="15.95" customHeight="1">
      <c r="A149" s="3887"/>
      <c r="B149" s="3888"/>
      <c r="C149" s="3888"/>
      <c r="D149" s="3888"/>
      <c r="E149" s="3888"/>
      <c r="F149" s="3888"/>
      <c r="G149" s="3888"/>
      <c r="H149" s="3888"/>
      <c r="I149" s="3888"/>
      <c r="J149" s="3888"/>
      <c r="K149" s="3888"/>
      <c r="L149" s="3888"/>
      <c r="M149" s="3888"/>
      <c r="N149" s="3888"/>
      <c r="O149" s="3888"/>
      <c r="P149" s="3889"/>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1840</v>
      </c>
      <c r="B153" s="2129" t="s">
        <v>3822</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4001" t="s">
        <v>3205</v>
      </c>
      <c r="K154" s="4002"/>
      <c r="L154" s="4003" t="s">
        <v>3205</v>
      </c>
      <c r="M154" s="4004"/>
      <c r="N154" s="2121"/>
      <c r="R154" s="2201"/>
      <c r="S154" s="2119"/>
    </row>
    <row r="155" spans="1:27" ht="15.95" customHeight="1">
      <c r="C155" s="2329" t="s">
        <v>6892</v>
      </c>
      <c r="J155" s="4005"/>
      <c r="K155" s="4006"/>
      <c r="L155" s="4006"/>
      <c r="M155" s="4007"/>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1842</v>
      </c>
      <c r="B157" s="2330" t="s">
        <v>6213</v>
      </c>
      <c r="K157" s="2252"/>
      <c r="L157" s="2252"/>
      <c r="M157" s="2121">
        <v>4</v>
      </c>
      <c r="N157" s="2252"/>
      <c r="O157" s="2306"/>
      <c r="P157" s="2307"/>
      <c r="Q157" s="2240" t="str">
        <f>IF(O157&lt;=M157,"","*CHECK!*")</f>
        <v/>
      </c>
      <c r="R157" s="2303"/>
      <c r="S157" s="2116"/>
      <c r="T157" s="2116"/>
      <c r="U157" s="2116"/>
    </row>
    <row r="158" spans="1:27" ht="15.95" customHeight="1">
      <c r="C158" s="2331" t="s">
        <v>6219</v>
      </c>
      <c r="E158" s="4008" t="s">
        <v>6218</v>
      </c>
      <c r="F158" s="4008"/>
      <c r="G158" s="4008"/>
      <c r="H158" s="4008"/>
      <c r="I158" s="2137" t="s">
        <v>6893</v>
      </c>
      <c r="J158" s="4008" t="s">
        <v>6218</v>
      </c>
      <c r="K158" s="4008"/>
      <c r="L158" s="4008"/>
      <c r="M158" s="4008"/>
      <c r="N158" s="2118"/>
      <c r="O158" s="2118"/>
      <c r="P158" s="2118"/>
    </row>
    <row r="159" spans="1:27" ht="15.95" customHeight="1">
      <c r="C159" s="2119" t="s">
        <v>6217</v>
      </c>
      <c r="E159" s="3995"/>
      <c r="F159" s="3996"/>
      <c r="G159" s="3996"/>
      <c r="H159" s="3997"/>
      <c r="I159" s="2434"/>
      <c r="J159" s="3998"/>
      <c r="K159" s="3999"/>
      <c r="L159" s="3999"/>
      <c r="M159" s="4000"/>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3995"/>
      <c r="F160" s="3996"/>
      <c r="G160" s="3996"/>
      <c r="H160" s="3997"/>
      <c r="I160" s="2435"/>
      <c r="J160" s="3998"/>
      <c r="K160" s="3999"/>
      <c r="L160" s="3999"/>
      <c r="M160" s="4000"/>
      <c r="N160" s="2118"/>
      <c r="Q160" s="2130"/>
      <c r="R160" s="2130"/>
      <c r="S160" s="2130"/>
      <c r="T160" s="2130"/>
      <c r="U160" s="2130"/>
      <c r="V160" s="2130"/>
      <c r="W160" s="2130"/>
      <c r="X160" s="2130"/>
      <c r="Y160" s="2130"/>
      <c r="Z160" s="2130"/>
      <c r="AA160" s="2332"/>
    </row>
    <row r="161" spans="1:27" ht="15.95" customHeight="1">
      <c r="C161" s="2119" t="s">
        <v>6215</v>
      </c>
      <c r="E161" s="3987"/>
      <c r="F161" s="3988"/>
      <c r="G161" s="3988"/>
      <c r="H161" s="3989"/>
      <c r="I161" s="2436"/>
      <c r="J161" s="3990"/>
      <c r="K161" s="3991"/>
      <c r="L161" s="3991"/>
      <c r="M161" s="3992"/>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894" t="s">
        <v>906</v>
      </c>
      <c r="B165" s="3895"/>
      <c r="C165" s="3895"/>
      <c r="D165" s="3895"/>
      <c r="E165" s="3895"/>
      <c r="F165" s="3895"/>
      <c r="G165" s="3895"/>
      <c r="H165" s="3895"/>
      <c r="I165" s="3895"/>
      <c r="J165" s="3895"/>
      <c r="K165" s="3895"/>
      <c r="L165" s="3895"/>
      <c r="M165" s="3895"/>
      <c r="N165" s="3895"/>
      <c r="O165" s="3895"/>
      <c r="P165" s="3896"/>
      <c r="Q165" s="2207"/>
    </row>
    <row r="166" spans="1:27" ht="15.95" customHeight="1" thickTop="1">
      <c r="A166" s="2225"/>
      <c r="B166" s="2330"/>
      <c r="M166" s="2121"/>
      <c r="O166" s="2122"/>
      <c r="P166" s="2122"/>
    </row>
    <row r="167" spans="1:27" ht="15.95" customHeight="1">
      <c r="A167" s="2119"/>
      <c r="B167" s="2247" t="s">
        <v>1729</v>
      </c>
      <c r="C167" s="2119"/>
      <c r="D167" s="2247"/>
      <c r="E167" s="2159"/>
      <c r="F167" s="2159"/>
      <c r="G167" s="2159"/>
      <c r="H167" s="2159"/>
      <c r="I167" s="2159"/>
      <c r="J167" s="2159"/>
      <c r="K167" s="2159"/>
      <c r="L167" s="2159"/>
      <c r="M167" s="2159"/>
      <c r="N167" s="2248"/>
      <c r="O167" s="2249"/>
      <c r="P167" s="2122"/>
    </row>
    <row r="168" spans="1:27" ht="15.95" customHeight="1">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3153</v>
      </c>
      <c r="H171" s="2337">
        <f>IF('Part V-Revenues &amp; Expenses'!$P$67=0,0,'Part V-Revenues &amp; Expenses'!$P$64/'Part V-Revenues &amp; Expenses'!$P$67)</f>
        <v>0</v>
      </c>
      <c r="K171" s="3993" t="str">
        <f>'Part V-Revenues &amp; Expenses'!$O$53</f>
        <v>Income Averaging</v>
      </c>
      <c r="L171" s="399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5" customHeight="1">
      <c r="A172" s="2122" t="s">
        <v>1840</v>
      </c>
      <c r="B172" s="2225" t="s">
        <v>3957</v>
      </c>
      <c r="M172" s="2121">
        <v>1</v>
      </c>
      <c r="N172" s="2252"/>
      <c r="O172" s="3016"/>
      <c r="P172" s="2313"/>
      <c r="Q172" s="2318" t="str">
        <f>IF(OR($O172=$M172,$O172=0,$O172=""),"","*CHECK!*")</f>
        <v/>
      </c>
      <c r="R172" s="2303"/>
    </row>
    <row r="173" spans="1:27" ht="15.95" customHeight="1">
      <c r="A173" s="2122" t="s">
        <v>1842</v>
      </c>
      <c r="B173" s="2225" t="s">
        <v>3812</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1729</v>
      </c>
      <c r="C175" s="2119"/>
      <c r="D175" s="2247"/>
      <c r="E175" s="2159"/>
      <c r="F175" s="2159"/>
      <c r="G175" s="2159"/>
      <c r="H175" s="2159"/>
      <c r="I175" s="2159"/>
      <c r="J175" s="2159"/>
      <c r="K175" s="2159"/>
      <c r="L175" s="2159"/>
      <c r="M175" s="2159"/>
      <c r="N175" s="2248"/>
      <c r="O175" s="2249"/>
      <c r="P175" s="2122"/>
    </row>
    <row r="176" spans="1:27" ht="15.95" customHeight="1">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1840</v>
      </c>
      <c r="B181" s="2339" t="s">
        <v>3263</v>
      </c>
      <c r="D181" s="2182"/>
      <c r="E181" s="2182"/>
      <c r="F181" s="2182"/>
      <c r="G181" s="2182"/>
      <c r="H181" s="2182"/>
      <c r="L181" s="2182"/>
      <c r="M181" s="3985" t="str">
        <f>IF(AND(O181="Yes",O182="Yes"),"Only one category can be selected!","")</f>
        <v/>
      </c>
      <c r="N181" s="2252"/>
      <c r="O181" s="2254"/>
      <c r="P181" s="2255"/>
      <c r="Q181" s="2340"/>
      <c r="R181" s="2116"/>
      <c r="S181" s="2116"/>
      <c r="T181" s="2116"/>
      <c r="U181" s="2116"/>
      <c r="V181" s="2116"/>
    </row>
    <row r="182" spans="1:27" ht="15.95" customHeight="1">
      <c r="A182" s="2122" t="s">
        <v>1842</v>
      </c>
      <c r="B182" s="2339" t="s">
        <v>3264</v>
      </c>
      <c r="D182" s="2182"/>
      <c r="L182" s="2182"/>
      <c r="M182" s="3985"/>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94" t="s">
        <v>906</v>
      </c>
      <c r="B184" s="3895"/>
      <c r="C184" s="3895"/>
      <c r="D184" s="3895"/>
      <c r="E184" s="3895"/>
      <c r="F184" s="3895"/>
      <c r="G184" s="3895"/>
      <c r="H184" s="3895"/>
      <c r="I184" s="3895"/>
      <c r="J184" s="3895"/>
      <c r="K184" s="3895"/>
      <c r="L184" s="3895"/>
      <c r="M184" s="3895"/>
      <c r="N184" s="3895"/>
      <c r="O184" s="3895"/>
      <c r="P184" s="3896"/>
      <c r="Q184" s="2207"/>
    </row>
    <row r="185" spans="1:27" ht="15.95" customHeight="1" thickTop="1">
      <c r="A185" s="2119"/>
      <c r="B185" s="2247" t="s">
        <v>1729</v>
      </c>
      <c r="C185" s="2119"/>
      <c r="D185" s="2247"/>
      <c r="E185" s="2159"/>
      <c r="F185" s="2159"/>
      <c r="G185" s="2159"/>
      <c r="H185" s="2159"/>
      <c r="I185" s="2159"/>
      <c r="J185" s="2159"/>
      <c r="K185" s="2159"/>
      <c r="L185" s="2159"/>
      <c r="M185" s="2159"/>
      <c r="N185" s="2248"/>
      <c r="O185" s="2249"/>
      <c r="P185" s="2122"/>
    </row>
    <row r="186" spans="1:27" ht="15.95" customHeight="1">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5" customHeight="1">
      <c r="A190" s="2283"/>
      <c r="B190" s="2155" t="s">
        <v>6256</v>
      </c>
      <c r="C190" s="2155"/>
      <c r="D190" s="2155"/>
      <c r="E190" s="2155"/>
      <c r="F190" s="2155"/>
      <c r="G190" s="2137" t="s">
        <v>6857</v>
      </c>
      <c r="H190" s="3865" t="s">
        <v>574</v>
      </c>
      <c r="I190" s="3865"/>
      <c r="J190" s="3865"/>
      <c r="K190" s="3986" t="s">
        <v>6929</v>
      </c>
      <c r="L190" s="3986"/>
      <c r="M190" s="3986"/>
      <c r="N190" s="2308"/>
      <c r="O190" s="3018"/>
      <c r="P190" s="2343"/>
      <c r="Q190" s="2344"/>
      <c r="R190" s="2156"/>
      <c r="S190" s="2156"/>
      <c r="T190" s="2156"/>
      <c r="W190" s="2156"/>
      <c r="X190" s="2156"/>
      <c r="Y190" s="2156"/>
      <c r="Z190" s="2156"/>
      <c r="AA190" s="2156"/>
    </row>
    <row r="191" spans="1:27" ht="15.95" customHeight="1">
      <c r="A191" s="2283"/>
      <c r="B191" s="2283"/>
      <c r="D191" s="2184" t="s">
        <v>6257</v>
      </c>
      <c r="G191" s="3019"/>
      <c r="H191" s="3982"/>
      <c r="I191" s="3983"/>
      <c r="J191" s="3984"/>
      <c r="K191" s="3976"/>
      <c r="L191" s="3977"/>
      <c r="M191" s="3978"/>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6258</v>
      </c>
      <c r="G192" s="3020"/>
      <c r="H192" s="3979"/>
      <c r="I192" s="3980"/>
      <c r="J192" s="3981"/>
      <c r="K192" s="3973"/>
      <c r="L192" s="3974"/>
      <c r="M192" s="3975"/>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3884"/>
      <c r="B195" s="3885"/>
      <c r="C195" s="3885"/>
      <c r="D195" s="3885"/>
      <c r="E195" s="3885"/>
      <c r="F195" s="3885"/>
      <c r="G195" s="3885"/>
      <c r="H195" s="3885"/>
      <c r="I195" s="3885"/>
      <c r="J195" s="3885"/>
      <c r="K195" s="3885"/>
      <c r="L195" s="3885"/>
      <c r="M195" s="3885"/>
      <c r="N195" s="3885"/>
      <c r="O195" s="3885"/>
      <c r="P195" s="3886"/>
      <c r="Q195" s="2207"/>
    </row>
    <row r="196" spans="1:24" ht="15.95" customHeight="1" thickTop="1">
      <c r="B196" s="2247" t="s">
        <v>1729</v>
      </c>
      <c r="C196" s="2145"/>
      <c r="D196" s="2247"/>
      <c r="E196" s="2180"/>
      <c r="F196" s="2159"/>
      <c r="G196" s="2159"/>
      <c r="H196" s="2159"/>
      <c r="I196" s="2159"/>
      <c r="J196" s="2159"/>
      <c r="K196" s="2159"/>
      <c r="L196" s="2159"/>
      <c r="M196" s="2159"/>
      <c r="N196" s="2248"/>
      <c r="O196" s="2249"/>
      <c r="P196" s="2122"/>
    </row>
    <row r="197" spans="1:24" ht="15.95" customHeight="1">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2495</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5" customHeight="1">
      <c r="A201" s="2136" t="s">
        <v>1840</v>
      </c>
      <c r="B201" s="2129" t="s">
        <v>6937</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1842</v>
      </c>
      <c r="B202" s="2129" t="s">
        <v>6935</v>
      </c>
      <c r="M202" s="2121">
        <v>3</v>
      </c>
      <c r="N202" s="2252"/>
      <c r="O202" s="3022"/>
      <c r="P202" s="2239"/>
      <c r="Q202" s="2318" t="str">
        <f>IF(OR($O202=$M202,$O202=$M202-1,$O202=0,$O202=""),"","*CHECK!*")</f>
        <v/>
      </c>
      <c r="R202" s="2303"/>
    </row>
    <row r="203" spans="1:24" ht="15.95"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3884"/>
      <c r="B205" s="3885"/>
      <c r="C205" s="3885"/>
      <c r="D205" s="3885"/>
      <c r="E205" s="3885"/>
      <c r="F205" s="3885"/>
      <c r="G205" s="3885"/>
      <c r="H205" s="3885"/>
      <c r="I205" s="3885"/>
      <c r="J205" s="3885"/>
      <c r="K205" s="3885"/>
      <c r="L205" s="3885"/>
      <c r="M205" s="3885"/>
      <c r="N205" s="3885"/>
      <c r="O205" s="3885"/>
      <c r="P205" s="3886"/>
      <c r="Q205" s="2207"/>
    </row>
    <row r="206" spans="1:24" ht="15.95" customHeight="1" thickTop="1">
      <c r="B206" s="2247" t="s">
        <v>1729</v>
      </c>
      <c r="C206" s="2145"/>
      <c r="D206" s="2247"/>
      <c r="E206" s="2180"/>
      <c r="F206" s="2159"/>
      <c r="G206" s="2159"/>
      <c r="H206" s="2159"/>
      <c r="I206" s="2159"/>
      <c r="J206" s="2159"/>
      <c r="K206" s="2159"/>
      <c r="L206" s="2159"/>
      <c r="M206" s="2159"/>
      <c r="N206" s="2248"/>
      <c r="O206" s="2249"/>
      <c r="P206" s="2122"/>
    </row>
    <row r="207" spans="1:24" ht="15.95" customHeight="1">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2079</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1840</v>
      </c>
      <c r="B211" s="2129" t="s">
        <v>2064</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1843</v>
      </c>
      <c r="C212" s="2224" t="s">
        <v>6612</v>
      </c>
      <c r="D212" s="2280"/>
      <c r="E212" s="2280"/>
      <c r="G212" s="2118"/>
      <c r="L212" s="2230"/>
      <c r="M212" s="2121">
        <v>3</v>
      </c>
      <c r="N212" s="2370"/>
      <c r="O212" s="2254" t="s">
        <v>2649</v>
      </c>
      <c r="P212" s="2255"/>
      <c r="Q212" s="2318"/>
      <c r="R212" s="2303"/>
      <c r="T212" s="2348"/>
      <c r="U212" s="2348"/>
    </row>
    <row r="213" spans="1:22" s="2119" customFormat="1" ht="15.95" customHeight="1">
      <c r="A213" s="2136"/>
      <c r="B213" s="2283" t="s">
        <v>1845</v>
      </c>
      <c r="C213" s="2224" t="s">
        <v>6613</v>
      </c>
      <c r="D213" s="2280"/>
      <c r="E213" s="2280"/>
      <c r="G213" s="2118"/>
      <c r="L213" s="2230"/>
      <c r="M213" s="2121">
        <v>2</v>
      </c>
      <c r="N213" s="2370"/>
      <c r="O213" s="2267"/>
      <c r="P213" s="2268"/>
      <c r="Q213" s="2318"/>
      <c r="R213" s="2303"/>
      <c r="T213" s="2348"/>
      <c r="U213" s="2348"/>
    </row>
    <row r="214" spans="1:22" s="2119" customFormat="1" ht="15.95" customHeight="1">
      <c r="A214" s="2136"/>
      <c r="B214" s="2283" t="s">
        <v>2331</v>
      </c>
      <c r="C214" s="2224" t="s">
        <v>6614</v>
      </c>
      <c r="D214" s="2280"/>
      <c r="E214" s="2280"/>
      <c r="G214" s="2118"/>
      <c r="K214" s="2252"/>
      <c r="M214" s="2121">
        <v>1</v>
      </c>
      <c r="N214" s="2370"/>
      <c r="O214" s="2244"/>
      <c r="P214" s="2245"/>
      <c r="R214" s="2118"/>
      <c r="T214" s="2348"/>
      <c r="U214" s="2348"/>
    </row>
    <row r="215" spans="1:22" ht="15.95" customHeight="1">
      <c r="A215" s="2136" t="s">
        <v>1842</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6" t="s">
        <v>6894</v>
      </c>
      <c r="C216" s="3966"/>
      <c r="D216" s="3966"/>
      <c r="E216" s="3966"/>
      <c r="F216" s="3966"/>
      <c r="G216" s="3966"/>
      <c r="H216" s="3966"/>
      <c r="I216" s="3966"/>
      <c r="J216" s="3966"/>
      <c r="K216" s="3966"/>
      <c r="L216" s="3966"/>
      <c r="M216" s="2121"/>
      <c r="N216" s="2252"/>
      <c r="O216" s="2351" t="s">
        <v>2652</v>
      </c>
      <c r="P216" s="2352"/>
      <c r="R216" s="2230"/>
      <c r="T216" s="2348"/>
      <c r="U216" s="2348"/>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3" t="s">
        <v>6938</v>
      </c>
      <c r="C218" s="3893"/>
      <c r="D218" s="3893"/>
      <c r="E218" s="3893"/>
      <c r="F218" s="3893"/>
      <c r="G218" s="3893"/>
      <c r="H218" s="3893"/>
      <c r="I218" s="3893"/>
      <c r="J218" s="3893"/>
      <c r="K218" s="3893"/>
      <c r="L218" s="3893"/>
      <c r="M218" s="2121"/>
      <c r="N218" s="2252"/>
      <c r="O218" s="2323" t="s">
        <v>2649</v>
      </c>
      <c r="P218" s="2324"/>
      <c r="R218" s="2230"/>
      <c r="T218" s="2348"/>
      <c r="U218" s="2348"/>
    </row>
    <row r="219" spans="1:22" ht="15.95" customHeight="1">
      <c r="A219" s="2119"/>
      <c r="B219" s="2247" t="s">
        <v>1729</v>
      </c>
      <c r="C219" s="2145"/>
      <c r="D219" s="2247"/>
      <c r="E219" s="2180"/>
      <c r="F219" s="2159"/>
      <c r="G219" s="2159"/>
      <c r="H219" s="2159"/>
      <c r="I219" s="2159"/>
      <c r="J219" s="2159"/>
      <c r="K219" s="2159"/>
      <c r="L219" s="2159"/>
      <c r="M219" s="2159"/>
      <c r="N219" s="2248"/>
      <c r="O219" s="2249"/>
      <c r="P219" s="2122"/>
    </row>
    <row r="220" spans="1:22" ht="15.95" customHeight="1">
      <c r="A220" s="3887"/>
      <c r="B220" s="3888"/>
      <c r="C220" s="3888"/>
      <c r="D220" s="3888"/>
      <c r="E220" s="3888"/>
      <c r="F220" s="3888"/>
      <c r="G220" s="3888"/>
      <c r="H220" s="3888"/>
      <c r="I220" s="3888"/>
      <c r="J220" s="3888"/>
      <c r="K220" s="3888"/>
      <c r="L220" s="3888"/>
      <c r="M220" s="3888"/>
      <c r="N220" s="3888"/>
      <c r="O220" s="3888"/>
      <c r="P220" s="388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5" customHeight="1">
      <c r="A224" s="2122"/>
      <c r="B224" s="2182" t="s">
        <v>6858</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4" t="s">
        <v>6895</v>
      </c>
      <c r="C225" s="3954"/>
      <c r="D225" s="3954"/>
      <c r="E225" s="3954"/>
      <c r="F225" s="3954"/>
      <c r="G225" s="3954"/>
      <c r="H225" s="3954"/>
      <c r="I225" s="3954"/>
      <c r="J225" s="3954"/>
      <c r="K225" s="3954"/>
      <c r="L225" s="3954"/>
      <c r="M225" s="2137"/>
      <c r="O225" s="2137"/>
      <c r="P225" s="2137"/>
      <c r="Q225" s="2340"/>
      <c r="R225" s="2116"/>
      <c r="S225" s="2116"/>
      <c r="T225" s="2116"/>
      <c r="U225" s="2116"/>
      <c r="V225" s="2116"/>
    </row>
    <row r="226" spans="1:24" ht="15.95" customHeight="1">
      <c r="B226" s="3949"/>
      <c r="C226" s="3950"/>
      <c r="D226" s="3950"/>
      <c r="E226" s="3950"/>
      <c r="F226" s="3950"/>
      <c r="G226" s="3950"/>
      <c r="H226" s="3950"/>
      <c r="I226" s="3950"/>
      <c r="J226" s="3950"/>
      <c r="K226" s="3950"/>
      <c r="L226" s="3950"/>
      <c r="M226" s="3950"/>
      <c r="N226" s="3950"/>
      <c r="O226" s="3950"/>
      <c r="P226" s="3951"/>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3884"/>
      <c r="B228" s="3885"/>
      <c r="C228" s="3885"/>
      <c r="D228" s="3885"/>
      <c r="E228" s="3885"/>
      <c r="F228" s="3885"/>
      <c r="G228" s="3885"/>
      <c r="H228" s="3885"/>
      <c r="I228" s="3885"/>
      <c r="J228" s="3885"/>
      <c r="K228" s="3885"/>
      <c r="L228" s="3885"/>
      <c r="M228" s="3885"/>
      <c r="N228" s="3885"/>
      <c r="O228" s="3885"/>
      <c r="P228" s="3886"/>
      <c r="Q228" s="2207"/>
    </row>
    <row r="229" spans="1:24" ht="15.95" customHeight="1" thickTop="1">
      <c r="A229" s="2119"/>
      <c r="B229" s="2247" t="s">
        <v>1729</v>
      </c>
      <c r="C229" s="2119"/>
      <c r="D229" s="2247"/>
      <c r="E229" s="2159"/>
      <c r="F229" s="2159"/>
      <c r="G229" s="2159"/>
      <c r="H229" s="2159"/>
      <c r="I229" s="2159"/>
      <c r="J229" s="2159"/>
      <c r="K229" s="2159"/>
      <c r="L229" s="2159"/>
      <c r="M229" s="2159"/>
      <c r="N229" s="2248"/>
      <c r="O229" s="2249"/>
      <c r="P229" s="2122"/>
    </row>
    <row r="230" spans="1:24" ht="15.95" customHeight="1">
      <c r="A230" s="3887"/>
      <c r="B230" s="3888"/>
      <c r="C230" s="3888"/>
      <c r="D230" s="3888"/>
      <c r="E230" s="3888"/>
      <c r="F230" s="3888"/>
      <c r="G230" s="3888"/>
      <c r="H230" s="3888"/>
      <c r="I230" s="3888"/>
      <c r="J230" s="3888"/>
      <c r="K230" s="3888"/>
      <c r="L230" s="3888"/>
      <c r="M230" s="3888"/>
      <c r="N230" s="3888"/>
      <c r="O230" s="3888"/>
      <c r="P230" s="388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3370</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6896</v>
      </c>
      <c r="D234" s="2141"/>
      <c r="E234" s="2141"/>
      <c r="J234" s="2354"/>
      <c r="M234" s="2208"/>
      <c r="O234" s="3967" t="s">
        <v>6897</v>
      </c>
      <c r="P234" s="3967" t="s">
        <v>3151</v>
      </c>
      <c r="Q234" s="2201"/>
      <c r="R234" s="2116"/>
      <c r="S234" s="2116"/>
      <c r="T234" s="2116"/>
      <c r="U234" s="2116"/>
      <c r="V234" s="2116"/>
      <c r="W234" s="2118"/>
      <c r="X234" s="2118"/>
    </row>
    <row r="235" spans="1:24" s="2119" customFormat="1" ht="15.95" customHeight="1">
      <c r="A235" s="2140"/>
      <c r="C235" s="2119" t="s">
        <v>6692</v>
      </c>
      <c r="I235" s="3955"/>
      <c r="J235" s="3956"/>
      <c r="K235" s="3957"/>
      <c r="L235" s="3958"/>
      <c r="M235" s="2208"/>
      <c r="O235" s="3881"/>
      <c r="P235" s="3881"/>
      <c r="Q235" s="2201"/>
      <c r="R235" s="2116"/>
      <c r="S235" s="2116"/>
      <c r="T235" s="2116"/>
      <c r="U235" s="2116"/>
      <c r="V235" s="2116"/>
      <c r="W235" s="2118"/>
      <c r="X235" s="2118"/>
    </row>
    <row r="236" spans="1:24" s="2119" customFormat="1" ht="15.95" customHeight="1">
      <c r="A236" s="2140"/>
      <c r="C236" s="2119" t="s">
        <v>6691</v>
      </c>
      <c r="I236" s="3959"/>
      <c r="J236" s="3960"/>
      <c r="M236" s="2208"/>
      <c r="O236" s="3881"/>
      <c r="P236" s="3881"/>
      <c r="Q236" s="2201"/>
      <c r="R236" s="2116"/>
      <c r="S236" s="2116"/>
      <c r="T236" s="2116"/>
      <c r="U236" s="2116"/>
      <c r="V236" s="2116"/>
      <c r="W236" s="2118"/>
      <c r="X236" s="2118"/>
    </row>
    <row r="237" spans="1:24" s="2119" customFormat="1" ht="15.95" customHeight="1">
      <c r="A237" s="2140"/>
      <c r="C237" s="2119" t="s">
        <v>6693</v>
      </c>
      <c r="I237" s="3964" t="s">
        <v>6694</v>
      </c>
      <c r="J237" s="3965"/>
      <c r="K237" s="3957"/>
      <c r="L237" s="3958"/>
      <c r="M237" s="2208"/>
      <c r="O237" s="3881"/>
      <c r="P237" s="3881"/>
      <c r="Q237" s="2201"/>
      <c r="R237" s="2116"/>
      <c r="S237" s="2116"/>
      <c r="T237" s="2116"/>
      <c r="U237" s="2116"/>
      <c r="V237" s="2116"/>
      <c r="W237" s="2118"/>
      <c r="X237" s="2118"/>
    </row>
    <row r="238" spans="1:24" ht="4.5" customHeight="1">
      <c r="A238" s="2140"/>
      <c r="B238" s="2119"/>
      <c r="H238" s="2129"/>
      <c r="M238" s="2122"/>
      <c r="N238" s="2252"/>
      <c r="O238" s="3882"/>
      <c r="P238" s="3882"/>
      <c r="Q238" s="2201"/>
      <c r="R238" s="2265"/>
      <c r="S238" s="2265"/>
      <c r="T238" s="2265"/>
      <c r="U238" s="2265"/>
    </row>
    <row r="239" spans="1:24" ht="30.75" customHeight="1" thickBot="1">
      <c r="A239" s="2355"/>
      <c r="B239" s="2252"/>
      <c r="C239" s="3966" t="s">
        <v>6859</v>
      </c>
      <c r="D239" s="3966"/>
      <c r="E239" s="3966"/>
      <c r="F239" s="3966"/>
      <c r="G239" s="3966"/>
      <c r="H239" s="3966"/>
      <c r="I239" s="3966"/>
      <c r="J239" s="3966"/>
      <c r="K239" s="3966"/>
      <c r="L239" s="3966"/>
      <c r="M239" s="2119"/>
      <c r="N239" s="2252"/>
      <c r="O239" s="2244" t="s">
        <v>2649</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1840</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3" t="s">
        <v>6587</v>
      </c>
      <c r="D242" s="3893"/>
      <c r="E242" s="3893"/>
      <c r="F242" s="3893"/>
      <c r="G242" s="3893"/>
      <c r="H242" s="3893"/>
      <c r="I242" s="3893"/>
      <c r="J242" s="3893"/>
      <c r="K242" s="3893"/>
      <c r="L242" s="3893"/>
      <c r="M242" s="3893"/>
      <c r="N242" s="2370"/>
      <c r="O242" s="2254" t="s">
        <v>2649</v>
      </c>
      <c r="P242" s="2255"/>
      <c r="Q242" s="2359"/>
      <c r="R242" s="2360"/>
      <c r="S242" s="2360"/>
      <c r="T242" s="2360"/>
      <c r="U242" s="2360"/>
    </row>
    <row r="243" spans="1:22" s="2155" customFormat="1" ht="29.25" customHeight="1" thickBot="1">
      <c r="A243" s="2358"/>
      <c r="B243" s="2283"/>
      <c r="C243" s="3893" t="s">
        <v>6860</v>
      </c>
      <c r="D243" s="3893"/>
      <c r="E243" s="3893"/>
      <c r="F243" s="3893"/>
      <c r="G243" s="3893"/>
      <c r="H243" s="3893"/>
      <c r="I243" s="3893"/>
      <c r="J243" s="3893"/>
      <c r="K243" s="3893"/>
      <c r="L243" s="3893"/>
      <c r="M243" s="3893"/>
      <c r="N243" s="2370"/>
      <c r="O243" s="2323" t="s">
        <v>2649</v>
      </c>
      <c r="P243" s="2324"/>
      <c r="Q243" s="2359"/>
      <c r="R243" s="2360"/>
      <c r="S243" s="2360"/>
      <c r="T243" s="2360"/>
      <c r="U243" s="2360"/>
    </row>
    <row r="244" spans="1:22" ht="15.95" customHeight="1" thickBot="1">
      <c r="A244" s="2122" t="s">
        <v>1842</v>
      </c>
      <c r="B244" s="2339" t="s">
        <v>6579</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6861</v>
      </c>
      <c r="D245" s="2182"/>
      <c r="L245" s="2182"/>
      <c r="M245" s="2137"/>
      <c r="N245" s="2252"/>
      <c r="O245" s="2254"/>
      <c r="P245" s="2255"/>
      <c r="Q245" s="2357"/>
      <c r="R245" s="2303"/>
      <c r="S245" s="2116"/>
      <c r="T245" s="2116"/>
      <c r="U245" s="2116"/>
      <c r="V245" s="2116"/>
    </row>
    <row r="246" spans="1:22" s="2155" customFormat="1" ht="30" customHeight="1">
      <c r="A246" s="2358"/>
      <c r="B246" s="2283"/>
      <c r="C246" s="3893" t="s">
        <v>6934</v>
      </c>
      <c r="D246" s="3893"/>
      <c r="E246" s="3893"/>
      <c r="F246" s="3893"/>
      <c r="G246" s="3893"/>
      <c r="H246" s="3893"/>
      <c r="I246" s="3893"/>
      <c r="J246" s="3893"/>
      <c r="K246" s="3893"/>
      <c r="L246" s="3893"/>
      <c r="M246" s="3893"/>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45" customHeight="1" thickTop="1" thickBot="1">
      <c r="A248" s="3894" t="s">
        <v>7117</v>
      </c>
      <c r="B248" s="3895"/>
      <c r="C248" s="3895"/>
      <c r="D248" s="3895"/>
      <c r="E248" s="3895"/>
      <c r="F248" s="3895"/>
      <c r="G248" s="3895"/>
      <c r="H248" s="3895"/>
      <c r="I248" s="3895"/>
      <c r="J248" s="3895"/>
      <c r="K248" s="3895"/>
      <c r="L248" s="3895"/>
      <c r="M248" s="3895"/>
      <c r="N248" s="3895"/>
      <c r="O248" s="3895"/>
      <c r="P248" s="3896"/>
      <c r="Q248" s="2207"/>
    </row>
    <row r="249" spans="1:22" ht="15.95" customHeight="1" thickTop="1">
      <c r="A249" s="2119"/>
      <c r="B249" s="2247" t="s">
        <v>1729</v>
      </c>
      <c r="C249" s="2119"/>
      <c r="D249" s="2247"/>
      <c r="E249" s="2159"/>
      <c r="F249" s="2159"/>
      <c r="G249" s="2159"/>
      <c r="H249" s="2159"/>
      <c r="I249" s="2159"/>
      <c r="J249" s="2159"/>
      <c r="K249" s="2159"/>
      <c r="L249" s="2159"/>
      <c r="M249" s="2159"/>
      <c r="N249" s="2248"/>
      <c r="O249" s="2249"/>
      <c r="P249" s="2122"/>
    </row>
    <row r="250" spans="1:22" ht="15.95" customHeight="1">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5" customHeight="1">
      <c r="A254" s="2122" t="s">
        <v>1840</v>
      </c>
      <c r="B254" s="2339" t="s">
        <v>6584</v>
      </c>
      <c r="D254" s="2182"/>
      <c r="E254" s="2182" t="s">
        <v>6595</v>
      </c>
      <c r="F254" s="2182"/>
      <c r="G254" s="2182"/>
      <c r="H254" s="2182"/>
      <c r="I254" s="3961"/>
      <c r="J254" s="3962"/>
      <c r="K254" s="3962"/>
      <c r="L254" s="3963"/>
      <c r="M254" s="2137">
        <v>2</v>
      </c>
      <c r="N254" s="2252"/>
      <c r="O254" s="3016"/>
      <c r="P254" s="2313"/>
      <c r="Q254" s="2357" t="str">
        <f>IF(OR(O254=0,O254="",O254=$M254),"","Check!")</f>
        <v/>
      </c>
      <c r="R254" s="2303"/>
      <c r="S254" s="2116"/>
      <c r="T254" s="2116"/>
      <c r="U254" s="2116"/>
      <c r="V254" s="2116"/>
    </row>
    <row r="255" spans="1:22" ht="15.95" customHeight="1">
      <c r="A255" s="2122" t="s">
        <v>1842</v>
      </c>
      <c r="B255" s="2339" t="s">
        <v>6585</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3884"/>
      <c r="B257" s="3885"/>
      <c r="C257" s="3885"/>
      <c r="D257" s="3885"/>
      <c r="E257" s="3885"/>
      <c r="F257" s="3885"/>
      <c r="G257" s="3885"/>
      <c r="H257" s="3885"/>
      <c r="I257" s="3885"/>
      <c r="J257" s="3885"/>
      <c r="K257" s="3885"/>
      <c r="L257" s="3885"/>
      <c r="M257" s="3885"/>
      <c r="N257" s="3885"/>
      <c r="O257" s="3885"/>
      <c r="P257" s="3886"/>
      <c r="Q257" s="2207"/>
    </row>
    <row r="258" spans="1:19" ht="15.95" customHeight="1" thickTop="1">
      <c r="A258" s="2119"/>
      <c r="B258" s="2247" t="s">
        <v>1729</v>
      </c>
      <c r="C258" s="2119"/>
      <c r="D258" s="2247"/>
      <c r="E258" s="2159"/>
      <c r="F258" s="2159"/>
      <c r="G258" s="2159"/>
      <c r="H258" s="2159"/>
      <c r="I258" s="2159"/>
      <c r="J258" s="2159"/>
      <c r="K258" s="2159"/>
      <c r="L258" s="2159"/>
      <c r="M258" s="2159"/>
      <c r="N258" s="2248"/>
      <c r="O258" s="2249"/>
      <c r="P258" s="2122"/>
    </row>
    <row r="259" spans="1:19" ht="15.95" customHeight="1">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5" customHeight="1">
      <c r="A263" s="2122" t="s">
        <v>1840</v>
      </c>
      <c r="B263" s="2129" t="s">
        <v>3343</v>
      </c>
      <c r="C263" s="2225"/>
      <c r="E263" s="2119"/>
      <c r="G263" s="2361"/>
      <c r="I263" s="2224"/>
      <c r="K263" s="2413"/>
      <c r="M263" s="2121">
        <v>2</v>
      </c>
      <c r="N263" s="2252"/>
      <c r="O263" s="2118"/>
      <c r="P263" s="2415"/>
      <c r="Q263" s="2201"/>
      <c r="R263" s="2303"/>
    </row>
    <row r="264" spans="1:19" s="2119" customFormat="1" ht="15.95" customHeight="1">
      <c r="A264" s="2122"/>
      <c r="B264" s="2119" t="s">
        <v>6900</v>
      </c>
      <c r="N264" s="2142"/>
      <c r="O264" s="3023"/>
      <c r="P264" s="2362"/>
      <c r="R264" s="2230"/>
    </row>
    <row r="265" spans="1:19" ht="15.95" customHeight="1">
      <c r="A265" s="2122" t="s">
        <v>1842</v>
      </c>
      <c r="B265" s="2129" t="s">
        <v>3344</v>
      </c>
      <c r="C265" s="2225"/>
      <c r="E265" s="2119"/>
      <c r="G265" s="2361"/>
      <c r="I265" s="2184"/>
      <c r="L265" s="2137"/>
      <c r="M265" s="2121">
        <v>2</v>
      </c>
      <c r="N265" s="2252"/>
      <c r="O265" s="2118"/>
      <c r="P265" s="2362"/>
      <c r="Q265" s="2201"/>
      <c r="R265" s="2303"/>
    </row>
    <row r="266" spans="1:19" s="2119" customFormat="1" ht="15.95" customHeight="1">
      <c r="A266" s="2336"/>
      <c r="B266" s="2119" t="s">
        <v>6900</v>
      </c>
      <c r="M266" s="2122"/>
      <c r="N266" s="2142"/>
      <c r="O266" s="3023"/>
      <c r="P266" s="2368"/>
      <c r="Q266" s="2201"/>
    </row>
    <row r="267" spans="1:19" ht="15.95" customHeight="1">
      <c r="B267" s="2247" t="s">
        <v>1729</v>
      </c>
      <c r="C267" s="2145"/>
      <c r="D267" s="2247"/>
      <c r="E267" s="2180"/>
      <c r="F267" s="2159"/>
      <c r="G267" s="2159"/>
      <c r="H267" s="2159"/>
      <c r="I267" s="2159"/>
      <c r="J267" s="2159"/>
      <c r="K267" s="2159"/>
      <c r="L267" s="2159"/>
      <c r="M267" s="2159"/>
      <c r="N267" s="2248"/>
      <c r="O267" s="2249"/>
      <c r="P267" s="2122"/>
    </row>
    <row r="268" spans="1:19" ht="15.95" customHeight="1">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row r="270" spans="1:19" s="2260" customFormat="1" ht="7.5" customHeight="1" thickBot="1">
      <c r="N270" s="2325"/>
      <c r="O270" s="2326"/>
      <c r="P270" s="2326"/>
    </row>
    <row r="271" spans="1:19" ht="15.95"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5" customHeight="1">
      <c r="A272" s="2136"/>
      <c r="B272" s="2231" t="s">
        <v>3154</v>
      </c>
      <c r="D272" s="2225"/>
      <c r="E272" s="2225"/>
      <c r="G272" s="2119"/>
      <c r="I272" s="3890" t="s">
        <v>6059</v>
      </c>
      <c r="J272" s="3891"/>
      <c r="K272" s="3891"/>
      <c r="L272" s="3892"/>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3884"/>
      <c r="B275" s="3885"/>
      <c r="C275" s="3885"/>
      <c r="D275" s="3885"/>
      <c r="E275" s="3885"/>
      <c r="F275" s="3885"/>
      <c r="G275" s="3885"/>
      <c r="H275" s="3885"/>
      <c r="I275" s="3885"/>
      <c r="J275" s="3885"/>
      <c r="K275" s="3885"/>
      <c r="L275" s="3885"/>
      <c r="M275" s="3885"/>
      <c r="N275" s="3885"/>
      <c r="O275" s="3885"/>
      <c r="P275" s="3886"/>
      <c r="Q275" s="2207"/>
    </row>
    <row r="276" spans="1:20" s="2119" customFormat="1" ht="15.95" customHeight="1" thickTop="1">
      <c r="B276" s="2246" t="s">
        <v>1729</v>
      </c>
      <c r="D276" s="2246"/>
      <c r="E276" s="2297"/>
      <c r="F276" s="2297"/>
      <c r="G276" s="2297"/>
      <c r="H276" s="2297"/>
      <c r="I276" s="2297"/>
      <c r="J276" s="2297"/>
      <c r="K276" s="2297"/>
      <c r="L276" s="2297"/>
      <c r="M276" s="2297"/>
      <c r="N276" s="2266"/>
      <c r="O276" s="2123"/>
      <c r="P276" s="2122"/>
      <c r="Q276" s="2118"/>
    </row>
    <row r="277" spans="1:20" ht="15.95" customHeight="1">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row r="279" spans="1:20" s="2260" customFormat="1" ht="7.5" customHeight="1" thickBot="1">
      <c r="N279" s="2325"/>
      <c r="O279" s="2326"/>
      <c r="P279" s="2326"/>
    </row>
    <row r="280" spans="1:20" ht="15.95"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1840</v>
      </c>
      <c r="B281" s="2129" t="s">
        <v>3347</v>
      </c>
      <c r="L281" s="2230" t="str">
        <f>IF(O281&lt;=M281,"","* * Check Score! * *")</f>
        <v/>
      </c>
      <c r="M281" s="2121">
        <v>3</v>
      </c>
      <c r="N281" s="2252"/>
      <c r="O281" s="2365"/>
      <c r="P281" s="2366"/>
      <c r="Q281" s="2318" t="str">
        <f>IF(O281&lt;=M281,"","*CHECK!*")</f>
        <v/>
      </c>
      <c r="R281" s="2134"/>
      <c r="S281" s="2134"/>
      <c r="T281" s="2117"/>
    </row>
    <row r="282" spans="1:20" ht="30.95" customHeight="1">
      <c r="A282" s="2311"/>
      <c r="B282" s="3952" t="s">
        <v>6862</v>
      </c>
      <c r="C282" s="3952"/>
      <c r="D282" s="3952"/>
      <c r="E282" s="3952"/>
      <c r="F282" s="3952"/>
      <c r="G282" s="3952"/>
      <c r="H282" s="3952"/>
      <c r="I282" s="3952"/>
      <c r="J282" s="3952"/>
      <c r="K282" s="3952"/>
      <c r="L282" s="3952"/>
      <c r="N282" s="2118"/>
      <c r="O282" s="2367"/>
      <c r="P282" s="2368"/>
      <c r="R282" s="2134"/>
      <c r="S282" s="2134"/>
      <c r="T282" s="2117"/>
    </row>
    <row r="283" spans="1:20" ht="15.95" customHeight="1">
      <c r="A283" s="2311"/>
      <c r="B283" s="2416"/>
      <c r="C283" s="2155"/>
      <c r="D283" s="2155"/>
      <c r="E283" s="2155"/>
      <c r="F283" s="2155"/>
      <c r="G283" s="2155"/>
      <c r="H283" s="2155"/>
      <c r="I283" s="2155"/>
      <c r="J283" s="3953" t="s">
        <v>1847</v>
      </c>
      <c r="K283" s="3953"/>
      <c r="M283" s="3953" t="s">
        <v>1847</v>
      </c>
      <c r="N283" s="3953"/>
      <c r="O283" s="3953"/>
      <c r="P283" s="3953"/>
      <c r="R283" s="2369"/>
      <c r="S283" s="2369"/>
      <c r="T283" s="2117"/>
    </row>
    <row r="284" spans="1:20" ht="15.95" customHeight="1">
      <c r="A284" s="2252"/>
      <c r="B284" s="2370" t="s">
        <v>1843</v>
      </c>
      <c r="C284" s="2119" t="s">
        <v>1388</v>
      </c>
      <c r="I284" s="2252"/>
      <c r="J284" s="3968"/>
      <c r="K284" s="3969"/>
      <c r="L284" s="2252"/>
      <c r="M284" s="3970"/>
      <c r="N284" s="3971"/>
      <c r="O284" s="3971"/>
      <c r="P284" s="3972"/>
      <c r="R284" s="2230"/>
    </row>
    <row r="285" spans="1:20" ht="15.95" customHeight="1">
      <c r="A285" s="2228"/>
      <c r="B285" s="2212" t="s">
        <v>1845</v>
      </c>
      <c r="C285" s="2119" t="s">
        <v>3156</v>
      </c>
      <c r="I285" s="2308"/>
      <c r="J285" s="3897"/>
      <c r="K285" s="3898"/>
      <c r="L285" s="2308"/>
      <c r="M285" s="3899"/>
      <c r="N285" s="3900"/>
      <c r="O285" s="3900"/>
      <c r="P285" s="3901"/>
      <c r="R285" s="2230"/>
    </row>
    <row r="286" spans="1:20" ht="15.95" customHeight="1">
      <c r="B286" s="2370" t="s">
        <v>2331</v>
      </c>
      <c r="C286" s="2119" t="s">
        <v>3953</v>
      </c>
      <c r="I286" s="2252"/>
      <c r="J286" s="3897"/>
      <c r="K286" s="3898"/>
      <c r="L286" s="2252"/>
      <c r="M286" s="3899"/>
      <c r="N286" s="3900"/>
      <c r="O286" s="3900"/>
      <c r="P286" s="3901"/>
      <c r="R286" s="2230"/>
    </row>
    <row r="287" spans="1:20" ht="15.95" customHeight="1">
      <c r="A287" s="2228"/>
      <c r="B287" s="2370" t="s">
        <v>1150</v>
      </c>
      <c r="C287" s="2119" t="s">
        <v>3071</v>
      </c>
      <c r="I287" s="2252"/>
      <c r="J287" s="3897"/>
      <c r="K287" s="3898"/>
      <c r="L287" s="2252"/>
      <c r="M287" s="3899"/>
      <c r="N287" s="3900"/>
      <c r="O287" s="3900"/>
      <c r="P287" s="3901"/>
      <c r="R287" s="2230"/>
    </row>
    <row r="288" spans="1:20" ht="15.95" customHeight="1">
      <c r="A288" s="2252"/>
      <c r="B288" s="2212" t="s">
        <v>1151</v>
      </c>
      <c r="C288" s="2119" t="s">
        <v>2473</v>
      </c>
      <c r="I288" s="2308"/>
      <c r="J288" s="3897"/>
      <c r="K288" s="3898"/>
      <c r="L288" s="2308"/>
      <c r="M288" s="3899"/>
      <c r="N288" s="3900"/>
      <c r="O288" s="3900"/>
      <c r="P288" s="3901"/>
      <c r="R288" s="2230"/>
    </row>
    <row r="289" spans="1:26" ht="15.95" customHeight="1">
      <c r="B289" s="2370" t="s">
        <v>1741</v>
      </c>
      <c r="C289" s="2119" t="s">
        <v>1387</v>
      </c>
      <c r="I289" s="2252"/>
      <c r="J289" s="3897"/>
      <c r="K289" s="3898"/>
      <c r="L289" s="2252"/>
      <c r="M289" s="3899"/>
      <c r="N289" s="3900"/>
      <c r="O289" s="3900"/>
      <c r="P289" s="3901"/>
      <c r="R289" s="2230"/>
    </row>
    <row r="290" spans="1:26" ht="15.95" customHeight="1">
      <c r="B290" s="2370" t="s">
        <v>473</v>
      </c>
      <c r="C290" s="2119" t="s">
        <v>6232</v>
      </c>
      <c r="I290" s="2252"/>
      <c r="J290" s="3897"/>
      <c r="K290" s="3898"/>
      <c r="L290" s="2252"/>
      <c r="M290" s="2371"/>
      <c r="N290" s="2372"/>
      <c r="O290" s="2372"/>
      <c r="P290" s="2373"/>
      <c r="R290" s="2230"/>
    </row>
    <row r="291" spans="1:26" ht="15.95" customHeight="1">
      <c r="A291" s="2228"/>
      <c r="B291" s="2370" t="s">
        <v>474</v>
      </c>
      <c r="C291" s="2119" t="s">
        <v>3155</v>
      </c>
      <c r="I291" s="2252"/>
      <c r="J291" s="3897"/>
      <c r="K291" s="3898"/>
      <c r="L291" s="2252"/>
      <c r="M291" s="3899"/>
      <c r="N291" s="3900"/>
      <c r="O291" s="3900"/>
      <c r="P291" s="3901"/>
      <c r="R291" s="2230"/>
    </row>
    <row r="292" spans="1:26" ht="15.95" customHeight="1">
      <c r="B292" s="2370" t="s">
        <v>3888</v>
      </c>
      <c r="C292" s="2119" t="s">
        <v>6863</v>
      </c>
      <c r="I292" s="2252"/>
      <c r="J292" s="3897"/>
      <c r="K292" s="3898"/>
      <c r="L292" s="2252"/>
      <c r="M292" s="3899"/>
      <c r="N292" s="3900"/>
      <c r="O292" s="3900"/>
      <c r="P292" s="3901"/>
      <c r="R292" s="2230"/>
    </row>
    <row r="293" spans="1:26" ht="15.95" customHeight="1">
      <c r="B293" s="2370" t="s">
        <v>6864</v>
      </c>
      <c r="C293" s="2119" t="s">
        <v>6901</v>
      </c>
      <c r="I293" s="2252"/>
      <c r="J293" s="3897"/>
      <c r="K293" s="3898"/>
      <c r="L293" s="2252"/>
      <c r="M293" s="3899"/>
      <c r="N293" s="3900"/>
      <c r="O293" s="3900"/>
      <c r="P293" s="3901"/>
      <c r="R293" s="2230"/>
    </row>
    <row r="294" spans="1:26" ht="15.95" customHeight="1" thickBot="1">
      <c r="B294" s="2370" t="s">
        <v>6865</v>
      </c>
      <c r="C294" s="2119" t="s">
        <v>6902</v>
      </c>
      <c r="I294" s="2252"/>
      <c r="J294" s="3897"/>
      <c r="K294" s="3898"/>
      <c r="L294" s="2252"/>
      <c r="M294" s="3925"/>
      <c r="N294" s="3926"/>
      <c r="O294" s="3926"/>
      <c r="P294" s="3927"/>
      <c r="R294" s="2230"/>
    </row>
    <row r="295" spans="1:26" ht="15.95" customHeight="1" thickBot="1">
      <c r="B295" s="2119"/>
      <c r="I295" s="2136" t="s">
        <v>2412</v>
      </c>
      <c r="J295" s="3928">
        <f>SUM(J284:K294)</f>
        <v>0</v>
      </c>
      <c r="K295" s="3929"/>
      <c r="M295" s="3928">
        <f>SUM($M284:$M294)</f>
        <v>0</v>
      </c>
      <c r="N295" s="3930"/>
      <c r="O295" s="3930"/>
      <c r="P295" s="3929"/>
      <c r="R295" s="2230"/>
    </row>
    <row r="296" spans="1:26" ht="15.95" customHeight="1">
      <c r="M296" s="2134"/>
      <c r="N296" s="2134"/>
      <c r="O296" s="2118"/>
      <c r="P296" s="2134"/>
      <c r="U296" s="3865" t="s">
        <v>6907</v>
      </c>
      <c r="V296" s="3865"/>
      <c r="W296" s="3865"/>
      <c r="X296" s="3865"/>
      <c r="Y296" s="3865"/>
      <c r="Z296" s="3865"/>
    </row>
    <row r="297" spans="1:26" ht="15.95" customHeight="1">
      <c r="A297" s="2119"/>
      <c r="B297" s="2330"/>
      <c r="C297" s="2225" t="s">
        <v>2411</v>
      </c>
      <c r="D297" s="2253"/>
      <c r="E297" s="2253"/>
      <c r="I297" s="2252" t="s">
        <v>6235</v>
      </c>
      <c r="J297" s="3917">
        <f>'Part V-Revenues &amp; Expenses'!$P$67</f>
        <v>210</v>
      </c>
      <c r="K297" s="3918"/>
      <c r="L297" s="2134"/>
      <c r="M297" s="2134"/>
      <c r="N297" s="2134"/>
      <c r="O297" s="2118"/>
      <c r="P297" s="2134"/>
      <c r="U297" s="2425" t="s">
        <v>6905</v>
      </c>
      <c r="V297" s="2425" t="s">
        <v>6906</v>
      </c>
      <c r="W297" s="2425" t="s">
        <v>6905</v>
      </c>
      <c r="X297" s="2425" t="s">
        <v>6906</v>
      </c>
      <c r="Y297" s="2425" t="s">
        <v>6905</v>
      </c>
      <c r="Z297" s="2425" t="s">
        <v>6906</v>
      </c>
    </row>
    <row r="298" spans="1:26" ht="15.95" customHeight="1">
      <c r="C298" s="2253"/>
      <c r="D298" s="2253"/>
      <c r="E298" s="2253"/>
      <c r="I298" s="2374" t="s">
        <v>6236</v>
      </c>
      <c r="J298" s="3931">
        <f>IF(J297=0,0,J295/J297)</f>
        <v>0</v>
      </c>
      <c r="K298" s="3932"/>
      <c r="M298" s="3933">
        <f>IF(J297=0,0,M295/J297)</f>
        <v>0</v>
      </c>
      <c r="N298" s="3934"/>
      <c r="O298" s="3934"/>
      <c r="P298" s="3935"/>
      <c r="S298" s="2424" t="s">
        <v>6903</v>
      </c>
      <c r="U298" s="2418">
        <v>500000</v>
      </c>
      <c r="V298" s="2419">
        <v>999999.99</v>
      </c>
      <c r="W298" s="2418">
        <v>1000000</v>
      </c>
      <c r="X298" s="2419">
        <v>1999999.99</v>
      </c>
      <c r="Y298" s="2418">
        <v>2000000</v>
      </c>
      <c r="Z298" s="2420"/>
    </row>
    <row r="299" spans="1:26" ht="15.95" customHeight="1">
      <c r="C299" s="2253"/>
      <c r="D299" s="2253"/>
      <c r="E299" s="2253"/>
      <c r="I299" s="2228" t="s">
        <v>6866</v>
      </c>
      <c r="J299" s="3917">
        <f>IF(J295&gt;=$Y$298,$Y$300,IF(J295&gt;=$W$298,$W$300,IF(J295&gt;=$U$298,$U$300,0)))</f>
        <v>0</v>
      </c>
      <c r="K299" s="3918"/>
      <c r="M299" s="3917">
        <f t="shared" ref="M299" si="0">IF(M295&gt;=$Y$298,$Y$300,IF(M295&gt;=$W$298,$W$300,IF(M295&gt;=$U$298,$U$300,0)))</f>
        <v>0</v>
      </c>
      <c r="N299" s="3919"/>
      <c r="O299" s="3919">
        <f t="shared" ref="O299" si="1">IF(O295&gt;=$Y$298,$Y$300,IF(O295&gt;=$W$298,$W$300,IF(O295&gt;=$U$298,$U$300,0)))</f>
        <v>0</v>
      </c>
      <c r="P299" s="3918"/>
      <c r="S299" s="2424" t="s">
        <v>6904</v>
      </c>
      <c r="U299" s="2421">
        <v>10000</v>
      </c>
      <c r="V299" s="2422">
        <v>19999.990000000002</v>
      </c>
      <c r="W299" s="2421">
        <v>20000</v>
      </c>
      <c r="X299" s="2422">
        <v>29999.99</v>
      </c>
      <c r="Y299" s="2421">
        <v>30000</v>
      </c>
      <c r="Z299" s="2423"/>
    </row>
    <row r="300" spans="1:26" ht="15.95" customHeight="1">
      <c r="C300" s="2253"/>
      <c r="D300" s="2253"/>
      <c r="E300" s="2253"/>
      <c r="I300" s="2228" t="s">
        <v>6237</v>
      </c>
      <c r="J300" s="3922">
        <f>IF(J298&gt;=$Y$299,$Y$300,IF(J298&gt;=$W$299,$W$300,IF(J298&gt;=$U$299,$U$300,0)))</f>
        <v>0</v>
      </c>
      <c r="K300" s="3923"/>
      <c r="L300" s="2134"/>
      <c r="M300" s="3922">
        <f>IF(M298&gt;=$Y$299,$Y$300,IF(M298&gt;=$W$299,$W$300,IF(M298&gt;=$U$299,$U$300,0)))</f>
        <v>0</v>
      </c>
      <c r="N300" s="3924"/>
      <c r="O300" s="3924"/>
      <c r="P300" s="3923"/>
      <c r="S300" s="2424" t="s">
        <v>6144</v>
      </c>
      <c r="U300" s="3875">
        <v>1</v>
      </c>
      <c r="V300" s="3876"/>
      <c r="W300" s="3875">
        <v>2</v>
      </c>
      <c r="X300" s="3876"/>
      <c r="Y300" s="3875">
        <v>3</v>
      </c>
      <c r="Z300" s="3876"/>
    </row>
    <row r="301" spans="1:26" ht="15.95" customHeight="1" thickBot="1"/>
    <row r="302" spans="1:26" s="2119" customFormat="1" ht="15.95" customHeight="1" thickBot="1">
      <c r="A302" s="2122" t="s">
        <v>1842</v>
      </c>
      <c r="B302" s="2231" t="s">
        <v>3158</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3" t="s">
        <v>6867</v>
      </c>
      <c r="D303" s="3893"/>
      <c r="E303" s="3893"/>
      <c r="F303" s="3893"/>
      <c r="G303" s="3893"/>
      <c r="H303" s="3893"/>
      <c r="I303" s="3893"/>
      <c r="J303" s="3893"/>
      <c r="K303" s="3893"/>
      <c r="L303" s="3893"/>
      <c r="M303" s="3893"/>
      <c r="N303" s="2406"/>
      <c r="O303" s="2375"/>
      <c r="P303" s="2376"/>
      <c r="V303" s="2348"/>
    </row>
    <row r="304" spans="1:26" ht="15.95" customHeight="1">
      <c r="A304" s="2136"/>
      <c r="B304" s="2311"/>
      <c r="C304" s="2119" t="s">
        <v>6868</v>
      </c>
      <c r="D304" s="2119"/>
      <c r="E304" s="2119"/>
      <c r="F304" s="2119"/>
      <c r="G304" s="2119"/>
      <c r="H304" s="2119"/>
      <c r="I304" s="2119"/>
      <c r="J304" s="2119"/>
      <c r="K304" s="2119"/>
      <c r="M304" s="2119"/>
      <c r="N304" s="2142"/>
      <c r="O304" s="2267"/>
      <c r="P304" s="2268"/>
      <c r="V304" s="2348"/>
    </row>
    <row r="305" spans="1:19" ht="15.95" customHeight="1">
      <c r="B305" s="2311"/>
      <c r="C305" s="2118" t="s">
        <v>6869</v>
      </c>
      <c r="N305" s="2142"/>
      <c r="O305" s="2244"/>
      <c r="P305" s="2245"/>
    </row>
    <row r="306" spans="1:19" ht="15.95" customHeight="1" thickBot="1">
      <c r="B306" s="2258" t="s">
        <v>3241</v>
      </c>
    </row>
    <row r="307" spans="1:19" ht="15.95" customHeight="1" thickTop="1" thickBot="1">
      <c r="A307" s="3894" t="s">
        <v>906</v>
      </c>
      <c r="B307" s="3895"/>
      <c r="C307" s="3895"/>
      <c r="D307" s="3895"/>
      <c r="E307" s="3895"/>
      <c r="F307" s="3895"/>
      <c r="G307" s="3895"/>
      <c r="H307" s="3895"/>
      <c r="I307" s="3895"/>
      <c r="J307" s="3895"/>
      <c r="K307" s="3895"/>
      <c r="L307" s="3895"/>
      <c r="M307" s="3895"/>
      <c r="N307" s="3895"/>
      <c r="O307" s="3895"/>
      <c r="P307" s="3896"/>
      <c r="Q307" s="2207"/>
    </row>
    <row r="308" spans="1:19" s="2119" customFormat="1" ht="15.95" customHeight="1" thickTop="1">
      <c r="B308" s="2246" t="s">
        <v>1729</v>
      </c>
      <c r="C308" s="2145"/>
      <c r="D308" s="2246"/>
      <c r="E308" s="2353"/>
      <c r="F308" s="2297"/>
      <c r="G308" s="2297"/>
      <c r="H308" s="2297"/>
      <c r="I308" s="2297"/>
      <c r="J308" s="2297"/>
      <c r="K308" s="2297"/>
      <c r="L308" s="2297"/>
      <c r="M308" s="2297"/>
      <c r="N308" s="2266"/>
      <c r="O308" s="2123"/>
      <c r="P308" s="2122"/>
      <c r="Q308" s="2118"/>
    </row>
    <row r="309" spans="1:19" ht="15.95" customHeight="1">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3376</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5" customHeight="1">
      <c r="A313" s="2336"/>
      <c r="E313" s="2329" t="s">
        <v>3072</v>
      </c>
      <c r="G313" s="3890" t="s">
        <v>3885</v>
      </c>
      <c r="H313" s="3891"/>
      <c r="I313" s="3891"/>
      <c r="J313" s="3891"/>
      <c r="K313" s="3891"/>
      <c r="L313" s="3892"/>
      <c r="M313" s="2284"/>
      <c r="N313" s="2284"/>
      <c r="O313" s="2284"/>
      <c r="P313" s="2284"/>
      <c r="Q313" s="2119"/>
    </row>
    <row r="314" spans="1:19" s="2155" customFormat="1" ht="15.95" customHeight="1">
      <c r="A314" s="2209" t="s">
        <v>1840</v>
      </c>
      <c r="B314" s="2129" t="s">
        <v>3954</v>
      </c>
      <c r="M314" s="2284">
        <v>2</v>
      </c>
      <c r="N314" s="2308"/>
      <c r="O314" s="3025"/>
      <c r="P314" s="2377"/>
      <c r="Q314" s="2318" t="str">
        <f>IF(OR($O314=$M314,$O314=0,$O314=""),"","*CHECK!*")</f>
        <v/>
      </c>
      <c r="R314" s="2303"/>
    </row>
    <row r="315" spans="1:19" ht="15.95" customHeight="1">
      <c r="A315" s="2342"/>
      <c r="B315" s="3949" t="s">
        <v>3414</v>
      </c>
      <c r="C315" s="3950"/>
      <c r="D315" s="3950"/>
      <c r="E315" s="3950"/>
      <c r="F315" s="3950"/>
      <c r="G315" s="3950"/>
      <c r="H315" s="3950"/>
      <c r="I315" s="3950"/>
      <c r="J315" s="3950"/>
      <c r="K315" s="3950"/>
      <c r="L315" s="3950"/>
      <c r="M315" s="3950"/>
      <c r="N315" s="3950"/>
      <c r="O315" s="3950"/>
      <c r="P315" s="3951"/>
      <c r="Q315" s="2250"/>
      <c r="R315" s="2207"/>
      <c r="S315" s="2207"/>
    </row>
    <row r="316" spans="1:19" s="2155" customFormat="1" ht="15.95" customHeight="1">
      <c r="A316" s="2378" t="s">
        <v>1842</v>
      </c>
      <c r="B316" s="2287" t="s">
        <v>3955</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3884"/>
      <c r="B318" s="3885"/>
      <c r="C318" s="3885"/>
      <c r="D318" s="3885"/>
      <c r="E318" s="3885"/>
      <c r="F318" s="3885"/>
      <c r="G318" s="3885"/>
      <c r="H318" s="3885"/>
      <c r="I318" s="3885"/>
      <c r="J318" s="3885"/>
      <c r="K318" s="3885"/>
      <c r="L318" s="3885"/>
      <c r="M318" s="3885"/>
      <c r="N318" s="3885"/>
      <c r="O318" s="3885"/>
      <c r="P318" s="3886"/>
      <c r="Q318" s="2207"/>
      <c r="R318" s="2207"/>
    </row>
    <row r="319" spans="1:19" ht="15.95" customHeight="1" thickTop="1">
      <c r="B319" s="2247" t="s">
        <v>1729</v>
      </c>
      <c r="C319" s="2145"/>
      <c r="D319" s="2247"/>
      <c r="E319" s="2180"/>
      <c r="F319" s="2159"/>
      <c r="G319" s="2159"/>
      <c r="H319" s="2159"/>
      <c r="I319" s="2159"/>
      <c r="J319" s="2159"/>
      <c r="K319" s="2159"/>
      <c r="L319" s="2159"/>
      <c r="M319" s="2159"/>
      <c r="N319" s="2248"/>
      <c r="O319" s="2249"/>
      <c r="P319" s="2122"/>
    </row>
    <row r="320" spans="1:19" ht="15.95" customHeight="1">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1840</v>
      </c>
      <c r="B326" s="2129" t="s">
        <v>6939</v>
      </c>
      <c r="D326" s="2141"/>
      <c r="E326" s="2141"/>
      <c r="L326" s="2230"/>
      <c r="M326" s="2122"/>
      <c r="N326" s="2121"/>
      <c r="O326" s="2380"/>
      <c r="P326" s="2347"/>
      <c r="Q326" s="2201"/>
    </row>
    <row r="327" spans="1:18" s="2119" customFormat="1" ht="15.95" customHeight="1">
      <c r="A327" s="2122" t="s">
        <v>1842</v>
      </c>
      <c r="B327" s="2129" t="s">
        <v>6940</v>
      </c>
      <c r="D327" s="2141"/>
      <c r="E327" s="2141"/>
      <c r="L327" s="2230"/>
      <c r="M327" s="2122"/>
      <c r="N327" s="2121"/>
      <c r="O327" s="2381"/>
      <c r="P327" s="2242"/>
      <c r="Q327" s="2201"/>
    </row>
    <row r="328" spans="1:18" s="2119" customFormat="1" ht="15.95" customHeight="1">
      <c r="A328" s="2139"/>
      <c r="B328" s="2139" t="s">
        <v>1729</v>
      </c>
      <c r="D328" s="2139"/>
      <c r="E328" s="2297"/>
      <c r="F328" s="2297"/>
      <c r="G328" s="2297"/>
      <c r="H328" s="2297"/>
      <c r="I328" s="2297"/>
      <c r="J328" s="2297"/>
      <c r="K328" s="2297"/>
      <c r="L328" s="2297"/>
      <c r="M328" s="2297"/>
      <c r="N328" s="2266"/>
      <c r="O328" s="2123"/>
      <c r="P328" s="2122"/>
    </row>
    <row r="329" spans="1:18" ht="15.95" customHeight="1">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1840</v>
      </c>
      <c r="B333" s="2129" t="s">
        <v>6606</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1842</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1961</v>
      </c>
      <c r="B336" s="2129" t="s">
        <v>6608</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v>0</v>
      </c>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51.75" customHeight="1" thickTop="1" thickBot="1">
      <c r="A340" s="3894" t="s">
        <v>7118</v>
      </c>
      <c r="B340" s="3895"/>
      <c r="C340" s="3895"/>
      <c r="D340" s="3895"/>
      <c r="E340" s="3895"/>
      <c r="F340" s="3895"/>
      <c r="G340" s="3895"/>
      <c r="H340" s="3895"/>
      <c r="I340" s="3895"/>
      <c r="J340" s="3895"/>
      <c r="K340" s="3895"/>
      <c r="L340" s="3895"/>
      <c r="M340" s="3895"/>
      <c r="N340" s="3895"/>
      <c r="O340" s="3895"/>
      <c r="P340" s="3896"/>
      <c r="Q340" s="2207"/>
      <c r="R340" s="2207"/>
    </row>
    <row r="341" spans="1:18" ht="15.95" customHeight="1" thickTop="1">
      <c r="B341" s="2247" t="s">
        <v>1729</v>
      </c>
      <c r="C341" s="2145"/>
      <c r="D341" s="2247"/>
      <c r="E341" s="2180"/>
      <c r="F341" s="2159"/>
      <c r="G341" s="2159"/>
      <c r="H341" s="2159"/>
      <c r="I341" s="2159"/>
      <c r="J341" s="2159"/>
      <c r="K341" s="2159"/>
      <c r="L341" s="2159"/>
      <c r="M341" s="2159"/>
      <c r="N341" s="2248"/>
      <c r="O341" s="2249"/>
      <c r="P341" s="2122"/>
    </row>
    <row r="342" spans="1:18" ht="15.95" customHeight="1">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3379</v>
      </c>
      <c r="B345" s="2141" t="s">
        <v>6239</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894" t="s">
        <v>906</v>
      </c>
      <c r="B347" s="3895"/>
      <c r="C347" s="3895"/>
      <c r="D347" s="3895"/>
      <c r="E347" s="3895"/>
      <c r="F347" s="3895"/>
      <c r="G347" s="3895"/>
      <c r="H347" s="3895"/>
      <c r="I347" s="3895"/>
      <c r="J347" s="3895"/>
      <c r="K347" s="3895"/>
      <c r="L347" s="3895"/>
      <c r="M347" s="3895"/>
      <c r="N347" s="3895"/>
      <c r="O347" s="3895"/>
      <c r="P347" s="3896"/>
      <c r="Q347" s="2207"/>
      <c r="R347" s="2207"/>
    </row>
    <row r="348" spans="1:18" s="2119" customFormat="1" ht="15.95" customHeight="1" thickTop="1">
      <c r="A348" s="2139"/>
      <c r="B348" s="2139" t="s">
        <v>1729</v>
      </c>
      <c r="D348" s="2139"/>
      <c r="E348" s="2297"/>
      <c r="F348" s="2297"/>
      <c r="G348" s="2297"/>
      <c r="H348" s="2297"/>
      <c r="I348" s="2297"/>
      <c r="J348" s="2297"/>
      <c r="K348" s="2297"/>
      <c r="L348" s="2297"/>
      <c r="M348" s="2297"/>
      <c r="N348" s="2266"/>
      <c r="O348" s="2123"/>
      <c r="P348" s="2122"/>
    </row>
    <row r="349" spans="1:18" ht="15.95" customHeight="1">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3380</v>
      </c>
      <c r="B352" s="2141" t="s">
        <v>6914</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6870</v>
      </c>
      <c r="D353" s="2141"/>
      <c r="E353" s="2141"/>
      <c r="F353" s="2134"/>
      <c r="L353" s="2318"/>
      <c r="M353" s="2122"/>
      <c r="N353" s="2121"/>
      <c r="O353" s="2322"/>
      <c r="P353" s="2362"/>
      <c r="Q353" s="2201"/>
      <c r="R353" s="2303"/>
    </row>
    <row r="354" spans="1:18" s="2119" customFormat="1" ht="15.95" customHeight="1">
      <c r="A354" s="2139"/>
      <c r="B354" s="2139" t="s">
        <v>1729</v>
      </c>
      <c r="D354" s="2139"/>
      <c r="E354" s="2297"/>
      <c r="F354" s="2297"/>
      <c r="G354" s="2297"/>
      <c r="H354" s="2297"/>
      <c r="I354" s="2297"/>
      <c r="J354" s="2297"/>
      <c r="K354" s="2297"/>
      <c r="L354" s="2297"/>
      <c r="M354" s="2297"/>
      <c r="N354" s="2266"/>
      <c r="O354" s="2123"/>
      <c r="P354" s="2122"/>
    </row>
    <row r="355" spans="1:18" ht="15.95" customHeight="1">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894" t="s">
        <v>906</v>
      </c>
      <c r="B360" s="3895"/>
      <c r="C360" s="3895"/>
      <c r="D360" s="3895"/>
      <c r="E360" s="3895"/>
      <c r="F360" s="3895"/>
      <c r="G360" s="3895"/>
      <c r="H360" s="3895"/>
      <c r="I360" s="3895"/>
      <c r="J360" s="3895"/>
      <c r="K360" s="3895"/>
      <c r="L360" s="3895"/>
      <c r="M360" s="3895"/>
      <c r="N360" s="3895"/>
      <c r="O360" s="3895"/>
      <c r="P360" s="3896"/>
      <c r="Q360" s="2207"/>
      <c r="R360" s="2207"/>
    </row>
    <row r="361" spans="1:18" s="2119" customFormat="1" ht="15.95" customHeight="1" thickTop="1">
      <c r="A361" s="2139"/>
      <c r="B361" s="2139" t="s">
        <v>1729</v>
      </c>
      <c r="D361" s="2139"/>
      <c r="E361" s="2297"/>
      <c r="F361" s="2297"/>
      <c r="G361" s="2297"/>
      <c r="H361" s="2297"/>
      <c r="I361" s="2297"/>
      <c r="J361" s="2297"/>
      <c r="K361" s="2297"/>
      <c r="L361" s="2297"/>
      <c r="M361" s="2297"/>
      <c r="N361" s="2266"/>
      <c r="O361" s="2123"/>
      <c r="P361" s="2122"/>
    </row>
    <row r="362" spans="1:18" ht="15.95" customHeight="1">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1840</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1842</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894" t="s">
        <v>906</v>
      </c>
      <c r="B369" s="3895"/>
      <c r="C369" s="3895"/>
      <c r="D369" s="3895"/>
      <c r="E369" s="3895"/>
      <c r="F369" s="3895"/>
      <c r="G369" s="3895"/>
      <c r="H369" s="3895"/>
      <c r="I369" s="3895"/>
      <c r="J369" s="3895"/>
      <c r="K369" s="3895"/>
      <c r="L369" s="3895"/>
      <c r="M369" s="3895"/>
      <c r="N369" s="3895"/>
      <c r="O369" s="3895"/>
      <c r="P369" s="3896"/>
      <c r="Q369" s="2207"/>
      <c r="R369" s="2207"/>
    </row>
    <row r="370" spans="1:18" s="2119" customFormat="1" ht="15.95" customHeight="1" thickTop="1">
      <c r="A370" s="2139"/>
      <c r="B370" s="2139" t="s">
        <v>1729</v>
      </c>
      <c r="D370" s="2139"/>
      <c r="E370" s="2297"/>
      <c r="F370" s="2297"/>
      <c r="G370" s="2297"/>
      <c r="H370" s="2297"/>
      <c r="I370" s="2297"/>
      <c r="J370" s="2297"/>
      <c r="K370" s="2297"/>
      <c r="L370" s="2297"/>
      <c r="M370" s="2297"/>
      <c r="N370" s="2266"/>
      <c r="O370" s="2123"/>
      <c r="P370" s="2122"/>
    </row>
    <row r="371" spans="1:18" ht="15.95" customHeight="1">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6915</v>
      </c>
      <c r="B374" s="2141" t="s">
        <v>6916</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1840</v>
      </c>
      <c r="B375" s="2129" t="s">
        <v>6917</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6930</v>
      </c>
      <c r="E376" s="2119"/>
      <c r="F376" s="2119"/>
      <c r="G376" s="2119" t="s">
        <v>6222</v>
      </c>
      <c r="H376" s="2119"/>
      <c r="I376" s="2119"/>
      <c r="J376" s="2119" t="s">
        <v>575</v>
      </c>
      <c r="L376" s="2137" t="s">
        <v>6931</v>
      </c>
      <c r="M376" s="3865" t="s">
        <v>6941</v>
      </c>
      <c r="N376" s="3865"/>
      <c r="O376" s="3865"/>
      <c r="P376" s="3865"/>
      <c r="Q376" s="2318"/>
    </row>
    <row r="377" spans="1:18" ht="15.95" customHeight="1">
      <c r="A377" s="2119">
        <v>1</v>
      </c>
      <c r="B377" s="3936"/>
      <c r="C377" s="3936"/>
      <c r="D377" s="3936"/>
      <c r="E377" s="3936"/>
      <c r="F377" s="3936"/>
      <c r="G377" s="3936"/>
      <c r="H377" s="3936"/>
      <c r="I377" s="3936"/>
      <c r="J377" s="3936"/>
      <c r="K377" s="3936"/>
      <c r="L377" s="2444"/>
      <c r="M377" s="3862"/>
      <c r="N377" s="3863"/>
      <c r="O377" s="3863"/>
      <c r="P377" s="3864"/>
      <c r="Q377" s="2318"/>
    </row>
    <row r="378" spans="1:18" ht="15.95" customHeight="1">
      <c r="A378" s="2119">
        <v>2</v>
      </c>
      <c r="B378" s="3902"/>
      <c r="C378" s="3902"/>
      <c r="D378" s="3902"/>
      <c r="E378" s="3902"/>
      <c r="F378" s="3902"/>
      <c r="G378" s="3902"/>
      <c r="H378" s="3902"/>
      <c r="I378" s="3902"/>
      <c r="J378" s="3902"/>
      <c r="K378" s="3902"/>
      <c r="L378" s="2445"/>
      <c r="M378" s="3866"/>
      <c r="N378" s="3867"/>
      <c r="O378" s="3867"/>
      <c r="P378" s="3868"/>
      <c r="Q378" s="2318"/>
    </row>
    <row r="379" spans="1:18" ht="15.95" customHeight="1">
      <c r="A379" s="2119">
        <v>3</v>
      </c>
      <c r="B379" s="3902"/>
      <c r="C379" s="3902"/>
      <c r="D379" s="3902"/>
      <c r="E379" s="3902"/>
      <c r="F379" s="3902"/>
      <c r="G379" s="3902"/>
      <c r="H379" s="3902"/>
      <c r="I379" s="3902"/>
      <c r="J379" s="3902"/>
      <c r="K379" s="3902"/>
      <c r="L379" s="2445"/>
      <c r="M379" s="3866"/>
      <c r="N379" s="3867"/>
      <c r="O379" s="3867"/>
      <c r="P379" s="3868"/>
      <c r="Q379" s="2318"/>
    </row>
    <row r="380" spans="1:18" ht="15.95" customHeight="1">
      <c r="A380" s="2119">
        <v>4</v>
      </c>
      <c r="B380" s="3902"/>
      <c r="C380" s="3902"/>
      <c r="D380" s="3902"/>
      <c r="E380" s="3902"/>
      <c r="F380" s="3902"/>
      <c r="G380" s="3902"/>
      <c r="H380" s="3902"/>
      <c r="I380" s="3902"/>
      <c r="J380" s="3902"/>
      <c r="K380" s="3902"/>
      <c r="L380" s="2445"/>
      <c r="M380" s="3866"/>
      <c r="N380" s="3867"/>
      <c r="O380" s="3867"/>
      <c r="P380" s="3868"/>
      <c r="Q380" s="2318"/>
    </row>
    <row r="381" spans="1:18" ht="15.95" customHeight="1">
      <c r="A381" s="2119">
        <v>5</v>
      </c>
      <c r="B381" s="3902"/>
      <c r="C381" s="3902"/>
      <c r="D381" s="3902"/>
      <c r="E381" s="3902"/>
      <c r="F381" s="3902"/>
      <c r="G381" s="3902"/>
      <c r="H381" s="3902"/>
      <c r="I381" s="3902"/>
      <c r="J381" s="3902"/>
      <c r="K381" s="3902"/>
      <c r="L381" s="2445"/>
      <c r="M381" s="3866"/>
      <c r="N381" s="3867"/>
      <c r="O381" s="3867"/>
      <c r="P381" s="3868"/>
      <c r="Q381" s="2318"/>
    </row>
    <row r="382" spans="1:18" ht="15.95" customHeight="1">
      <c r="A382" s="2119">
        <v>6</v>
      </c>
      <c r="B382" s="3902"/>
      <c r="C382" s="3902"/>
      <c r="D382" s="3902"/>
      <c r="E382" s="3902"/>
      <c r="F382" s="3902"/>
      <c r="G382" s="3902"/>
      <c r="H382" s="3902"/>
      <c r="I382" s="3902"/>
      <c r="J382" s="3902"/>
      <c r="K382" s="3902"/>
      <c r="L382" s="2445"/>
      <c r="M382" s="3866"/>
      <c r="N382" s="3867"/>
      <c r="O382" s="3867"/>
      <c r="P382" s="3868"/>
      <c r="Q382" s="2318"/>
    </row>
    <row r="383" spans="1:18" ht="15.95" customHeight="1">
      <c r="A383" s="2119">
        <v>7</v>
      </c>
      <c r="B383" s="3902"/>
      <c r="C383" s="3902"/>
      <c r="D383" s="3902"/>
      <c r="E383" s="3902"/>
      <c r="F383" s="3902"/>
      <c r="G383" s="3902"/>
      <c r="H383" s="3902"/>
      <c r="I383" s="3902"/>
      <c r="J383" s="3902"/>
      <c r="K383" s="3902"/>
      <c r="L383" s="2445"/>
      <c r="M383" s="3866"/>
      <c r="N383" s="3867"/>
      <c r="O383" s="3867"/>
      <c r="P383" s="3868"/>
      <c r="Q383" s="2318"/>
    </row>
    <row r="384" spans="1:18" ht="15.95" customHeight="1">
      <c r="A384" s="2119">
        <v>8</v>
      </c>
      <c r="B384" s="3902"/>
      <c r="C384" s="3902"/>
      <c r="D384" s="3902"/>
      <c r="E384" s="3902"/>
      <c r="F384" s="3902"/>
      <c r="G384" s="3902"/>
      <c r="H384" s="3902"/>
      <c r="I384" s="3902"/>
      <c r="J384" s="3902"/>
      <c r="K384" s="3902"/>
      <c r="L384" s="2445"/>
      <c r="M384" s="3866"/>
      <c r="N384" s="3867"/>
      <c r="O384" s="3867"/>
      <c r="P384" s="3868"/>
      <c r="Q384" s="2318"/>
    </row>
    <row r="385" spans="1:19" ht="14.25">
      <c r="A385" s="2118">
        <v>9</v>
      </c>
      <c r="B385" s="3902"/>
      <c r="C385" s="3902"/>
      <c r="D385" s="3902"/>
      <c r="E385" s="3902"/>
      <c r="F385" s="3902"/>
      <c r="G385" s="3902"/>
      <c r="H385" s="3902"/>
      <c r="I385" s="3902"/>
      <c r="J385" s="3902"/>
      <c r="K385" s="3902"/>
      <c r="L385" s="2445"/>
      <c r="M385" s="3866"/>
      <c r="N385" s="3867"/>
      <c r="O385" s="3867"/>
      <c r="P385" s="3868"/>
    </row>
    <row r="386" spans="1:19" ht="15.95" customHeight="1">
      <c r="A386" s="2119">
        <v>10</v>
      </c>
      <c r="B386" s="4129"/>
      <c r="C386" s="4129"/>
      <c r="D386" s="4129"/>
      <c r="E386" s="4129"/>
      <c r="F386" s="4129"/>
      <c r="G386" s="4129"/>
      <c r="H386" s="4129"/>
      <c r="I386" s="4129"/>
      <c r="J386" s="4129"/>
      <c r="K386" s="4129"/>
      <c r="L386" s="2446"/>
      <c r="M386" s="3914"/>
      <c r="N386" s="3915"/>
      <c r="O386" s="3915"/>
      <c r="P386" s="3916"/>
      <c r="Q386" s="2318"/>
    </row>
    <row r="387" spans="1:19" s="2155" customFormat="1" ht="15.95" customHeight="1">
      <c r="A387" s="2346" t="s">
        <v>1842</v>
      </c>
      <c r="B387" s="2287" t="s">
        <v>6918</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894" t="s">
        <v>906</v>
      </c>
      <c r="B389" s="3895"/>
      <c r="C389" s="3895"/>
      <c r="D389" s="3895"/>
      <c r="E389" s="3895"/>
      <c r="F389" s="3895"/>
      <c r="G389" s="3895"/>
      <c r="H389" s="3895"/>
      <c r="I389" s="3895"/>
      <c r="J389" s="3895"/>
      <c r="K389" s="3895"/>
      <c r="L389" s="3895"/>
      <c r="M389" s="3895"/>
      <c r="N389" s="3895"/>
      <c r="O389" s="3895"/>
      <c r="P389" s="3896"/>
      <c r="Q389" s="2207"/>
      <c r="R389" s="2207"/>
    </row>
    <row r="390" spans="1:19" s="2119" customFormat="1" ht="15.95" customHeight="1" thickTop="1">
      <c r="A390" s="2139"/>
      <c r="B390" s="2139" t="s">
        <v>1729</v>
      </c>
      <c r="D390" s="2139"/>
      <c r="E390" s="2297"/>
      <c r="F390" s="2297"/>
      <c r="G390" s="2297"/>
      <c r="H390" s="2297"/>
      <c r="I390" s="2297"/>
      <c r="J390" s="2297"/>
      <c r="K390" s="2297"/>
      <c r="L390" s="2297"/>
      <c r="M390" s="2297"/>
      <c r="N390" s="2266"/>
      <c r="O390" s="2123"/>
      <c r="P390" s="2122"/>
    </row>
    <row r="391" spans="1:19" ht="15.95" customHeight="1">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6920</v>
      </c>
      <c r="B394" s="2141" t="s">
        <v>6921</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1840</v>
      </c>
      <c r="B395" s="2129" t="s">
        <v>6922</v>
      </c>
      <c r="Q395" s="2318" t="str">
        <f>IF(OR($O395=$M395,$O395=0,$O395=""),"","*CHECK!*")</f>
        <v/>
      </c>
      <c r="R395" s="2303"/>
    </row>
    <row r="396" spans="1:19" ht="409.5" customHeight="1">
      <c r="A396" s="2342"/>
      <c r="B396" s="3911" t="s">
        <v>7123</v>
      </c>
      <c r="C396" s="3912"/>
      <c r="D396" s="3912"/>
      <c r="E396" s="3912"/>
      <c r="F396" s="3912"/>
      <c r="G396" s="3912"/>
      <c r="H396" s="3912"/>
      <c r="I396" s="3912"/>
      <c r="J396" s="3912"/>
      <c r="K396" s="3912"/>
      <c r="L396" s="3912"/>
      <c r="M396" s="3912"/>
      <c r="N396" s="3912"/>
      <c r="O396" s="3912"/>
      <c r="P396" s="3913"/>
      <c r="Q396" s="2250"/>
      <c r="R396" s="2207"/>
      <c r="S396" s="2207"/>
    </row>
    <row r="397" spans="1:19" s="2155" customFormat="1" ht="15.95" customHeight="1">
      <c r="A397" s="2378" t="s">
        <v>1842</v>
      </c>
      <c r="B397" s="2287" t="s">
        <v>6923</v>
      </c>
      <c r="Q397" s="2318" t="str">
        <f>IF(OR($O397=$M397,$O397=0,$O397=""),"","*CHECK!*")</f>
        <v/>
      </c>
      <c r="R397" s="2303"/>
    </row>
    <row r="398" spans="1:19" ht="147" customHeight="1">
      <c r="A398" s="2342"/>
      <c r="B398" s="3911" t="s">
        <v>6924</v>
      </c>
      <c r="C398" s="3912"/>
      <c r="D398" s="3912"/>
      <c r="E398" s="3912"/>
      <c r="F398" s="3912"/>
      <c r="G398" s="3912"/>
      <c r="H398" s="3912"/>
      <c r="I398" s="3912"/>
      <c r="J398" s="3912"/>
      <c r="K398" s="3912"/>
      <c r="L398" s="3912"/>
      <c r="M398" s="3912"/>
      <c r="N398" s="3912"/>
      <c r="O398" s="3912"/>
      <c r="P398" s="3913"/>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894"/>
      <c r="B400" s="3895"/>
      <c r="C400" s="3895"/>
      <c r="D400" s="3895"/>
      <c r="E400" s="3895"/>
      <c r="F400" s="3895"/>
      <c r="G400" s="3895"/>
      <c r="H400" s="3895"/>
      <c r="I400" s="3895"/>
      <c r="J400" s="3895"/>
      <c r="K400" s="3895"/>
      <c r="L400" s="3895"/>
      <c r="M400" s="3895"/>
      <c r="N400" s="3895"/>
      <c r="O400" s="3895"/>
      <c r="P400" s="3896"/>
      <c r="Q400" s="2207"/>
      <c r="R400" s="2207"/>
    </row>
    <row r="401" spans="1:65" ht="15.95" customHeight="1" thickTop="1">
      <c r="B401" s="2247" t="s">
        <v>1729</v>
      </c>
      <c r="C401" s="2145"/>
      <c r="D401" s="2247"/>
      <c r="E401" s="2180"/>
      <c r="F401" s="2159"/>
      <c r="G401" s="2159"/>
      <c r="H401" s="2159"/>
      <c r="I401" s="2159"/>
      <c r="J401" s="2159"/>
      <c r="K401" s="2159"/>
      <c r="L401" s="2159"/>
      <c r="M401" s="2159"/>
      <c r="N401" s="2248"/>
      <c r="O401" s="2249"/>
      <c r="P401" s="2122"/>
    </row>
    <row r="402" spans="1:65" ht="15.95" customHeight="1">
      <c r="A402" s="3887"/>
      <c r="B402" s="3888"/>
      <c r="C402" s="3888"/>
      <c r="D402" s="3888"/>
      <c r="E402" s="3888"/>
      <c r="F402" s="3888"/>
      <c r="G402" s="3888"/>
      <c r="H402" s="3888"/>
      <c r="I402" s="3888"/>
      <c r="J402" s="3888"/>
      <c r="K402" s="3888"/>
      <c r="L402" s="3888"/>
      <c r="M402" s="3888"/>
      <c r="N402" s="3888"/>
      <c r="O402" s="3888"/>
      <c r="P402" s="3889"/>
      <c r="Q402" s="2250"/>
    </row>
    <row r="403" spans="1:65" ht="15.95" customHeight="1" thickBot="1">
      <c r="Q403" s="3920" t="s">
        <v>6947</v>
      </c>
      <c r="R403" s="3920"/>
      <c r="S403" s="3920"/>
      <c r="T403" s="3920"/>
      <c r="U403" s="3920"/>
      <c r="V403" s="3920"/>
      <c r="W403" s="3920"/>
      <c r="X403" s="3920"/>
      <c r="Y403" s="3920"/>
      <c r="Z403" s="3920"/>
      <c r="AA403" s="3920"/>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62</v>
      </c>
      <c r="P404" s="2133">
        <f>IF(AND($O$36="4%",($D$36-$A$36)&gt;0),((-P10+P40+P66+P77+P86+P106+P122+P142+P152+P171+P179+P189+P200+P210+P223+P233+P253+P262+P271+P280+P312+P323+P332+P345+P352+P358+P365+P374)-($D$36-$A$36)),-P10+P40+P66+P77+P86+P106+P122+P142+P152+P171+P179+P189+P200+P210+P223+P233+P253+P262+P271+P280+P312+P323+P332+P345+P352+P358+P365+P374)</f>
        <v>22</v>
      </c>
      <c r="Q404" s="3920"/>
      <c r="R404" s="3920"/>
      <c r="S404" s="3920"/>
      <c r="T404" s="3920"/>
      <c r="U404" s="3920"/>
      <c r="V404" s="3920"/>
      <c r="W404" s="3920"/>
      <c r="X404" s="3920"/>
      <c r="Y404" s="3920"/>
      <c r="Z404" s="3920"/>
      <c r="AA404" s="3920"/>
    </row>
    <row r="405" spans="1:65" ht="7.5" customHeight="1" thickTop="1">
      <c r="A405" s="2119"/>
      <c r="C405" s="2159"/>
      <c r="D405" s="2159"/>
      <c r="E405" s="2159"/>
      <c r="F405" s="2159"/>
      <c r="G405" s="2159"/>
      <c r="H405" s="2159"/>
      <c r="I405" s="2159"/>
      <c r="J405" s="2159"/>
      <c r="K405" s="2159"/>
      <c r="L405" s="2159"/>
      <c r="M405" s="2159"/>
      <c r="N405" s="2159"/>
      <c r="O405" s="2159"/>
      <c r="P405" s="2159"/>
      <c r="Q405" s="3920"/>
      <c r="R405" s="3920"/>
      <c r="S405" s="3920"/>
      <c r="T405" s="3920"/>
      <c r="U405" s="3920"/>
      <c r="V405" s="3920"/>
      <c r="W405" s="3920"/>
      <c r="X405" s="3920"/>
      <c r="Y405" s="3920"/>
      <c r="Z405" s="3920"/>
      <c r="AA405" s="3920"/>
    </row>
    <row r="406" spans="1:65" ht="7.5" customHeight="1">
      <c r="F406" s="2224"/>
      <c r="G406" s="2224"/>
      <c r="H406" s="2122"/>
      <c r="I406" s="2122"/>
      <c r="N406" s="2122"/>
      <c r="O406" s="2122"/>
      <c r="P406" s="2131"/>
      <c r="Q406" s="3920"/>
      <c r="R406" s="3920"/>
      <c r="S406" s="3920"/>
      <c r="T406" s="3920"/>
      <c r="U406" s="3920"/>
      <c r="V406" s="3920"/>
      <c r="W406" s="3920"/>
      <c r="X406" s="3920"/>
      <c r="Y406" s="3920"/>
      <c r="Z406" s="3920"/>
      <c r="AA406" s="3920"/>
    </row>
    <row r="407" spans="1:65" ht="45.6" customHeight="1">
      <c r="A407" s="3921" t="s">
        <v>6871</v>
      </c>
      <c r="B407" s="3921"/>
      <c r="C407" s="3921"/>
      <c r="D407" s="3921"/>
      <c r="E407" s="3921"/>
      <c r="F407" s="3921"/>
      <c r="G407" s="3921"/>
      <c r="H407" s="3921"/>
      <c r="I407" s="3921"/>
      <c r="J407" s="3921"/>
      <c r="K407" s="3921"/>
      <c r="L407" s="3921"/>
      <c r="M407" s="3921"/>
      <c r="N407" s="3921"/>
      <c r="O407" s="3921"/>
      <c r="P407" s="3921"/>
      <c r="Q407" s="3920"/>
      <c r="R407" s="3920"/>
      <c r="S407" s="3920"/>
      <c r="T407" s="3920"/>
      <c r="U407" s="3920"/>
      <c r="V407" s="3920"/>
      <c r="W407" s="3920"/>
      <c r="X407" s="3920"/>
      <c r="Y407" s="3920"/>
      <c r="Z407" s="3920"/>
      <c r="AA407" s="3920"/>
    </row>
    <row r="408" spans="1:65" ht="409.15" customHeight="1">
      <c r="A408" s="3911" t="s">
        <v>7121</v>
      </c>
      <c r="B408" s="3912"/>
      <c r="C408" s="3912"/>
      <c r="D408" s="3912"/>
      <c r="E408" s="3912"/>
      <c r="F408" s="3912"/>
      <c r="G408" s="3912"/>
      <c r="H408" s="3912"/>
      <c r="I408" s="3912"/>
      <c r="J408" s="3912"/>
      <c r="K408" s="3912"/>
      <c r="L408" s="3912"/>
      <c r="M408" s="3912"/>
      <c r="N408" s="3912"/>
      <c r="O408" s="3912"/>
      <c r="P408" s="3913"/>
      <c r="Q408" s="2135"/>
      <c r="R408" s="2135"/>
      <c r="S408" s="2135"/>
      <c r="T408" s="2135"/>
      <c r="U408" s="2135"/>
      <c r="V408" s="2135"/>
      <c r="W408" s="2135"/>
      <c r="X408" s="2135"/>
      <c r="Y408" s="2135"/>
    </row>
    <row r="409" spans="1:65">
      <c r="B409" s="2390"/>
      <c r="C409" s="2390" t="s">
        <v>1938</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1939</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1940</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1941</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0" t="s">
        <v>6562</v>
      </c>
      <c r="BC415" s="3910"/>
      <c r="BD415" s="3910"/>
      <c r="BE415" s="3910"/>
      <c r="BF415" s="3910"/>
      <c r="BG415" s="3910"/>
      <c r="BH415" s="3910"/>
      <c r="BI415" s="3910"/>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6" t="s">
        <v>6563</v>
      </c>
      <c r="AZ416" s="3907"/>
      <c r="BA416" s="3907"/>
      <c r="BB416" s="3907"/>
      <c r="BC416" s="3907"/>
      <c r="BD416" s="3907"/>
      <c r="BE416" s="3908"/>
      <c r="BF416" s="3906" t="s">
        <v>6564</v>
      </c>
      <c r="BG416" s="3907"/>
      <c r="BH416" s="3907"/>
      <c r="BI416" s="3907"/>
      <c r="BJ416" s="3907"/>
      <c r="BK416" s="3907"/>
      <c r="BL416" s="3908"/>
      <c r="BM416" s="2390"/>
    </row>
    <row r="417" spans="2:65">
      <c r="B417" s="2390"/>
      <c r="C417" s="2393" t="s">
        <v>1979</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68" t="s">
        <v>6124</v>
      </c>
      <c r="AH418" s="4069"/>
      <c r="AI418" s="3903" t="s">
        <v>6505</v>
      </c>
      <c r="AJ418" s="3904"/>
      <c r="AK418" s="3904"/>
      <c r="AL418" s="3904"/>
      <c r="AM418" s="3905"/>
      <c r="AN418" s="4070" t="s">
        <v>6137</v>
      </c>
      <c r="AO418" s="4070"/>
      <c r="AP418" s="4070"/>
      <c r="AQ418" s="4070"/>
      <c r="AR418" s="2390"/>
      <c r="AS418" s="2459"/>
      <c r="AT418" s="2458" t="s">
        <v>6136</v>
      </c>
      <c r="AU418" s="2459"/>
      <c r="AV418" s="2459"/>
      <c r="AW418" s="2459"/>
      <c r="AX418" s="2390"/>
      <c r="AY418" s="3903" t="s">
        <v>6124</v>
      </c>
      <c r="AZ418" s="3905"/>
      <c r="BA418" s="3903" t="s">
        <v>6505</v>
      </c>
      <c r="BB418" s="3904"/>
      <c r="BC418" s="3904"/>
      <c r="BD418" s="3904"/>
      <c r="BE418" s="3905"/>
      <c r="BF418" s="3909" t="s">
        <v>6124</v>
      </c>
      <c r="BG418" s="3909"/>
      <c r="BH418" s="3909" t="s">
        <v>6505</v>
      </c>
      <c r="BI418" s="3909"/>
      <c r="BJ418" s="3909"/>
      <c r="BK418" s="3909"/>
      <c r="BL418" s="3909"/>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6912</v>
      </c>
      <c r="AK419" s="2944" t="s">
        <v>6545</v>
      </c>
      <c r="AL419" s="2944" t="s">
        <v>6546</v>
      </c>
      <c r="AM419" s="2944" t="s">
        <v>6547</v>
      </c>
      <c r="AN419" s="3903" t="str">
        <f>'Part I-Project Identification'!F12</f>
        <v>4% Credit/TE Bond</v>
      </c>
      <c r="AO419" s="3904"/>
      <c r="AP419" s="3904"/>
      <c r="AQ419" s="3905"/>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1974</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1975</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1976</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1977</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1978</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4</v>
      </c>
      <c r="AZ424" s="2973">
        <f>O86</f>
        <v>4</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4058" t="s">
        <v>6561</v>
      </c>
      <c r="AO425" s="4059"/>
      <c r="AP425" s="4059"/>
      <c r="AQ425" s="4059"/>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2107</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4058"/>
      <c r="AO426" s="4059"/>
      <c r="AP426" s="4059"/>
      <c r="AQ426" s="4059"/>
      <c r="AR426" s="2390"/>
      <c r="AS426" s="2460" t="s">
        <v>280</v>
      </c>
      <c r="AT426" s="2968" t="s">
        <v>3394</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7" t="s">
        <v>1407</v>
      </c>
      <c r="H428" s="3937"/>
      <c r="I428" s="3937"/>
      <c r="J428" s="2390" t="s">
        <v>3024</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3025</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2453</v>
      </c>
      <c r="J431" s="2390" t="s">
        <v>3026</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3027</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2453</v>
      </c>
      <c r="J433" s="2390" t="s">
        <v>3028</v>
      </c>
      <c r="K433" s="2390"/>
      <c r="L433" s="2396"/>
      <c r="M433" s="2390"/>
      <c r="N433" s="2340"/>
      <c r="O433" s="2392">
        <v>1</v>
      </c>
      <c r="P433" s="2392"/>
      <c r="Q433" s="2390"/>
      <c r="R433" s="2390"/>
      <c r="S433" s="2390"/>
      <c r="Z433" s="2390"/>
      <c r="AA433" s="2460" t="s">
        <v>2079</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2079</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3251</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4065</v>
      </c>
      <c r="J435" s="2390" t="s">
        <v>3036</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3030</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1908</v>
      </c>
      <c r="H438" s="2340" t="s">
        <v>4066</v>
      </c>
      <c r="I438" s="2395" t="s">
        <v>2453</v>
      </c>
      <c r="J438" s="2390" t="s">
        <v>3031</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2453</v>
      </c>
      <c r="J439" s="2390" t="s">
        <v>3032</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3035</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1985</v>
      </c>
      <c r="H441" s="2340" t="s">
        <v>4066</v>
      </c>
      <c r="I441" s="2395" t="s">
        <v>2453</v>
      </c>
      <c r="J441" s="2390" t="s">
        <v>3033</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1906</v>
      </c>
      <c r="H442" s="2340">
        <v>2019</v>
      </c>
      <c r="I442" s="2340" t="s">
        <v>4065</v>
      </c>
      <c r="J442" s="2390" t="s">
        <v>3034</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6913</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6913</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1788</v>
      </c>
      <c r="H445" s="2340">
        <v>2019</v>
      </c>
      <c r="I445" s="2340" t="s">
        <v>4065</v>
      </c>
      <c r="J445" s="2398" t="s">
        <v>3261</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6915</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6915</v>
      </c>
      <c r="AT447" s="3002" t="s">
        <v>6925</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2453</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62</v>
      </c>
      <c r="AZ449" s="2464">
        <f>IF(AND($O$36="4%",($C$36-$A$36)&gt;0),(SUM(AZ420:AZ447)-($C$36-$A$36)),SUM(AZ420:AZ447))</f>
        <v>62</v>
      </c>
      <c r="BA449" s="2464">
        <f t="shared" ref="BA449:BB449" si="3">IF(AND($O$36="4%",($C$36-$A$36)&gt;0),(SUM(BA420:BA447)-($C$36-$A$36)),SUM(BA420:BA447))</f>
        <v>29</v>
      </c>
      <c r="BB449" s="2464">
        <f t="shared" si="3"/>
        <v>29</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4065</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3256</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2453</v>
      </c>
      <c r="J453" s="2390" t="s">
        <v>3329</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ht="14.25">
      <c r="B456" s="2390"/>
      <c r="C456" s="2390"/>
      <c r="D456" s="2399"/>
      <c r="E456" s="2390"/>
      <c r="F456" s="2390"/>
      <c r="G456" s="2397" t="s">
        <v>1349</v>
      </c>
      <c r="H456" s="2340" t="s">
        <v>4066</v>
      </c>
      <c r="I456" s="2395" t="s">
        <v>2453</v>
      </c>
      <c r="J456" s="2390" t="s">
        <v>3257</v>
      </c>
      <c r="K456" s="2390"/>
      <c r="L456" s="2396"/>
      <c r="M456" s="2390"/>
      <c r="N456" s="2390"/>
      <c r="O456" s="2390"/>
      <c r="P456" s="2390"/>
      <c r="Q456" s="2390"/>
      <c r="R456" s="2390"/>
      <c r="S456" s="2390"/>
    </row>
    <row r="457" spans="2:65" ht="14.25">
      <c r="B457" s="2390"/>
      <c r="C457" s="2390"/>
      <c r="D457" s="2399"/>
      <c r="E457" s="2390"/>
      <c r="F457" s="2390"/>
      <c r="G457" s="2397" t="s">
        <v>1706</v>
      </c>
      <c r="H457" s="2340" t="s">
        <v>4066</v>
      </c>
      <c r="I457" s="2395" t="s">
        <v>2453</v>
      </c>
      <c r="J457" s="2390" t="s">
        <v>3258</v>
      </c>
      <c r="K457" s="2390"/>
      <c r="L457" s="2396"/>
      <c r="M457" s="2390"/>
      <c r="N457" s="2390"/>
      <c r="O457" s="2390"/>
      <c r="P457" s="2390"/>
      <c r="Q457" s="2390"/>
      <c r="R457" s="2390"/>
      <c r="S457" s="2390"/>
    </row>
    <row r="458" spans="2:65" ht="14.25">
      <c r="B458" s="2390"/>
      <c r="C458" s="2390"/>
      <c r="D458" s="2390"/>
      <c r="E458" s="2390"/>
      <c r="F458" s="2390"/>
      <c r="G458" s="2397" t="s">
        <v>1968</v>
      </c>
      <c r="H458" s="2340">
        <v>2020</v>
      </c>
      <c r="I458" s="2340" t="s">
        <v>4065</v>
      </c>
      <c r="J458" s="2390" t="s">
        <v>3330</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4065</v>
      </c>
      <c r="J461" s="2390" t="s">
        <v>3259</v>
      </c>
      <c r="K461" s="2390"/>
      <c r="L461" s="2396"/>
      <c r="M461" s="2390"/>
      <c r="N461" s="2390"/>
      <c r="O461" s="2390"/>
      <c r="P461" s="2390"/>
      <c r="Q461" s="2390"/>
      <c r="R461" s="2390"/>
      <c r="S461" s="2390"/>
    </row>
    <row r="462" spans="2:65" ht="14.25">
      <c r="B462" s="2390"/>
      <c r="C462" s="2399"/>
      <c r="D462" s="2390"/>
      <c r="E462" s="2390"/>
      <c r="F462" s="2390"/>
      <c r="G462" s="2397" t="s">
        <v>2095</v>
      </c>
      <c r="H462" s="2340">
        <v>2020</v>
      </c>
      <c r="I462" s="2340" t="s">
        <v>4065</v>
      </c>
      <c r="J462" s="2390" t="s">
        <v>3260</v>
      </c>
      <c r="K462" s="2390"/>
      <c r="L462" s="2396"/>
      <c r="M462" s="2390"/>
      <c r="N462" s="2390"/>
      <c r="O462" s="2390"/>
      <c r="P462" s="2390"/>
      <c r="Q462" s="2390"/>
      <c r="R462" s="2390"/>
      <c r="S462" s="2390"/>
    </row>
    <row r="463" spans="2:65" ht="14.25">
      <c r="B463" s="2390"/>
      <c r="C463" s="2399"/>
      <c r="D463" s="2390"/>
      <c r="E463" s="2390"/>
      <c r="F463" s="2390"/>
      <c r="G463" s="2397" t="s">
        <v>4060</v>
      </c>
      <c r="H463" s="2340" t="s">
        <v>4066</v>
      </c>
      <c r="I463" s="2395" t="s">
        <v>2453</v>
      </c>
      <c r="J463" s="2390"/>
      <c r="K463" s="2390"/>
      <c r="L463" s="2396"/>
      <c r="M463" s="2390"/>
      <c r="N463" s="2390"/>
      <c r="O463" s="2390"/>
      <c r="P463" s="2390"/>
      <c r="Q463" s="2390"/>
      <c r="R463" s="2390"/>
      <c r="S463" s="2390"/>
    </row>
    <row r="464" spans="2:65" ht="14.25">
      <c r="B464" s="2390"/>
      <c r="C464" s="2399"/>
      <c r="D464" s="2390"/>
      <c r="E464" s="2390"/>
      <c r="F464" s="2390"/>
      <c r="G464" s="2397" t="s">
        <v>1748</v>
      </c>
      <c r="H464" s="2340" t="s">
        <v>4066</v>
      </c>
      <c r="I464" s="2395" t="s">
        <v>2453</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4066</v>
      </c>
      <c r="I465" s="2395" t="s">
        <v>2453</v>
      </c>
      <c r="J465" s="2390"/>
      <c r="K465" s="2390"/>
      <c r="L465" s="2396"/>
      <c r="M465" s="2390"/>
      <c r="N465" s="2390"/>
      <c r="O465" s="2390"/>
      <c r="P465" s="2390"/>
      <c r="Q465" s="2390"/>
      <c r="R465" s="2390"/>
      <c r="S465" s="2390"/>
    </row>
    <row r="466" spans="2:19" ht="14.25">
      <c r="B466" s="2390"/>
      <c r="C466" s="2399"/>
      <c r="D466" s="2390"/>
      <c r="E466" s="2390"/>
      <c r="F466" s="2390"/>
      <c r="G466" s="2397" t="s">
        <v>1950</v>
      </c>
      <c r="H466" s="2340" t="s">
        <v>4066</v>
      </c>
      <c r="I466" s="2395" t="s">
        <v>2453</v>
      </c>
      <c r="J466" s="2390"/>
      <c r="K466" s="2390"/>
      <c r="L466" s="2396"/>
      <c r="M466" s="2390"/>
      <c r="N466" s="2390"/>
      <c r="O466" s="2390"/>
      <c r="P466" s="2390"/>
      <c r="Q466" s="2390"/>
      <c r="R466" s="2390"/>
      <c r="S466" s="2390"/>
    </row>
    <row r="467" spans="2:19" ht="14.25">
      <c r="B467" s="2390"/>
      <c r="C467" s="2399"/>
      <c r="D467" s="2390"/>
      <c r="E467" s="2390"/>
      <c r="F467" s="2390"/>
      <c r="G467" s="2397" t="s">
        <v>2087</v>
      </c>
      <c r="H467" s="2340">
        <v>2020</v>
      </c>
      <c r="I467" s="2340" t="s">
        <v>4065</v>
      </c>
      <c r="J467" s="2390"/>
      <c r="K467" s="2390"/>
      <c r="L467" s="2396"/>
      <c r="M467" s="2390"/>
      <c r="N467" s="2390"/>
      <c r="O467" s="2390"/>
      <c r="P467" s="2390"/>
      <c r="Q467" s="2390"/>
      <c r="R467" s="2390"/>
      <c r="S467" s="2390"/>
    </row>
    <row r="468" spans="2:19" ht="14.25">
      <c r="B468" s="2390"/>
      <c r="C468" s="2399"/>
      <c r="D468" s="2390"/>
      <c r="E468" s="2390"/>
      <c r="F468" s="2390"/>
      <c r="G468" s="2397" t="s">
        <v>1973</v>
      </c>
      <c r="H468" s="2340">
        <v>2020</v>
      </c>
      <c r="I468" s="2340" t="s">
        <v>4065</v>
      </c>
      <c r="J468" s="2390"/>
      <c r="K468" s="2390"/>
      <c r="L468" s="2390"/>
      <c r="M468" s="2390"/>
      <c r="N468" s="2390"/>
      <c r="O468" s="2390"/>
      <c r="P468" s="2390"/>
      <c r="Q468" s="2390"/>
      <c r="R468" s="2390"/>
      <c r="S468" s="2390"/>
    </row>
    <row r="469" spans="2:19" ht="14.25">
      <c r="B469" s="2390"/>
      <c r="C469" s="2390"/>
      <c r="D469" s="2390"/>
      <c r="E469" s="2390"/>
      <c r="F469" s="2390"/>
      <c r="G469" s="2397" t="s">
        <v>2153</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1" t="s">
        <v>2480</v>
      </c>
      <c r="B5" s="4131"/>
      <c r="C5" s="4131"/>
      <c r="D5" s="4131"/>
      <c r="E5" s="4131"/>
      <c r="F5" s="4131"/>
      <c r="G5" s="4131"/>
      <c r="H5" s="4131"/>
      <c r="I5" s="4131"/>
      <c r="J5" s="4131"/>
      <c r="K5" s="4131"/>
      <c r="L5" s="4131"/>
      <c r="M5" s="413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2" t="s">
        <v>1766</v>
      </c>
      <c r="B9" s="4132"/>
      <c r="C9" s="4132"/>
      <c r="D9" s="4132"/>
      <c r="E9" s="4132"/>
      <c r="F9" s="4132"/>
      <c r="G9" s="4132"/>
      <c r="H9" s="4132"/>
      <c r="I9" s="4132"/>
      <c r="J9" s="4132"/>
      <c r="K9" s="4132"/>
      <c r="L9" s="4132"/>
      <c r="M9" s="4132"/>
    </row>
    <row r="10" spans="1:26" ht="6.75" customHeight="1">
      <c r="A10" s="4132"/>
      <c r="B10" s="4132"/>
      <c r="C10" s="4132"/>
      <c r="D10" s="4132"/>
      <c r="E10" s="4132"/>
      <c r="F10" s="4132"/>
      <c r="G10" s="4132"/>
      <c r="H10" s="4132"/>
      <c r="I10" s="4132"/>
      <c r="J10" s="4132"/>
      <c r="K10" s="4132"/>
      <c r="L10" s="4132"/>
      <c r="M10" s="4132"/>
    </row>
    <row r="11" spans="1:26" ht="44.25" customHeight="1">
      <c r="A11" s="4133" t="s">
        <v>6926</v>
      </c>
      <c r="B11" s="4133"/>
      <c r="C11" s="4133"/>
      <c r="D11" s="4133"/>
      <c r="E11" s="4133"/>
      <c r="F11" s="4133"/>
      <c r="G11" s="4133"/>
      <c r="H11" s="4133"/>
      <c r="I11" s="4133"/>
      <c r="J11" s="4133"/>
      <c r="K11" s="4133"/>
      <c r="L11" s="4133"/>
      <c r="M11" s="4133"/>
    </row>
    <row r="12" spans="1:26" ht="3" customHeight="1">
      <c r="A12" s="4132"/>
      <c r="B12" s="4132"/>
      <c r="C12" s="4132"/>
      <c r="D12" s="4132"/>
      <c r="E12" s="4132"/>
      <c r="F12" s="4132"/>
      <c r="G12" s="4132"/>
      <c r="H12" s="4132"/>
      <c r="I12" s="4132"/>
      <c r="J12" s="4132"/>
      <c r="K12" s="4132"/>
      <c r="L12" s="4132"/>
      <c r="M12" s="4132"/>
    </row>
    <row r="13" spans="1:26" ht="101.25" customHeight="1">
      <c r="A13" s="815" t="s">
        <v>1614</v>
      </c>
      <c r="B13" s="4134" t="s">
        <v>3189</v>
      </c>
      <c r="C13" s="4134"/>
      <c r="D13" s="4134"/>
      <c r="E13" s="4134"/>
      <c r="F13" s="4134"/>
      <c r="G13" s="4134"/>
      <c r="H13" s="4134"/>
      <c r="I13" s="4134"/>
      <c r="J13" s="4134"/>
      <c r="K13" s="4134"/>
      <c r="L13" s="4134"/>
      <c r="M13" s="4134"/>
      <c r="U13" s="809" t="s">
        <v>6270</v>
      </c>
    </row>
    <row r="14" spans="1:26" ht="47.25" customHeight="1">
      <c r="A14" s="815" t="s">
        <v>1615</v>
      </c>
      <c r="B14" s="4134" t="s">
        <v>3190</v>
      </c>
      <c r="C14" s="4134"/>
      <c r="D14" s="4134"/>
      <c r="E14" s="4134"/>
      <c r="F14" s="4134"/>
      <c r="G14" s="4134"/>
      <c r="H14" s="4134"/>
      <c r="I14" s="4134"/>
      <c r="J14" s="4134"/>
      <c r="K14" s="4134"/>
      <c r="L14" s="4134"/>
      <c r="M14" s="4134"/>
    </row>
    <row r="15" spans="1:26" ht="117" customHeight="1">
      <c r="A15" s="815" t="s">
        <v>1616</v>
      </c>
      <c r="B15" s="4134" t="s">
        <v>3191</v>
      </c>
      <c r="C15" s="4134"/>
      <c r="D15" s="4134"/>
      <c r="E15" s="4134"/>
      <c r="F15" s="4134"/>
      <c r="G15" s="4134"/>
      <c r="H15" s="4134"/>
      <c r="I15" s="4134"/>
      <c r="J15" s="4134"/>
      <c r="K15" s="4134"/>
      <c r="L15" s="4134"/>
      <c r="M15" s="4134"/>
    </row>
    <row r="16" spans="1:26" ht="147" customHeight="1">
      <c r="A16" s="815" t="s">
        <v>2181</v>
      </c>
      <c r="B16" s="4134" t="s">
        <v>3069</v>
      </c>
      <c r="C16" s="4134"/>
      <c r="D16" s="4134"/>
      <c r="E16" s="4134"/>
      <c r="F16" s="4134"/>
      <c r="G16" s="4134"/>
      <c r="H16" s="4134"/>
      <c r="I16" s="4134"/>
      <c r="J16" s="4134"/>
      <c r="K16" s="4134"/>
      <c r="L16" s="4134"/>
      <c r="M16" s="4134"/>
    </row>
    <row r="17" spans="1:13" ht="48.75" customHeight="1">
      <c r="A17" s="815" t="s">
        <v>1448</v>
      </c>
      <c r="B17" s="4134" t="s">
        <v>637</v>
      </c>
      <c r="C17" s="4134"/>
      <c r="D17" s="4134"/>
      <c r="E17" s="4134"/>
      <c r="F17" s="4134"/>
      <c r="G17" s="4134"/>
      <c r="H17" s="4134"/>
      <c r="I17" s="4134"/>
      <c r="J17" s="4134"/>
      <c r="K17" s="4134"/>
      <c r="L17" s="4134"/>
      <c r="M17" s="4134"/>
    </row>
    <row r="18" spans="1:13" ht="165" customHeight="1">
      <c r="A18" s="815" t="s">
        <v>1449</v>
      </c>
      <c r="B18" s="4134" t="s">
        <v>3068</v>
      </c>
      <c r="C18" s="4134"/>
      <c r="D18" s="4134"/>
      <c r="E18" s="4134"/>
      <c r="F18" s="4134"/>
      <c r="G18" s="4134"/>
      <c r="H18" s="4134"/>
      <c r="I18" s="4134"/>
      <c r="J18" s="4134"/>
      <c r="K18" s="4134"/>
      <c r="L18" s="4134"/>
      <c r="M18" s="4134"/>
    </row>
    <row r="19" spans="1:13" ht="48.75" customHeight="1">
      <c r="A19" s="815" t="s">
        <v>93</v>
      </c>
      <c r="B19" s="4130" t="s">
        <v>3192</v>
      </c>
      <c r="C19" s="4130"/>
      <c r="D19" s="4130"/>
      <c r="E19" s="4130"/>
      <c r="F19" s="4130"/>
      <c r="G19" s="4130"/>
      <c r="H19" s="4130"/>
      <c r="I19" s="4130"/>
      <c r="J19" s="4130"/>
      <c r="K19" s="4130"/>
      <c r="L19" s="4130"/>
      <c r="M19" s="4130"/>
    </row>
    <row r="20" spans="1:13" ht="50.25" customHeight="1">
      <c r="A20" s="815" t="s">
        <v>481</v>
      </c>
      <c r="B20" s="4134" t="s">
        <v>3070</v>
      </c>
      <c r="C20" s="4134"/>
      <c r="D20" s="4134"/>
      <c r="E20" s="4134"/>
      <c r="F20" s="4134"/>
      <c r="G20" s="4134"/>
      <c r="H20" s="4134"/>
      <c r="I20" s="4134"/>
      <c r="J20" s="4134"/>
      <c r="K20" s="4134"/>
      <c r="L20" s="4134"/>
      <c r="M20" s="4134"/>
    </row>
    <row r="21" spans="1:13" ht="31.5" customHeight="1">
      <c r="A21" s="815" t="s">
        <v>482</v>
      </c>
      <c r="B21" s="4134" t="s">
        <v>3088</v>
      </c>
      <c r="C21" s="4134"/>
      <c r="D21" s="4134"/>
      <c r="E21" s="4134"/>
      <c r="F21" s="4134"/>
      <c r="G21" s="4134"/>
      <c r="H21" s="4134"/>
      <c r="I21" s="4134"/>
      <c r="J21" s="4134"/>
      <c r="K21" s="4134"/>
      <c r="L21" s="4134"/>
      <c r="M21" s="4134"/>
    </row>
    <row r="22" spans="1:13" ht="1.5" customHeight="1">
      <c r="A22" s="4132"/>
      <c r="B22" s="4132"/>
      <c r="C22" s="4132"/>
      <c r="D22" s="4132"/>
      <c r="E22" s="4132"/>
      <c r="F22" s="4132"/>
      <c r="G22" s="4132"/>
      <c r="H22" s="4132"/>
      <c r="I22" s="4132"/>
      <c r="J22" s="4132"/>
      <c r="K22" s="4132"/>
      <c r="L22" s="4132"/>
      <c r="M22" s="4132"/>
    </row>
    <row r="23" spans="1:13" ht="3" customHeight="1">
      <c r="A23" s="4132"/>
      <c r="B23" s="4132"/>
      <c r="C23" s="4132"/>
      <c r="D23" s="4132"/>
      <c r="E23" s="4132"/>
      <c r="F23" s="4132"/>
      <c r="G23" s="4132"/>
      <c r="H23" s="4132"/>
      <c r="I23" s="4132"/>
      <c r="J23" s="4132"/>
      <c r="K23" s="4132"/>
      <c r="L23" s="4132"/>
      <c r="M23" s="4132"/>
    </row>
    <row r="24" spans="1:13" ht="13.5" customHeight="1">
      <c r="A24" s="4132" t="s">
        <v>1374</v>
      </c>
      <c r="B24" s="4132"/>
      <c r="C24" s="4132"/>
      <c r="D24" s="4132"/>
      <c r="E24" s="4132"/>
      <c r="F24" s="4132"/>
      <c r="G24" s="4132"/>
      <c r="H24" s="4132"/>
      <c r="I24" s="4132"/>
      <c r="J24" s="4132"/>
      <c r="K24" s="4132"/>
      <c r="L24" s="4132"/>
      <c r="M24" s="4132"/>
    </row>
    <row r="25" spans="1:13" ht="32.25" customHeight="1">
      <c r="A25" s="815" t="s">
        <v>1375</v>
      </c>
      <c r="B25" s="4134" t="s">
        <v>3089</v>
      </c>
      <c r="C25" s="4134"/>
      <c r="D25" s="4134"/>
      <c r="E25" s="4134"/>
      <c r="F25" s="4134"/>
      <c r="G25" s="4134"/>
      <c r="H25" s="4134"/>
      <c r="I25" s="4134"/>
      <c r="J25" s="4134"/>
      <c r="K25" s="4134"/>
      <c r="L25" s="4134"/>
      <c r="M25" s="4134"/>
    </row>
    <row r="26" spans="1:13" ht="31.5" customHeight="1">
      <c r="A26" s="815" t="s">
        <v>1375</v>
      </c>
      <c r="B26" s="4134" t="s">
        <v>3090</v>
      </c>
      <c r="C26" s="4134"/>
      <c r="D26" s="4134"/>
      <c r="E26" s="4134"/>
      <c r="F26" s="4134"/>
      <c r="G26" s="4134"/>
      <c r="H26" s="4134"/>
      <c r="I26" s="4134"/>
      <c r="J26" s="4134"/>
      <c r="K26" s="4134"/>
      <c r="L26" s="4134"/>
      <c r="M26" s="4134"/>
    </row>
    <row r="27" spans="1:13" ht="78.75" customHeight="1">
      <c r="A27" s="815" t="s">
        <v>1375</v>
      </c>
      <c r="B27" s="4134" t="s">
        <v>2481</v>
      </c>
      <c r="C27" s="4134"/>
      <c r="D27" s="4134"/>
      <c r="E27" s="4134"/>
      <c r="F27" s="4134"/>
      <c r="G27" s="4134"/>
      <c r="H27" s="4134"/>
      <c r="I27" s="4134"/>
      <c r="J27" s="4134"/>
      <c r="K27" s="4134"/>
      <c r="L27" s="4134"/>
      <c r="M27" s="4134"/>
    </row>
    <row r="28" spans="1:13" ht="7.5" customHeight="1">
      <c r="A28" s="4132"/>
      <c r="B28" s="4132"/>
      <c r="C28" s="4132"/>
      <c r="D28" s="4132"/>
      <c r="E28" s="4132"/>
      <c r="F28" s="4132"/>
      <c r="G28" s="4132"/>
      <c r="H28" s="4132"/>
      <c r="I28" s="4132"/>
      <c r="J28" s="4132"/>
      <c r="K28" s="4132"/>
      <c r="L28" s="4132"/>
      <c r="M28" s="4132"/>
    </row>
    <row r="29" spans="1:13" ht="43.5" customHeight="1">
      <c r="A29" s="4134" t="s">
        <v>887</v>
      </c>
      <c r="B29" s="4134"/>
      <c r="C29" s="4134"/>
      <c r="D29" s="4134"/>
      <c r="E29" s="4134"/>
      <c r="F29" s="4134"/>
      <c r="G29" s="4134"/>
      <c r="H29" s="4134"/>
      <c r="I29" s="4134"/>
      <c r="J29" s="4134"/>
      <c r="K29" s="4134"/>
      <c r="L29" s="4134"/>
      <c r="M29" s="4134"/>
    </row>
    <row r="30" spans="1:13" ht="3" customHeight="1">
      <c r="A30" s="4132"/>
      <c r="B30" s="4132"/>
      <c r="C30" s="4132"/>
      <c r="D30" s="4132"/>
      <c r="E30" s="4132"/>
      <c r="F30" s="4132"/>
      <c r="G30" s="4132"/>
      <c r="H30" s="4132"/>
      <c r="I30" s="4132"/>
      <c r="J30" s="4132"/>
      <c r="K30" s="4132"/>
      <c r="L30" s="4132"/>
      <c r="M30" s="4132"/>
    </row>
    <row r="31" spans="1:13" ht="32.25" customHeight="1">
      <c r="A31" s="4134" t="s">
        <v>2482</v>
      </c>
      <c r="B31" s="4134"/>
      <c r="C31" s="4134"/>
      <c r="D31" s="4134"/>
      <c r="E31" s="4134"/>
      <c r="F31" s="4134"/>
      <c r="G31" s="4134"/>
      <c r="H31" s="4134"/>
      <c r="I31" s="4134"/>
      <c r="J31" s="4134"/>
      <c r="K31" s="4134"/>
      <c r="L31" s="4134"/>
      <c r="M31" s="4134"/>
    </row>
    <row r="32" spans="1:13" ht="4.5" customHeight="1">
      <c r="A32" s="4132"/>
      <c r="B32" s="4132"/>
      <c r="C32" s="4132"/>
      <c r="D32" s="4132"/>
      <c r="E32" s="4132"/>
      <c r="F32" s="4132"/>
      <c r="G32" s="4132"/>
      <c r="H32" s="4132"/>
      <c r="I32" s="4132"/>
      <c r="J32" s="4132"/>
      <c r="K32" s="4132"/>
      <c r="L32" s="4132"/>
      <c r="M32" s="4132"/>
    </row>
    <row r="33" spans="1:13" ht="16.5">
      <c r="A33" s="4132" t="s">
        <v>864</v>
      </c>
      <c r="B33" s="4132"/>
      <c r="C33" s="4132"/>
      <c r="D33" s="4132"/>
      <c r="E33" s="4132"/>
      <c r="F33" s="4132"/>
      <c r="G33" s="4132"/>
      <c r="H33" s="4132"/>
      <c r="I33" s="4132"/>
      <c r="J33" s="4132"/>
      <c r="K33" s="4132"/>
      <c r="L33" s="4132"/>
      <c r="M33" s="4132"/>
    </row>
    <row r="34" spans="1:13" ht="6" customHeight="1">
      <c r="A34" s="835"/>
      <c r="B34" s="835"/>
      <c r="C34" s="835"/>
      <c r="D34" s="835"/>
      <c r="E34" s="835"/>
      <c r="F34" s="835"/>
      <c r="G34" s="835"/>
      <c r="H34" s="835"/>
      <c r="I34" s="835"/>
      <c r="J34" s="835"/>
      <c r="K34" s="835"/>
      <c r="L34" s="835"/>
      <c r="M34" s="835"/>
    </row>
    <row r="35" spans="1:13" ht="16.5">
      <c r="A35" s="4135"/>
      <c r="B35" s="4135"/>
      <c r="C35" s="4135"/>
      <c r="D35" s="4135"/>
      <c r="E35" s="4135"/>
      <c r="F35" s="4135"/>
      <c r="G35" s="813"/>
      <c r="H35" s="4135"/>
      <c r="I35" s="4135"/>
      <c r="J35" s="4135"/>
      <c r="K35" s="4135"/>
      <c r="L35" s="4135"/>
      <c r="M35" s="4135"/>
    </row>
    <row r="36" spans="1:13" ht="12" customHeight="1">
      <c r="A36" s="4136" t="s">
        <v>865</v>
      </c>
      <c r="B36" s="4136"/>
      <c r="C36" s="4136"/>
      <c r="D36" s="4136"/>
      <c r="E36" s="4136"/>
      <c r="F36" s="4136"/>
      <c r="G36" s="813"/>
      <c r="H36" s="4136" t="s">
        <v>1838</v>
      </c>
      <c r="I36" s="4136"/>
      <c r="J36" s="4136"/>
      <c r="K36" s="4136"/>
      <c r="L36" s="4136"/>
      <c r="M36" s="4136"/>
    </row>
    <row r="37" spans="1:13" ht="6" customHeight="1">
      <c r="A37" s="813"/>
      <c r="B37" s="813"/>
      <c r="C37" s="813"/>
      <c r="D37" s="813"/>
      <c r="E37" s="813"/>
      <c r="F37" s="813"/>
      <c r="G37" s="813"/>
      <c r="H37" s="813"/>
      <c r="I37" s="813"/>
      <c r="J37" s="813"/>
      <c r="K37" s="813"/>
      <c r="L37" s="813"/>
      <c r="M37" s="813"/>
    </row>
    <row r="38" spans="1:13" ht="16.5">
      <c r="A38" s="4137"/>
      <c r="B38" s="4137"/>
      <c r="C38" s="4137"/>
      <c r="D38" s="4137"/>
      <c r="E38" s="4137"/>
      <c r="F38" s="4137"/>
      <c r="G38" s="813"/>
      <c r="H38" s="4138"/>
      <c r="I38" s="4138"/>
      <c r="J38" s="4138"/>
      <c r="K38" s="4138"/>
      <c r="L38" s="4138"/>
      <c r="M38" s="4138"/>
    </row>
    <row r="39" spans="1:13" ht="12" customHeight="1">
      <c r="A39" s="4136" t="s">
        <v>866</v>
      </c>
      <c r="B39" s="4136"/>
      <c r="C39" s="4136"/>
      <c r="D39" s="4136"/>
      <c r="E39" s="4136"/>
      <c r="F39" s="4136"/>
      <c r="G39" s="813"/>
      <c r="H39" s="4136" t="s">
        <v>867</v>
      </c>
      <c r="I39" s="4136"/>
      <c r="J39" s="4136"/>
      <c r="K39" s="4136"/>
      <c r="L39" s="4136"/>
      <c r="M39" s="413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9" t="s">
        <v>868</v>
      </c>
      <c r="I41" s="4139"/>
      <c r="J41" s="4139"/>
      <c r="K41" s="4139"/>
      <c r="L41" s="4139"/>
      <c r="M41" s="413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5" t="str">
        <f>'Part I-Project Identification'!F25</f>
        <v>Westbury</v>
      </c>
      <c r="E3" s="4196"/>
      <c r="F3" s="4196"/>
      <c r="G3" s="4196"/>
      <c r="H3" s="4196"/>
      <c r="I3" s="4196"/>
      <c r="J3" s="4197" t="s">
        <v>6170</v>
      </c>
      <c r="K3" s="4198"/>
    </row>
    <row r="4" spans="1:11" ht="15" customHeight="1">
      <c r="A4" s="1332" t="s">
        <v>3968</v>
      </c>
      <c r="B4" s="1333"/>
      <c r="C4" s="1334"/>
      <c r="D4" s="4199"/>
      <c r="E4" s="4200"/>
      <c r="F4" s="4200"/>
      <c r="G4" s="4200"/>
      <c r="H4" s="4200"/>
      <c r="I4" s="4200"/>
      <c r="J4" s="4201" t="s">
        <v>4009</v>
      </c>
      <c r="K4" s="4202"/>
    </row>
    <row r="5" spans="1:11" ht="15" customHeight="1" thickBot="1">
      <c r="A5" s="1335" t="s">
        <v>3969</v>
      </c>
      <c r="B5" s="1336"/>
      <c r="C5" s="1337"/>
      <c r="D5" s="4205"/>
      <c r="E5" s="4206"/>
      <c r="F5" s="4206"/>
      <c r="G5" s="4206"/>
      <c r="H5" s="4206"/>
      <c r="I5" s="4206"/>
      <c r="J5" s="4203"/>
      <c r="K5" s="4204"/>
    </row>
    <row r="6" spans="1:11" ht="9" customHeight="1" thickBot="1">
      <c r="E6" s="1327"/>
    </row>
    <row r="7" spans="1:11">
      <c r="A7" s="4213" t="s">
        <v>3971</v>
      </c>
      <c r="B7" s="4214"/>
      <c r="C7" s="4214"/>
      <c r="D7" s="4214"/>
      <c r="E7" s="4214"/>
      <c r="F7" s="4214"/>
      <c r="G7" s="4214"/>
      <c r="H7" s="4214"/>
      <c r="I7" s="4214"/>
      <c r="J7" s="4214"/>
      <c r="K7" s="4215"/>
    </row>
    <row r="8" spans="1:11" ht="14.25" customHeight="1">
      <c r="A8" s="1333"/>
      <c r="B8" s="1333"/>
      <c r="C8" s="1567">
        <v>1</v>
      </c>
      <c r="D8" s="1352" t="s">
        <v>3972</v>
      </c>
      <c r="E8" s="1352"/>
      <c r="F8" s="1352"/>
      <c r="G8" s="1352"/>
      <c r="H8" s="1352"/>
      <c r="I8" s="1352"/>
      <c r="J8" s="4211"/>
      <c r="K8" s="4212"/>
    </row>
    <row r="9" spans="1:11" ht="7.15" customHeight="1">
      <c r="A9" s="4150"/>
      <c r="B9" s="4150"/>
      <c r="C9" s="4150"/>
      <c r="D9" s="4151"/>
      <c r="E9" s="4151"/>
      <c r="F9" s="4151"/>
      <c r="G9" s="4151"/>
      <c r="H9" s="4151"/>
      <c r="I9" s="4151"/>
      <c r="J9" s="4151"/>
      <c r="K9" s="1353"/>
    </row>
    <row r="10" spans="1:11">
      <c r="A10" s="4216" t="s">
        <v>3973</v>
      </c>
      <c r="B10" s="4217"/>
      <c r="C10" s="4217"/>
      <c r="D10" s="4217"/>
      <c r="E10" s="4217"/>
      <c r="F10" s="4217"/>
      <c r="G10" s="4217"/>
      <c r="H10" s="4217"/>
      <c r="I10" s="4217"/>
      <c r="J10" s="4217"/>
      <c r="K10" s="4218"/>
    </row>
    <row r="11" spans="1:11" ht="14.25" customHeight="1">
      <c r="A11" s="1333"/>
      <c r="B11" s="1333"/>
      <c r="C11" s="1567">
        <v>2</v>
      </c>
      <c r="D11" s="1352" t="s">
        <v>3974</v>
      </c>
      <c r="E11" s="1354"/>
      <c r="F11" s="1354"/>
      <c r="G11" s="1354"/>
      <c r="H11" s="1354"/>
      <c r="I11" s="1354"/>
      <c r="J11" s="4209"/>
      <c r="K11" s="4210"/>
    </row>
    <row r="12" spans="1:11" ht="7.15" customHeight="1">
      <c r="A12" s="4150"/>
      <c r="B12" s="4150"/>
      <c r="C12" s="4150"/>
      <c r="D12" s="4151"/>
      <c r="E12" s="4151"/>
      <c r="F12" s="4151"/>
      <c r="G12" s="4151"/>
      <c r="H12" s="4151"/>
      <c r="I12" s="4151"/>
      <c r="J12" s="4151"/>
      <c r="K12" s="1355"/>
    </row>
    <row r="13" spans="1:11">
      <c r="A13" s="4216" t="s">
        <v>3975</v>
      </c>
      <c r="B13" s="4217"/>
      <c r="C13" s="4217"/>
      <c r="D13" s="4217"/>
      <c r="E13" s="4217"/>
      <c r="F13" s="4217"/>
      <c r="G13" s="4217"/>
      <c r="H13" s="4217"/>
      <c r="I13" s="4217"/>
      <c r="J13" s="4217"/>
      <c r="K13" s="4218"/>
    </row>
    <row r="14" spans="1:11" ht="14.25" customHeight="1">
      <c r="A14" s="1333"/>
      <c r="B14" s="1333"/>
      <c r="C14" s="1568">
        <v>3</v>
      </c>
      <c r="D14" s="1356" t="s">
        <v>3976</v>
      </c>
      <c r="E14" s="1356"/>
      <c r="F14" s="1356"/>
      <c r="G14" s="1356"/>
      <c r="H14" s="1356"/>
      <c r="I14" s="1356"/>
      <c r="J14" s="4207"/>
      <c r="K14" s="4208"/>
    </row>
    <row r="15" spans="1:11" ht="14.25" customHeight="1">
      <c r="A15" s="1333"/>
      <c r="B15" s="1333"/>
      <c r="C15" s="1569">
        <v>4</v>
      </c>
      <c r="D15" s="1333" t="s">
        <v>3977</v>
      </c>
      <c r="E15" s="1333"/>
      <c r="F15" s="1333"/>
      <c r="G15" s="1333"/>
      <c r="H15" s="1333"/>
      <c r="I15" s="1333"/>
      <c r="J15" s="4148"/>
      <c r="K15" s="4149"/>
    </row>
    <row r="16" spans="1:11" ht="14.25" customHeight="1">
      <c r="A16" s="1333"/>
      <c r="B16" s="1333"/>
      <c r="C16" s="1569">
        <v>5</v>
      </c>
      <c r="D16" s="1333" t="s">
        <v>3978</v>
      </c>
      <c r="E16" s="1333"/>
      <c r="F16" s="1333"/>
      <c r="G16" s="1333"/>
      <c r="H16" s="1333"/>
      <c r="I16" s="1333"/>
      <c r="J16" s="4148"/>
      <c r="K16" s="4149"/>
    </row>
    <row r="17" spans="1:13" ht="14.25" customHeight="1">
      <c r="A17" s="1333"/>
      <c r="B17" s="1333"/>
      <c r="C17" s="1570">
        <v>6</v>
      </c>
      <c r="D17" s="1336" t="s">
        <v>3979</v>
      </c>
      <c r="E17" s="1336"/>
      <c r="F17" s="1336"/>
      <c r="G17" s="1336"/>
      <c r="H17" s="1336"/>
      <c r="I17" s="1336"/>
      <c r="J17" s="4146"/>
      <c r="K17" s="4147"/>
    </row>
    <row r="18" spans="1:13" ht="7.15" customHeight="1">
      <c r="A18" s="4150"/>
      <c r="B18" s="4150"/>
      <c r="C18" s="4150"/>
      <c r="D18" s="4151"/>
      <c r="E18" s="4151"/>
      <c r="F18" s="4151"/>
      <c r="G18" s="4151"/>
      <c r="H18" s="4151"/>
      <c r="I18" s="4151"/>
      <c r="J18" s="4151"/>
      <c r="K18" s="1355"/>
    </row>
    <row r="19" spans="1:13" ht="14.25" customHeight="1">
      <c r="A19" s="1333"/>
      <c r="B19" s="1333"/>
      <c r="C19" s="1568">
        <v>7</v>
      </c>
      <c r="D19" s="1356" t="s">
        <v>3980</v>
      </c>
      <c r="E19" s="1356"/>
      <c r="F19" s="1356"/>
      <c r="G19" s="1356"/>
      <c r="H19" s="1356"/>
      <c r="I19" s="1356"/>
      <c r="J19" s="4144" t="str">
        <f>IF(J17="No",J14-J15,IF(J17="Yes",J14-J15-J16,"Error"))</f>
        <v>Error</v>
      </c>
      <c r="K19" s="4145"/>
    </row>
    <row r="20" spans="1:13" ht="14.25" customHeight="1">
      <c r="A20" s="1333"/>
      <c r="B20" s="1333"/>
      <c r="C20" s="1570">
        <v>8</v>
      </c>
      <c r="D20" s="1336" t="s">
        <v>3981</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567">
        <v>9</v>
      </c>
      <c r="D22" s="1357" t="s">
        <v>3982</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186" t="s">
        <v>6170</v>
      </c>
      <c r="C31" s="4186"/>
      <c r="D31" s="4186"/>
      <c r="E31" s="4186"/>
      <c r="F31" s="4186"/>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92" t="s">
        <v>3989</v>
      </c>
      <c r="M32" s="4192"/>
    </row>
    <row r="33" spans="2:14" ht="12.75" customHeight="1">
      <c r="B33" s="1558"/>
      <c r="C33" s="1559"/>
      <c r="D33" s="1560"/>
      <c r="E33" s="4193"/>
      <c r="F33" s="419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561"/>
      <c r="C34" s="1562"/>
      <c r="D34" s="1563"/>
      <c r="E34" s="4174"/>
      <c r="F34" s="4175"/>
      <c r="G34" s="1391" t="e">
        <f t="shared" si="0"/>
        <v>#VALUE!</v>
      </c>
      <c r="H34" s="1392" t="e">
        <f t="shared" ref="H34:H51" si="3">ROUNDUP(G34,0)</f>
        <v>#VALUE!</v>
      </c>
      <c r="I34" s="1389"/>
      <c r="J34" s="1393" t="e">
        <f t="shared" si="1"/>
        <v>#VALUE!</v>
      </c>
      <c r="K34" s="1393" t="e">
        <f t="shared" si="2"/>
        <v>#VALUE!</v>
      </c>
      <c r="L34" s="4192"/>
      <c r="M34" s="4192"/>
    </row>
    <row r="35" spans="2:14" ht="12.75" customHeight="1">
      <c r="B35" s="1561"/>
      <c r="C35" s="1562"/>
      <c r="D35" s="1563"/>
      <c r="E35" s="4174"/>
      <c r="F35" s="4175"/>
      <c r="G35" s="1391" t="e">
        <f t="shared" si="0"/>
        <v>#VALUE!</v>
      </c>
      <c r="H35" s="1392" t="e">
        <f t="shared" si="3"/>
        <v>#VALUE!</v>
      </c>
      <c r="I35" s="1389"/>
      <c r="J35" s="1393" t="e">
        <f t="shared" si="1"/>
        <v>#VALUE!</v>
      </c>
      <c r="K35" s="1393" t="e">
        <f t="shared" si="2"/>
        <v>#VALUE!</v>
      </c>
      <c r="L35" s="4192"/>
      <c r="M35" s="4192"/>
    </row>
    <row r="36" spans="2:14" ht="12.75" customHeight="1">
      <c r="B36" s="1561"/>
      <c r="C36" s="1562"/>
      <c r="D36" s="1563"/>
      <c r="E36" s="4174"/>
      <c r="F36" s="4175"/>
      <c r="G36" s="1391" t="e">
        <f t="shared" si="0"/>
        <v>#VALUE!</v>
      </c>
      <c r="H36" s="1392" t="e">
        <f t="shared" si="3"/>
        <v>#VALUE!</v>
      </c>
      <c r="I36" s="1389"/>
      <c r="J36" s="1393" t="e">
        <f t="shared" si="1"/>
        <v>#VALUE!</v>
      </c>
      <c r="K36" s="1393" t="e">
        <f t="shared" si="2"/>
        <v>#VALUE!</v>
      </c>
      <c r="L36" s="4192"/>
      <c r="M36" s="4192"/>
      <c r="N36" s="1346"/>
    </row>
    <row r="37" spans="2:14" ht="12.75" customHeight="1">
      <c r="B37" s="1561"/>
      <c r="C37" s="1562"/>
      <c r="D37" s="1563"/>
      <c r="E37" s="4174"/>
      <c r="F37" s="4175"/>
      <c r="G37" s="1391" t="e">
        <f t="shared" si="0"/>
        <v>#VALUE!</v>
      </c>
      <c r="H37" s="1392" t="e">
        <f t="shared" si="3"/>
        <v>#VALUE!</v>
      </c>
      <c r="I37" s="1389"/>
      <c r="J37" s="1393" t="e">
        <f t="shared" si="1"/>
        <v>#VALUE!</v>
      </c>
      <c r="K37" s="1393" t="e">
        <f t="shared" si="2"/>
        <v>#VALUE!</v>
      </c>
      <c r="L37" s="4192"/>
      <c r="M37" s="4192"/>
    </row>
    <row r="38" spans="2:14" ht="12.75" customHeight="1">
      <c r="B38" s="1561"/>
      <c r="C38" s="1562"/>
      <c r="D38" s="1563"/>
      <c r="E38" s="4174"/>
      <c r="F38" s="4175"/>
      <c r="G38" s="1391" t="e">
        <f t="shared" si="0"/>
        <v>#VALUE!</v>
      </c>
      <c r="H38" s="1392" t="e">
        <f t="shared" si="3"/>
        <v>#VALUE!</v>
      </c>
      <c r="I38" s="1389"/>
      <c r="J38" s="1393" t="e">
        <f t="shared" si="1"/>
        <v>#VALUE!</v>
      </c>
      <c r="K38" s="1393" t="e">
        <f t="shared" si="2"/>
        <v>#VALUE!</v>
      </c>
      <c r="L38" s="4192"/>
      <c r="M38" s="4192"/>
    </row>
    <row r="39" spans="2:14" ht="12.75" customHeight="1">
      <c r="B39" s="1561"/>
      <c r="C39" s="1562"/>
      <c r="D39" s="1563"/>
      <c r="E39" s="4174"/>
      <c r="F39" s="4175"/>
      <c r="G39" s="1391" t="e">
        <f t="shared" si="0"/>
        <v>#VALUE!</v>
      </c>
      <c r="H39" s="1392" t="e">
        <f t="shared" si="3"/>
        <v>#VALUE!</v>
      </c>
      <c r="I39" s="1389"/>
      <c r="J39" s="1393" t="e">
        <f t="shared" si="1"/>
        <v>#VALUE!</v>
      </c>
      <c r="K39" s="1393" t="e">
        <f t="shared" si="2"/>
        <v>#VALUE!</v>
      </c>
      <c r="L39" s="4192"/>
      <c r="M39" s="4192"/>
    </row>
    <row r="40" spans="2:14" ht="12.75" customHeight="1">
      <c r="B40" s="1561"/>
      <c r="C40" s="1562"/>
      <c r="D40" s="1563"/>
      <c r="E40" s="4174"/>
      <c r="F40" s="4175"/>
      <c r="G40" s="1391" t="e">
        <f t="shared" si="0"/>
        <v>#VALUE!</v>
      </c>
      <c r="H40" s="1392" t="e">
        <f t="shared" si="3"/>
        <v>#VALUE!</v>
      </c>
      <c r="I40" s="1389"/>
      <c r="J40" s="1393" t="e">
        <f t="shared" si="1"/>
        <v>#VALUE!</v>
      </c>
      <c r="K40" s="1393" t="e">
        <f t="shared" si="2"/>
        <v>#VALUE!</v>
      </c>
      <c r="L40" s="4192"/>
      <c r="M40" s="4192"/>
    </row>
    <row r="41" spans="2:14" ht="12.75" customHeight="1">
      <c r="B41" s="1561"/>
      <c r="C41" s="1562"/>
      <c r="D41" s="1563"/>
      <c r="E41" s="4174"/>
      <c r="F41" s="4175"/>
      <c r="G41" s="1391" t="e">
        <f t="shared" si="0"/>
        <v>#VALUE!</v>
      </c>
      <c r="H41" s="1392" t="e">
        <f t="shared" si="3"/>
        <v>#VALUE!</v>
      </c>
      <c r="I41" s="1389"/>
      <c r="J41" s="1393" t="e">
        <f t="shared" si="1"/>
        <v>#VALUE!</v>
      </c>
      <c r="K41" s="1393" t="e">
        <f t="shared" si="2"/>
        <v>#VALUE!</v>
      </c>
      <c r="L41" s="4192"/>
      <c r="M41" s="4192"/>
    </row>
    <row r="42" spans="2:14" ht="12.75" customHeight="1">
      <c r="B42" s="1561"/>
      <c r="C42" s="1562"/>
      <c r="D42" s="1563"/>
      <c r="E42" s="4174"/>
      <c r="F42" s="4175"/>
      <c r="G42" s="1391" t="e">
        <f t="shared" si="0"/>
        <v>#VALUE!</v>
      </c>
      <c r="H42" s="1392" t="e">
        <f t="shared" si="3"/>
        <v>#VALUE!</v>
      </c>
      <c r="I42" s="1389"/>
      <c r="J42" s="1393" t="e">
        <f t="shared" si="1"/>
        <v>#VALUE!</v>
      </c>
      <c r="K42" s="1393" t="e">
        <f t="shared" si="2"/>
        <v>#VALUE!</v>
      </c>
      <c r="L42" s="4192"/>
      <c r="M42" s="4192"/>
    </row>
    <row r="43" spans="2:14" ht="12.75" customHeight="1">
      <c r="B43" s="1561"/>
      <c r="C43" s="1562"/>
      <c r="D43" s="1563"/>
      <c r="E43" s="4174"/>
      <c r="F43" s="4175"/>
      <c r="G43" s="1391" t="e">
        <f t="shared" si="0"/>
        <v>#VALUE!</v>
      </c>
      <c r="H43" s="1392" t="e">
        <f t="shared" si="3"/>
        <v>#VALUE!</v>
      </c>
      <c r="I43" s="1389"/>
      <c r="J43" s="1393" t="e">
        <f t="shared" si="1"/>
        <v>#VALUE!</v>
      </c>
      <c r="K43" s="1393" t="e">
        <f t="shared" si="2"/>
        <v>#VALUE!</v>
      </c>
      <c r="L43" s="4192"/>
      <c r="M43" s="4192"/>
    </row>
    <row r="44" spans="2:14" ht="12.75" customHeight="1">
      <c r="B44" s="1561"/>
      <c r="C44" s="1562"/>
      <c r="D44" s="1563"/>
      <c r="E44" s="4174"/>
      <c r="F44" s="4175"/>
      <c r="G44" s="1391" t="e">
        <f t="shared" si="0"/>
        <v>#VALUE!</v>
      </c>
      <c r="H44" s="1392" t="e">
        <f t="shared" si="3"/>
        <v>#VALUE!</v>
      </c>
      <c r="I44" s="1389"/>
      <c r="J44" s="1393" t="e">
        <f t="shared" si="1"/>
        <v>#VALUE!</v>
      </c>
      <c r="K44" s="1393" t="e">
        <f t="shared" si="2"/>
        <v>#VALUE!</v>
      </c>
      <c r="L44" s="4192"/>
      <c r="M44" s="4192"/>
    </row>
    <row r="45" spans="2:14" ht="12.75" customHeight="1">
      <c r="B45" s="1561"/>
      <c r="C45" s="1562"/>
      <c r="D45" s="1563"/>
      <c r="E45" s="4174"/>
      <c r="F45" s="4175"/>
      <c r="G45" s="1391" t="e">
        <f t="shared" si="0"/>
        <v>#VALUE!</v>
      </c>
      <c r="H45" s="1392" t="e">
        <f t="shared" si="3"/>
        <v>#VALUE!</v>
      </c>
      <c r="I45" s="1389"/>
      <c r="J45" s="1393" t="e">
        <f t="shared" si="1"/>
        <v>#VALUE!</v>
      </c>
      <c r="K45" s="1393" t="e">
        <f t="shared" si="2"/>
        <v>#VALUE!</v>
      </c>
      <c r="L45" s="4192"/>
      <c r="M45" s="4192"/>
    </row>
    <row r="46" spans="2:14" ht="12.75" customHeight="1">
      <c r="B46" s="1561"/>
      <c r="C46" s="1562"/>
      <c r="D46" s="1563"/>
      <c r="E46" s="4174"/>
      <c r="F46" s="4175"/>
      <c r="G46" s="1391" t="e">
        <f t="shared" si="0"/>
        <v>#VALUE!</v>
      </c>
      <c r="H46" s="1392" t="e">
        <f t="shared" si="3"/>
        <v>#VALUE!</v>
      </c>
      <c r="I46" s="1389"/>
      <c r="J46" s="1393" t="e">
        <f t="shared" si="1"/>
        <v>#VALUE!</v>
      </c>
      <c r="K46" s="1393" t="e">
        <f t="shared" si="2"/>
        <v>#VALUE!</v>
      </c>
      <c r="L46" s="4192"/>
      <c r="M46" s="4192"/>
    </row>
    <row r="47" spans="2:14" ht="12.75" customHeight="1">
      <c r="B47" s="1561"/>
      <c r="C47" s="1562"/>
      <c r="D47" s="1563"/>
      <c r="E47" s="4174"/>
      <c r="F47" s="4175"/>
      <c r="G47" s="1391" t="e">
        <f t="shared" si="0"/>
        <v>#VALUE!</v>
      </c>
      <c r="H47" s="1392" t="e">
        <f t="shared" si="3"/>
        <v>#VALUE!</v>
      </c>
      <c r="I47" s="1389"/>
      <c r="J47" s="1393" t="e">
        <f t="shared" si="1"/>
        <v>#VALUE!</v>
      </c>
      <c r="K47" s="1393" t="e">
        <f t="shared" si="2"/>
        <v>#VALUE!</v>
      </c>
      <c r="L47" s="4192"/>
      <c r="M47" s="4192"/>
    </row>
    <row r="48" spans="2:14" ht="12.75" customHeight="1">
      <c r="B48" s="1561"/>
      <c r="C48" s="1562"/>
      <c r="D48" s="1563"/>
      <c r="E48" s="4174"/>
      <c r="F48" s="4175"/>
      <c r="G48" s="1391" t="e">
        <f t="shared" si="0"/>
        <v>#VALUE!</v>
      </c>
      <c r="H48" s="1392" t="e">
        <f t="shared" si="3"/>
        <v>#VALUE!</v>
      </c>
      <c r="I48" s="1389"/>
      <c r="J48" s="1393" t="e">
        <f t="shared" si="1"/>
        <v>#VALUE!</v>
      </c>
      <c r="K48" s="1393" t="e">
        <f t="shared" si="2"/>
        <v>#VALUE!</v>
      </c>
      <c r="L48" s="4192"/>
      <c r="M48" s="4192"/>
    </row>
    <row r="49" spans="1:13" ht="12.75" customHeight="1">
      <c r="B49" s="1561"/>
      <c r="C49" s="1562"/>
      <c r="D49" s="1563"/>
      <c r="E49" s="4174"/>
      <c r="F49" s="4175"/>
      <c r="G49" s="1391" t="e">
        <f t="shared" si="0"/>
        <v>#VALUE!</v>
      </c>
      <c r="H49" s="1392" t="e">
        <f t="shared" si="3"/>
        <v>#VALUE!</v>
      </c>
      <c r="I49" s="1389"/>
      <c r="J49" s="1393" t="e">
        <f t="shared" si="1"/>
        <v>#VALUE!</v>
      </c>
      <c r="K49" s="1393" t="e">
        <f t="shared" si="2"/>
        <v>#VALUE!</v>
      </c>
      <c r="L49" s="4192"/>
      <c r="M49" s="4192"/>
    </row>
    <row r="50" spans="1:13" ht="12.75" customHeight="1">
      <c r="B50" s="1561"/>
      <c r="C50" s="1562"/>
      <c r="D50" s="1563"/>
      <c r="E50" s="4174"/>
      <c r="F50" s="4175"/>
      <c r="G50" s="1391" t="e">
        <f t="shared" si="0"/>
        <v>#VALUE!</v>
      </c>
      <c r="H50" s="1392" t="e">
        <f t="shared" si="3"/>
        <v>#VALUE!</v>
      </c>
      <c r="I50" s="1389"/>
      <c r="J50" s="1393" t="e">
        <f t="shared" si="1"/>
        <v>#VALUE!</v>
      </c>
      <c r="K50" s="1393" t="e">
        <f t="shared" si="2"/>
        <v>#VALUE!</v>
      </c>
      <c r="L50" s="4192"/>
      <c r="M50" s="4192"/>
    </row>
    <row r="51" spans="1:13" ht="12.75" customHeight="1" thickBot="1">
      <c r="B51" s="1564"/>
      <c r="C51" s="1565"/>
      <c r="D51" s="1566"/>
      <c r="E51" s="4176"/>
      <c r="F51" s="4177"/>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3990</v>
      </c>
      <c r="H52" s="1372" t="e">
        <f>SUM(H33:H51)</f>
        <v>#VALUE!</v>
      </c>
      <c r="I52" s="1356"/>
      <c r="J52" s="1362" t="s">
        <v>3991</v>
      </c>
      <c r="K52" s="1358" t="e">
        <f>SUM(K33:K51)</f>
        <v>#VALUE!</v>
      </c>
      <c r="L52" s="4192"/>
      <c r="M52" s="4192"/>
    </row>
    <row r="53" spans="1:13" ht="15" customHeight="1">
      <c r="B53" s="1363"/>
      <c r="C53" s="4178" t="s">
        <v>3992</v>
      </c>
      <c r="D53" s="4178"/>
      <c r="E53" s="4178"/>
      <c r="F53" s="4178"/>
      <c r="G53" s="4178"/>
      <c r="H53" s="4178"/>
      <c r="I53" s="4178"/>
      <c r="J53" s="4179"/>
      <c r="K53" s="1364" t="str">
        <f>IF(J17="no",0,IF(J17="yes",J16,"Error"))</f>
        <v>Error</v>
      </c>
      <c r="L53" s="4192"/>
      <c r="M53" s="4192"/>
    </row>
    <row r="54" spans="1:13" ht="15" customHeight="1" thickBot="1">
      <c r="B54" s="1363"/>
      <c r="C54" s="4180" t="s">
        <v>3993</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5" t="s">
        <v>4011</v>
      </c>
      <c r="F57" s="4166"/>
      <c r="G57" s="4167" t="s">
        <v>3996</v>
      </c>
      <c r="H57" s="4168"/>
      <c r="I57" s="4165" t="s">
        <v>4010</v>
      </c>
      <c r="J57" s="4166"/>
      <c r="K57" s="4169"/>
    </row>
    <row r="58" spans="1:13" ht="15" customHeight="1">
      <c r="A58" s="1465"/>
      <c r="B58" s="1381"/>
      <c r="C58" s="1359">
        <f>SUMIF(C33:C51, "0", H33:H51)</f>
        <v>0</v>
      </c>
      <c r="D58" s="1484">
        <f t="shared" ref="D58:D63" si="4">ROUNDUP(C58*1.1,0)</f>
        <v>0</v>
      </c>
      <c r="E58" s="4171" t="s">
        <v>3997</v>
      </c>
      <c r="F58" s="4172"/>
      <c r="G58" s="4159">
        <f>'DCA Underwriting Assumptions'!H129</f>
        <v>159753.60000000001</v>
      </c>
      <c r="H58" s="4160"/>
      <c r="I58" s="4173">
        <f t="shared" ref="I58:I63" si="5">D58*G58</f>
        <v>0</v>
      </c>
      <c r="J58" s="4173"/>
      <c r="K58" s="4170"/>
    </row>
    <row r="59" spans="1:13">
      <c r="A59" s="1465"/>
      <c r="B59" s="1381"/>
      <c r="C59" s="1360">
        <f>SUMIF(C33:C51, "1", H33:H51)</f>
        <v>0</v>
      </c>
      <c r="D59" s="1485">
        <f t="shared" si="4"/>
        <v>0</v>
      </c>
      <c r="E59" s="4157" t="s">
        <v>2462</v>
      </c>
      <c r="F59" s="4158"/>
      <c r="G59" s="4159">
        <f>'DCA Underwriting Assumptions'!H130</f>
        <v>183132</v>
      </c>
      <c r="H59" s="4160"/>
      <c r="I59" s="4161">
        <f t="shared" si="5"/>
        <v>0</v>
      </c>
      <c r="J59" s="4161"/>
      <c r="K59" s="4170"/>
    </row>
    <row r="60" spans="1:13" ht="15" customHeight="1">
      <c r="A60" s="1465"/>
      <c r="B60" s="1381"/>
      <c r="C60" s="1360">
        <f>SUMIF(C33:C51, "2", H33:H51)</f>
        <v>0</v>
      </c>
      <c r="D60" s="1485">
        <f t="shared" si="4"/>
        <v>0</v>
      </c>
      <c r="E60" s="4157" t="s">
        <v>2463</v>
      </c>
      <c r="F60" s="4158"/>
      <c r="G60" s="4159">
        <f>'DCA Underwriting Assumptions'!H131</f>
        <v>222693.6</v>
      </c>
      <c r="H60" s="4160"/>
      <c r="I60" s="4161">
        <f t="shared" si="5"/>
        <v>0</v>
      </c>
      <c r="J60" s="4161"/>
      <c r="K60" s="4170"/>
    </row>
    <row r="61" spans="1:13">
      <c r="A61" s="1465"/>
      <c r="B61" s="1381"/>
      <c r="C61" s="1360">
        <f>SUMIF(C33:C51, "3", H33:H51)</f>
        <v>0</v>
      </c>
      <c r="D61" s="1485">
        <f t="shared" si="4"/>
        <v>0</v>
      </c>
      <c r="E61" s="4157" t="s">
        <v>2466</v>
      </c>
      <c r="F61" s="4158"/>
      <c r="G61" s="4159">
        <f>'DCA Underwriting Assumptions'!H132</f>
        <v>288093.59999999998</v>
      </c>
      <c r="H61" s="4160"/>
      <c r="I61" s="4161">
        <f t="shared" si="5"/>
        <v>0</v>
      </c>
      <c r="J61" s="4161"/>
      <c r="K61" s="4170"/>
    </row>
    <row r="62" spans="1:13">
      <c r="A62" s="1465"/>
      <c r="B62" s="1381"/>
      <c r="C62" s="1360">
        <f>SUMIF(C33:C51, "4", H33:H51)</f>
        <v>0</v>
      </c>
      <c r="D62" s="1485">
        <f t="shared" si="4"/>
        <v>0</v>
      </c>
      <c r="E62" s="4157" t="s">
        <v>3998</v>
      </c>
      <c r="F62" s="4158"/>
      <c r="G62" s="4159">
        <f>'DCA Underwriting Assumptions'!H133</f>
        <v>316236</v>
      </c>
      <c r="H62" s="4160"/>
      <c r="I62" s="4161">
        <f t="shared" si="5"/>
        <v>0</v>
      </c>
      <c r="J62" s="4161"/>
      <c r="K62" s="4170"/>
    </row>
    <row r="63" spans="1:13">
      <c r="A63" s="1482"/>
      <c r="B63" s="1382"/>
      <c r="C63" s="1361">
        <f>SUMIF(C33:C51, "5", H33:H51)</f>
        <v>0</v>
      </c>
      <c r="D63" s="1486">
        <f t="shared" si="4"/>
        <v>0</v>
      </c>
      <c r="E63" s="4162" t="s">
        <v>3999</v>
      </c>
      <c r="F63" s="4163"/>
      <c r="G63" s="4159">
        <f>'DCA Underwriting Assumptions'!H133</f>
        <v>316236</v>
      </c>
      <c r="H63" s="4160"/>
      <c r="I63" s="4164">
        <f t="shared" si="5"/>
        <v>0</v>
      </c>
      <c r="J63" s="416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2"/>
      <c r="B65" s="4152"/>
      <c r="C65" s="4152"/>
      <c r="D65" s="4152"/>
      <c r="E65" s="4152"/>
      <c r="F65" s="4152"/>
      <c r="G65" s="4152"/>
      <c r="H65" s="4152"/>
      <c r="I65" s="4152"/>
      <c r="J65" s="4152"/>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6" t="s">
        <v>4006</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Westbury, Decatur, DeKalb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9"/>
      <c r="C3" s="4339"/>
      <c r="D3" s="4339"/>
      <c r="E3" s="4339"/>
      <c r="F3" s="4339"/>
      <c r="G3" s="4339"/>
      <c r="H3" s="433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9"/>
      <c r="J3" s="4339"/>
      <c r="K3" s="4339"/>
      <c r="L3" s="4339"/>
      <c r="M3" s="4339"/>
      <c r="N3" s="4339"/>
      <c r="P3" s="4349" t="s">
        <v>876</v>
      </c>
      <c r="Q3" s="4395" t="s">
        <v>6530</v>
      </c>
      <c r="R3" s="1804"/>
      <c r="S3" s="1804"/>
    </row>
    <row r="4" spans="1:19" ht="3" customHeight="1">
      <c r="A4" s="686"/>
      <c r="B4" s="4340"/>
      <c r="C4" s="4340"/>
      <c r="D4" s="4340"/>
      <c r="E4" s="686"/>
      <c r="F4" s="686"/>
      <c r="G4" s="686"/>
      <c r="H4" s="686"/>
      <c r="J4" s="490"/>
      <c r="K4" s="686"/>
      <c r="L4" s="686"/>
      <c r="M4" s="686"/>
      <c r="N4" s="686"/>
      <c r="P4" s="4350"/>
      <c r="Q4" s="4396"/>
      <c r="R4" s="1804"/>
      <c r="S4" s="1804"/>
    </row>
    <row r="5" spans="1:19">
      <c r="E5" s="4348" t="str">
        <f>'Part I-Project Identification'!$A$6</f>
        <v>Sept 2023</v>
      </c>
      <c r="F5" s="4348"/>
      <c r="G5" s="4348"/>
      <c r="H5" s="4348"/>
      <c r="I5" s="4348"/>
      <c r="J5" s="490"/>
      <c r="K5" s="1805"/>
      <c r="L5" s="1806" t="s">
        <v>6529</v>
      </c>
      <c r="M5" s="1807" t="str">
        <f>'Part I-Project Identification'!$F$12</f>
        <v>4% Credit/TE Bond</v>
      </c>
      <c r="N5" s="1808"/>
      <c r="O5" s="1809"/>
      <c r="P5" s="4351"/>
      <c r="Q5" s="4397"/>
      <c r="R5" s="1604"/>
      <c r="S5" s="1604"/>
    </row>
    <row r="6" spans="1:19" ht="17.25" customHeight="1">
      <c r="A6" s="96" t="s">
        <v>6528</v>
      </c>
      <c r="I6" s="490"/>
      <c r="J6" s="490"/>
      <c r="K6" s="4346" t="s">
        <v>3281</v>
      </c>
      <c r="L6" s="4346"/>
      <c r="M6" s="4346"/>
      <c r="N6" s="4346"/>
      <c r="O6" s="4347"/>
      <c r="P6" s="4341"/>
      <c r="Q6" s="4342"/>
      <c r="R6" s="1604"/>
      <c r="S6" s="1604"/>
    </row>
    <row r="7" spans="1:19" ht="12.6" customHeight="1">
      <c r="A7" s="97" t="s">
        <v>3066</v>
      </c>
      <c r="H7" s="1001"/>
      <c r="I7" s="1803"/>
      <c r="J7" s="1803"/>
      <c r="K7" s="1001"/>
      <c r="L7" s="1001"/>
      <c r="M7" s="686"/>
      <c r="N7" s="686"/>
    </row>
    <row r="8" spans="1:19" ht="23.25" customHeight="1">
      <c r="A8" s="4343" t="s">
        <v>1329</v>
      </c>
      <c r="B8" s="4344"/>
      <c r="C8" s="4344"/>
      <c r="D8" s="4344"/>
      <c r="E8" s="4344"/>
      <c r="F8" s="4344"/>
      <c r="G8" s="4344"/>
      <c r="H8" s="4344"/>
      <c r="I8" s="4344"/>
      <c r="J8" s="4344"/>
      <c r="K8" s="4344"/>
      <c r="L8" s="4344"/>
      <c r="M8" s="4344"/>
      <c r="N8" s="4344"/>
      <c r="O8" s="4344"/>
      <c r="P8" s="4344"/>
      <c r="Q8" s="4345"/>
      <c r="R8" s="3064" t="s">
        <v>1882</v>
      </c>
      <c r="S8" s="3027"/>
    </row>
    <row r="9" spans="1:19" ht="23.25" customHeight="1">
      <c r="A9" s="4325" t="s">
        <v>218</v>
      </c>
      <c r="B9" s="4326"/>
      <c r="C9" s="4326"/>
      <c r="D9" s="4326"/>
      <c r="E9" s="4326"/>
      <c r="F9" s="4326"/>
      <c r="G9" s="4326"/>
      <c r="H9" s="4326"/>
      <c r="I9" s="4326"/>
      <c r="J9" s="4326"/>
      <c r="K9" s="4326"/>
      <c r="L9" s="4326"/>
      <c r="M9" s="4326"/>
      <c r="N9" s="4326"/>
      <c r="O9" s="4326"/>
      <c r="P9" s="4326"/>
      <c r="Q9" s="4327"/>
      <c r="R9" s="3064"/>
      <c r="S9" s="3027"/>
    </row>
    <row r="10" spans="1:19" ht="23.25" customHeight="1">
      <c r="A10" s="4325" t="s">
        <v>1325</v>
      </c>
      <c r="B10" s="4326"/>
      <c r="C10" s="4326"/>
      <c r="D10" s="4326"/>
      <c r="E10" s="4326"/>
      <c r="F10" s="4326"/>
      <c r="G10" s="4326"/>
      <c r="H10" s="4326"/>
      <c r="I10" s="4326"/>
      <c r="J10" s="4326"/>
      <c r="K10" s="4326"/>
      <c r="L10" s="4326"/>
      <c r="M10" s="4326"/>
      <c r="N10" s="4326"/>
      <c r="O10" s="4326"/>
      <c r="P10" s="4326"/>
      <c r="Q10" s="4327"/>
      <c r="R10" s="3064"/>
      <c r="S10" s="3027"/>
    </row>
    <row r="11" spans="1:19" ht="23.25" customHeight="1">
      <c r="A11" s="4325" t="s">
        <v>1326</v>
      </c>
      <c r="B11" s="4326"/>
      <c r="C11" s="4326"/>
      <c r="D11" s="4326"/>
      <c r="E11" s="4326"/>
      <c r="F11" s="4326"/>
      <c r="G11" s="4326"/>
      <c r="H11" s="4326"/>
      <c r="I11" s="4326"/>
      <c r="J11" s="4326"/>
      <c r="K11" s="4326"/>
      <c r="L11" s="4326"/>
      <c r="M11" s="4326"/>
      <c r="N11" s="4326"/>
      <c r="O11" s="4326"/>
      <c r="P11" s="4326"/>
      <c r="Q11" s="4327"/>
      <c r="R11" s="3064"/>
      <c r="S11" s="3027"/>
    </row>
    <row r="12" spans="1:19" ht="23.25" customHeight="1">
      <c r="A12" s="4325" t="s">
        <v>1327</v>
      </c>
      <c r="B12" s="4326"/>
      <c r="C12" s="4326"/>
      <c r="D12" s="4326"/>
      <c r="E12" s="4326"/>
      <c r="F12" s="4326"/>
      <c r="G12" s="4326"/>
      <c r="H12" s="4326"/>
      <c r="I12" s="4326"/>
      <c r="J12" s="4326"/>
      <c r="K12" s="4326"/>
      <c r="L12" s="4326"/>
      <c r="M12" s="4326"/>
      <c r="N12" s="4326"/>
      <c r="O12" s="4326"/>
      <c r="P12" s="4326"/>
      <c r="Q12" s="4327"/>
      <c r="R12" s="886"/>
      <c r="S12" s="886"/>
    </row>
    <row r="13" spans="1:19" ht="23.25" customHeight="1">
      <c r="A13" s="4325" t="s">
        <v>1328</v>
      </c>
      <c r="B13" s="4326"/>
      <c r="C13" s="4326"/>
      <c r="D13" s="4326"/>
      <c r="E13" s="4326"/>
      <c r="F13" s="4326"/>
      <c r="G13" s="4326"/>
      <c r="H13" s="4326"/>
      <c r="I13" s="4326"/>
      <c r="J13" s="4326"/>
      <c r="K13" s="4326"/>
      <c r="L13" s="4326"/>
      <c r="M13" s="4326"/>
      <c r="N13" s="4326"/>
      <c r="O13" s="4326"/>
      <c r="P13" s="4326"/>
      <c r="Q13" s="4327"/>
      <c r="R13" s="886"/>
      <c r="S13" s="886"/>
    </row>
    <row r="14" spans="1:19" ht="23.25" customHeight="1">
      <c r="A14" s="4325" t="s">
        <v>1330</v>
      </c>
      <c r="B14" s="4326"/>
      <c r="C14" s="4326"/>
      <c r="D14" s="4326"/>
      <c r="E14" s="4326"/>
      <c r="F14" s="4326"/>
      <c r="G14" s="4326"/>
      <c r="H14" s="4326"/>
      <c r="I14" s="4326"/>
      <c r="J14" s="4326"/>
      <c r="K14" s="4326"/>
      <c r="L14" s="4326"/>
      <c r="M14" s="4326"/>
      <c r="N14" s="4326"/>
      <c r="O14" s="4326"/>
      <c r="P14" s="4326"/>
      <c r="Q14" s="4327"/>
    </row>
    <row r="15" spans="1:19" ht="11.25" customHeight="1">
      <c r="A15" s="4325" t="s">
        <v>1871</v>
      </c>
      <c r="B15" s="4326"/>
      <c r="C15" s="4326"/>
      <c r="D15" s="4326"/>
      <c r="E15" s="4326"/>
      <c r="F15" s="4326"/>
      <c r="G15" s="4326"/>
      <c r="H15" s="4326"/>
      <c r="I15" s="4326"/>
      <c r="J15" s="4326"/>
      <c r="K15" s="4326"/>
      <c r="L15" s="4326"/>
      <c r="M15" s="4326"/>
      <c r="N15" s="4326"/>
      <c r="O15" s="4326"/>
      <c r="P15" s="4326"/>
      <c r="Q15" s="4327"/>
      <c r="R15" s="3064"/>
      <c r="S15" s="3027"/>
    </row>
    <row r="16" spans="1:19" ht="11.25" customHeight="1">
      <c r="A16" s="4325" t="s">
        <v>1872</v>
      </c>
      <c r="B16" s="4326"/>
      <c r="C16" s="4326"/>
      <c r="D16" s="4326"/>
      <c r="E16" s="4326"/>
      <c r="F16" s="4326"/>
      <c r="G16" s="4326"/>
      <c r="H16" s="4326"/>
      <c r="I16" s="4326"/>
      <c r="J16" s="4326"/>
      <c r="K16" s="4326"/>
      <c r="L16" s="4326"/>
      <c r="M16" s="4326"/>
      <c r="N16" s="4326"/>
      <c r="O16" s="4326"/>
      <c r="P16" s="4326"/>
      <c r="Q16" s="4327"/>
      <c r="R16" s="3064"/>
      <c r="S16" s="3027"/>
    </row>
    <row r="17" spans="1:31" ht="11.25" customHeight="1">
      <c r="A17" s="4325" t="s">
        <v>1873</v>
      </c>
      <c r="B17" s="4326"/>
      <c r="C17" s="4326"/>
      <c r="D17" s="4326"/>
      <c r="E17" s="4326"/>
      <c r="F17" s="4326"/>
      <c r="G17" s="4326"/>
      <c r="H17" s="4326"/>
      <c r="I17" s="4326"/>
      <c r="J17" s="4326"/>
      <c r="K17" s="4326"/>
      <c r="L17" s="4326"/>
      <c r="M17" s="4326"/>
      <c r="N17" s="4326"/>
      <c r="O17" s="4326"/>
      <c r="P17" s="4326"/>
      <c r="Q17" s="4327"/>
      <c r="R17" s="3064"/>
      <c r="S17" s="3027"/>
    </row>
    <row r="18" spans="1:31" ht="11.25" customHeight="1">
      <c r="A18" s="4325" t="s">
        <v>1874</v>
      </c>
      <c r="B18" s="4326"/>
      <c r="C18" s="4326"/>
      <c r="D18" s="4326"/>
      <c r="E18" s="4326"/>
      <c r="F18" s="4326"/>
      <c r="G18" s="4326"/>
      <c r="H18" s="4326"/>
      <c r="I18" s="4326"/>
      <c r="J18" s="4326"/>
      <c r="K18" s="4326"/>
      <c r="L18" s="4326"/>
      <c r="M18" s="4326"/>
      <c r="N18" s="4326"/>
      <c r="O18" s="4326"/>
      <c r="P18" s="4326"/>
      <c r="Q18" s="4327"/>
      <c r="R18" s="3064"/>
      <c r="S18" s="3027"/>
    </row>
    <row r="19" spans="1:31" ht="11.25" customHeight="1">
      <c r="A19" s="4325" t="s">
        <v>1875</v>
      </c>
      <c r="B19" s="4326"/>
      <c r="C19" s="4326"/>
      <c r="D19" s="4326"/>
      <c r="E19" s="4326"/>
      <c r="F19" s="4326"/>
      <c r="G19" s="4326"/>
      <c r="H19" s="4326"/>
      <c r="I19" s="4326"/>
      <c r="J19" s="4326"/>
      <c r="K19" s="4326"/>
      <c r="L19" s="4326"/>
      <c r="M19" s="4326"/>
      <c r="N19" s="4326"/>
      <c r="O19" s="4326"/>
      <c r="P19" s="4326"/>
      <c r="Q19" s="4327"/>
      <c r="R19" s="3064"/>
      <c r="S19" s="3027"/>
    </row>
    <row r="20" spans="1:31" ht="11.25" customHeight="1">
      <c r="A20" s="4325" t="s">
        <v>1876</v>
      </c>
      <c r="B20" s="4326"/>
      <c r="C20" s="4326"/>
      <c r="D20" s="4326"/>
      <c r="E20" s="4326"/>
      <c r="F20" s="4326"/>
      <c r="G20" s="4326"/>
      <c r="H20" s="4326"/>
      <c r="I20" s="4326"/>
      <c r="J20" s="4326"/>
      <c r="K20" s="4326"/>
      <c r="L20" s="4326"/>
      <c r="M20" s="4326"/>
      <c r="N20" s="4326"/>
      <c r="O20" s="4326"/>
      <c r="P20" s="4326"/>
      <c r="Q20" s="4327"/>
      <c r="R20" s="3064"/>
      <c r="S20" s="3027"/>
    </row>
    <row r="21" spans="1:31" ht="11.25" customHeight="1">
      <c r="A21" s="4325" t="s">
        <v>1877</v>
      </c>
      <c r="B21" s="4326"/>
      <c r="C21" s="4326"/>
      <c r="D21" s="4326"/>
      <c r="E21" s="4326"/>
      <c r="F21" s="4326"/>
      <c r="G21" s="4326"/>
      <c r="H21" s="4326"/>
      <c r="I21" s="4326"/>
      <c r="J21" s="4326"/>
      <c r="K21" s="4326"/>
      <c r="L21" s="4326"/>
      <c r="M21" s="4326"/>
      <c r="N21" s="4326"/>
      <c r="O21" s="4326"/>
      <c r="P21" s="4326"/>
      <c r="Q21" s="4327"/>
    </row>
    <row r="22" spans="1:31" ht="11.25" customHeight="1">
      <c r="A22" s="4325" t="s">
        <v>1878</v>
      </c>
      <c r="B22" s="4326"/>
      <c r="C22" s="4326"/>
      <c r="D22" s="4326"/>
      <c r="E22" s="4326"/>
      <c r="F22" s="4326"/>
      <c r="G22" s="4326"/>
      <c r="H22" s="4326"/>
      <c r="I22" s="4326"/>
      <c r="J22" s="4326"/>
      <c r="K22" s="4326"/>
      <c r="L22" s="4326"/>
      <c r="M22" s="4326"/>
      <c r="N22" s="4326"/>
      <c r="O22" s="4326"/>
      <c r="P22" s="4326"/>
      <c r="Q22" s="4327"/>
      <c r="R22" s="3064"/>
      <c r="S22" s="3027"/>
    </row>
    <row r="23" spans="1:31" ht="11.25" customHeight="1">
      <c r="A23" s="4325" t="s">
        <v>1879</v>
      </c>
      <c r="B23" s="4326"/>
      <c r="C23" s="4326"/>
      <c r="D23" s="4326"/>
      <c r="E23" s="4326"/>
      <c r="F23" s="4326"/>
      <c r="G23" s="4326"/>
      <c r="H23" s="4326"/>
      <c r="I23" s="4326"/>
      <c r="J23" s="4326"/>
      <c r="K23" s="4326"/>
      <c r="L23" s="4326"/>
      <c r="M23" s="4326"/>
      <c r="N23" s="4326"/>
      <c r="O23" s="4326"/>
      <c r="P23" s="4326"/>
      <c r="Q23" s="4327"/>
      <c r="R23" s="3064"/>
      <c r="S23" s="3027"/>
    </row>
    <row r="24" spans="1:31" ht="11.25" customHeight="1">
      <c r="A24" s="4325" t="s">
        <v>1880</v>
      </c>
      <c r="B24" s="4326"/>
      <c r="C24" s="4326"/>
      <c r="D24" s="4326"/>
      <c r="E24" s="4326"/>
      <c r="F24" s="4326"/>
      <c r="G24" s="4326"/>
      <c r="H24" s="4326"/>
      <c r="I24" s="4326"/>
      <c r="J24" s="4326"/>
      <c r="K24" s="4326"/>
      <c r="L24" s="4326"/>
      <c r="M24" s="4326"/>
      <c r="N24" s="4326"/>
      <c r="O24" s="4326"/>
      <c r="P24" s="4326"/>
      <c r="Q24" s="4327"/>
      <c r="R24" s="3064"/>
      <c r="S24" s="3027"/>
    </row>
    <row r="25" spans="1:31" ht="11.25" customHeight="1">
      <c r="A25" s="4328" t="s">
        <v>1881</v>
      </c>
      <c r="B25" s="4329"/>
      <c r="C25" s="4329"/>
      <c r="D25" s="4329"/>
      <c r="E25" s="4329"/>
      <c r="F25" s="4329"/>
      <c r="G25" s="4329"/>
      <c r="H25" s="4329"/>
      <c r="I25" s="4329"/>
      <c r="J25" s="4329"/>
      <c r="K25" s="4329"/>
      <c r="L25" s="4329"/>
      <c r="M25" s="4329"/>
      <c r="N25" s="4329"/>
      <c r="O25" s="4329"/>
      <c r="P25" s="4329"/>
      <c r="Q25" s="4330"/>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1730</v>
      </c>
      <c r="P27" s="4228"/>
      <c r="Q27" s="422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6"/>
      <c r="B30" s="4237"/>
      <c r="C30" s="4237"/>
      <c r="D30" s="4237"/>
      <c r="E30" s="4237"/>
      <c r="F30" s="4237"/>
      <c r="G30" s="4237"/>
      <c r="H30" s="4237"/>
      <c r="I30" s="4237"/>
      <c r="J30" s="4237"/>
      <c r="K30" s="4237"/>
      <c r="L30" s="4237"/>
      <c r="M30" s="4237"/>
      <c r="N30" s="4237"/>
      <c r="O30" s="4237"/>
      <c r="P30" s="4237"/>
      <c r="Q30" s="4238"/>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38"/>
      <c r="B32" s="4338"/>
      <c r="C32" s="4338"/>
      <c r="D32" s="4338"/>
      <c r="E32" s="4338"/>
      <c r="F32" s="4338"/>
      <c r="G32" s="4338"/>
      <c r="H32" s="4338"/>
      <c r="I32" s="4338"/>
      <c r="J32" s="4338"/>
      <c r="K32" s="4338"/>
      <c r="L32" s="4338"/>
      <c r="M32" s="4338"/>
      <c r="N32" s="4338"/>
      <c r="O32" s="4338"/>
      <c r="P32" s="4338"/>
      <c r="Q32" s="433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228"/>
      <c r="Q34" s="4229"/>
    </row>
    <row r="35" spans="1:31" ht="12.75" customHeight="1">
      <c r="A35" s="2"/>
      <c r="B35" s="108" t="s">
        <v>6640</v>
      </c>
      <c r="C35" s="4"/>
      <c r="D35" s="4"/>
      <c r="E35" s="887"/>
      <c r="F35" s="887"/>
      <c r="H35" s="887"/>
      <c r="J35" s="3057" t="s">
        <v>6464</v>
      </c>
      <c r="K35" s="3058"/>
      <c r="L35" s="3059"/>
      <c r="M35" s="147" t="s">
        <v>1647</v>
      </c>
      <c r="N35" s="4219"/>
      <c r="O35" s="4220"/>
      <c r="P35" s="4220"/>
      <c r="Q35" s="4221"/>
    </row>
    <row r="36" spans="1:31" ht="12.75" customHeight="1">
      <c r="A36" s="2"/>
      <c r="B36" s="108" t="s">
        <v>6639</v>
      </c>
      <c r="C36" s="4"/>
      <c r="D36" s="4"/>
      <c r="E36" s="887"/>
      <c r="F36" s="887"/>
      <c r="G36" s="1664"/>
      <c r="H36" s="887"/>
      <c r="J36" s="3057" t="s">
        <v>6465</v>
      </c>
      <c r="K36" s="3058"/>
      <c r="L36" s="3059"/>
      <c r="M36" s="147" t="s">
        <v>1647</v>
      </c>
      <c r="N36" s="4219"/>
      <c r="O36" s="4220"/>
      <c r="P36" s="4220"/>
      <c r="Q36" s="4221"/>
    </row>
    <row r="37" spans="1:31" ht="12.75" customHeight="1">
      <c r="B37" s="73" t="s">
        <v>3240</v>
      </c>
      <c r="D37" s="73"/>
      <c r="E37" s="73"/>
      <c r="F37" s="73"/>
      <c r="G37" s="73"/>
      <c r="H37" s="33"/>
      <c r="I37" s="891"/>
      <c r="J37" s="891"/>
      <c r="K37" s="1770" t="s">
        <v>1729</v>
      </c>
      <c r="L37" s="686"/>
      <c r="M37" s="686"/>
      <c r="N37" s="686"/>
      <c r="O37" s="686"/>
      <c r="P37" s="686"/>
      <c r="Q37" s="686"/>
    </row>
    <row r="38" spans="1:31" ht="10.5" customHeight="1">
      <c r="A38" s="4236"/>
      <c r="B38" s="4237"/>
      <c r="C38" s="4237"/>
      <c r="D38" s="4237"/>
      <c r="E38" s="4237"/>
      <c r="F38" s="4237"/>
      <c r="G38" s="4237"/>
      <c r="H38" s="4237"/>
      <c r="I38" s="4237"/>
      <c r="J38" s="4238"/>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1730</v>
      </c>
      <c r="P40" s="4228"/>
      <c r="Q40" s="4229"/>
    </row>
    <row r="41" spans="1:31" ht="1.5" customHeight="1"/>
    <row r="42" spans="1:31" ht="12" customHeight="1">
      <c r="A42" s="110" t="s">
        <v>1840</v>
      </c>
      <c r="B42" s="4222" t="s">
        <v>3783</v>
      </c>
      <c r="C42" s="4222"/>
      <c r="D42" s="4222"/>
      <c r="E42" s="4222"/>
      <c r="F42" s="4222"/>
      <c r="G42" s="4222"/>
      <c r="H42" s="4222"/>
      <c r="I42" s="4222"/>
      <c r="J42" s="4222"/>
      <c r="K42" s="115"/>
      <c r="L42" s="347" t="s">
        <v>2580</v>
      </c>
      <c r="M42" s="1203">
        <v>2</v>
      </c>
      <c r="N42" s="108" t="s">
        <v>4020</v>
      </c>
      <c r="P42" s="4374"/>
      <c r="Q42" s="4384"/>
    </row>
    <row r="43" spans="1:31" ht="12" customHeight="1">
      <c r="A43" s="110"/>
      <c r="B43" s="4222"/>
      <c r="C43" s="4222"/>
      <c r="D43" s="4222"/>
      <c r="E43" s="4222"/>
      <c r="F43" s="4222"/>
      <c r="G43" s="4222"/>
      <c r="H43" s="4222"/>
      <c r="I43" s="4222"/>
      <c r="J43" s="4222"/>
      <c r="K43" s="115"/>
      <c r="L43" s="347" t="s">
        <v>3787</v>
      </c>
      <c r="M43" s="1204">
        <v>4</v>
      </c>
      <c r="O43" s="111"/>
      <c r="P43" s="4375"/>
      <c r="Q43" s="4385"/>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1842</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2181</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45"/>
      <c r="M50" s="4246"/>
      <c r="N50" s="4246"/>
      <c r="O50" s="4246"/>
      <c r="P50" s="4246"/>
      <c r="Q50" s="4324"/>
    </row>
    <row r="51" spans="1:31" ht="12.75" customHeight="1">
      <c r="A51" s="112"/>
      <c r="B51" s="372" t="s">
        <v>1448</v>
      </c>
      <c r="C51" s="4222" t="s">
        <v>3793</v>
      </c>
      <c r="D51" s="4222"/>
      <c r="E51" s="4222"/>
      <c r="F51" s="4222"/>
      <c r="G51" s="4222"/>
      <c r="H51" s="4222"/>
      <c r="I51" s="4222"/>
      <c r="J51" s="4222"/>
      <c r="K51" s="4222"/>
      <c r="L51" s="4222"/>
      <c r="M51" s="413"/>
      <c r="N51" s="108" t="s">
        <v>4025</v>
      </c>
      <c r="O51" s="717"/>
      <c r="P51" s="373"/>
      <c r="Q51" s="418"/>
    </row>
    <row r="52" spans="1:31" ht="12.75" customHeight="1">
      <c r="A52" s="40"/>
      <c r="C52" s="4222"/>
      <c r="D52" s="4222"/>
      <c r="E52" s="4222"/>
      <c r="F52" s="4222"/>
      <c r="G52" s="4222"/>
      <c r="H52" s="4222"/>
      <c r="I52" s="4222"/>
      <c r="J52" s="4222"/>
      <c r="K52" s="4222"/>
      <c r="L52" s="4222"/>
      <c r="M52" s="413"/>
    </row>
    <row r="53" spans="1:31" ht="10.5" customHeight="1">
      <c r="B53" s="73" t="s">
        <v>3240</v>
      </c>
      <c r="D53" s="73"/>
      <c r="E53" s="73"/>
      <c r="F53" s="73"/>
      <c r="G53" s="73"/>
      <c r="H53" s="33"/>
      <c r="I53" s="891"/>
      <c r="J53" s="891"/>
      <c r="K53" s="105" t="s">
        <v>1729</v>
      </c>
      <c r="L53" s="686"/>
      <c r="M53" s="686"/>
      <c r="N53" s="686"/>
      <c r="O53" s="686"/>
      <c r="P53" s="686"/>
      <c r="Q53" s="686"/>
    </row>
    <row r="54" spans="1:31" ht="10.5" customHeight="1">
      <c r="A54" s="4236"/>
      <c r="B54" s="4237"/>
      <c r="C54" s="4237"/>
      <c r="D54" s="4237"/>
      <c r="E54" s="4237"/>
      <c r="F54" s="4237"/>
      <c r="G54" s="4237"/>
      <c r="H54" s="4237"/>
      <c r="I54" s="4237"/>
      <c r="J54" s="4238"/>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1730</v>
      </c>
      <c r="P56" s="4228"/>
      <c r="Q56" s="4229"/>
    </row>
    <row r="57" spans="1:31" ht="3" customHeight="1"/>
    <row r="58" spans="1:31" ht="12.75" customHeight="1">
      <c r="A58" s="40" t="s">
        <v>1840</v>
      </c>
      <c r="B58" s="32" t="s">
        <v>2263</v>
      </c>
      <c r="D58" s="103"/>
      <c r="E58" s="103"/>
      <c r="F58" s="103"/>
      <c r="G58" s="103"/>
      <c r="H58" s="103"/>
      <c r="I58" s="35"/>
      <c r="J58" s="35"/>
      <c r="K58" s="35"/>
      <c r="L58" s="48" t="s">
        <v>1840</v>
      </c>
      <c r="M58" s="4249"/>
      <c r="N58" s="4250"/>
      <c r="O58" s="4250"/>
      <c r="P58" s="4337"/>
      <c r="Q58" s="419"/>
    </row>
    <row r="59" spans="1:31" ht="12.75" customHeight="1">
      <c r="A59" s="40" t="s">
        <v>1842</v>
      </c>
      <c r="B59" s="29" t="s">
        <v>3945</v>
      </c>
      <c r="D59" s="103"/>
      <c r="E59" s="103"/>
      <c r="F59" s="103"/>
      <c r="L59" s="48" t="s">
        <v>1842</v>
      </c>
      <c r="M59" s="4372"/>
      <c r="N59" s="4373"/>
      <c r="O59" s="4373"/>
      <c r="P59" s="3226"/>
      <c r="Q59" s="420"/>
    </row>
    <row r="60" spans="1:31" ht="12.75" customHeight="1">
      <c r="A60" s="40" t="s">
        <v>698</v>
      </c>
      <c r="B60" s="29" t="s">
        <v>2557</v>
      </c>
      <c r="D60" s="103"/>
      <c r="E60" s="103"/>
      <c r="F60" s="103"/>
      <c r="L60" s="48" t="s">
        <v>698</v>
      </c>
      <c r="M60" s="4368"/>
      <c r="N60" s="4369"/>
      <c r="O60" s="4369"/>
      <c r="P60" s="4370"/>
      <c r="Q60" s="420"/>
    </row>
    <row r="61" spans="1:31" ht="12.75" customHeight="1">
      <c r="A61" s="40" t="s">
        <v>1961</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64"/>
      <c r="F64" s="4264"/>
      <c r="G64" s="4264"/>
      <c r="H64" s="48" t="s">
        <v>2181</v>
      </c>
      <c r="I64" s="384"/>
      <c r="J64" s="4264"/>
      <c r="K64" s="4264"/>
      <c r="L64" s="4264"/>
      <c r="M64" s="48" t="s">
        <v>93</v>
      </c>
      <c r="N64" s="384"/>
      <c r="O64" s="4264"/>
      <c r="P64" s="4264"/>
      <c r="Q64" s="4264"/>
    </row>
    <row r="65" spans="1:31" ht="12.75" customHeight="1">
      <c r="C65" s="49" t="s">
        <v>1615</v>
      </c>
      <c r="D65" s="1772"/>
      <c r="E65" s="4265"/>
      <c r="F65" s="4265"/>
      <c r="G65" s="4265"/>
      <c r="H65" s="48" t="s">
        <v>1448</v>
      </c>
      <c r="I65" s="1772"/>
      <c r="J65" s="4265"/>
      <c r="K65" s="4265"/>
      <c r="L65" s="4265"/>
      <c r="M65" s="48" t="s">
        <v>481</v>
      </c>
      <c r="N65" s="1772"/>
      <c r="O65" s="4265"/>
      <c r="P65" s="4265"/>
      <c r="Q65" s="4265"/>
    </row>
    <row r="66" spans="1:31" ht="12.75" customHeight="1">
      <c r="C66" s="49" t="s">
        <v>1616</v>
      </c>
      <c r="D66" s="385"/>
      <c r="E66" s="4266"/>
      <c r="F66" s="4266"/>
      <c r="G66" s="4266"/>
      <c r="H66" s="48" t="s">
        <v>1449</v>
      </c>
      <c r="I66" s="385"/>
      <c r="J66" s="4266"/>
      <c r="K66" s="4266"/>
      <c r="L66" s="4266"/>
      <c r="M66" s="48" t="s">
        <v>482</v>
      </c>
      <c r="N66" s="385"/>
      <c r="O66" s="4266"/>
      <c r="P66" s="4266"/>
      <c r="Q66" s="426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1807</v>
      </c>
      <c r="B68" s="29" t="s">
        <v>6105</v>
      </c>
      <c r="D68" s="103"/>
      <c r="E68" s="103"/>
      <c r="F68" s="103"/>
      <c r="G68" s="103"/>
      <c r="H68" s="103"/>
      <c r="I68" s="35"/>
      <c r="J68" s="35"/>
      <c r="K68" s="103"/>
      <c r="L68" s="889"/>
      <c r="M68" s="889"/>
      <c r="O68" s="48" t="s">
        <v>1807</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6"/>
      <c r="B71" s="4237"/>
      <c r="C71" s="4237"/>
      <c r="D71" s="4237"/>
      <c r="E71" s="4237"/>
      <c r="F71" s="4237"/>
      <c r="G71" s="4237"/>
      <c r="H71" s="4237"/>
      <c r="I71" s="4237"/>
      <c r="J71" s="4237"/>
      <c r="K71" s="4237"/>
      <c r="L71" s="4237"/>
      <c r="M71" s="4237"/>
      <c r="N71" s="4237"/>
      <c r="O71" s="4237"/>
      <c r="P71" s="4237"/>
      <c r="Q71" s="4238"/>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33"/>
      <c r="B73" s="4234"/>
      <c r="C73" s="4234"/>
      <c r="D73" s="4234"/>
      <c r="E73" s="4234"/>
      <c r="F73" s="4234"/>
      <c r="G73" s="4234"/>
      <c r="H73" s="4234"/>
      <c r="I73" s="4234"/>
      <c r="J73" s="4234"/>
      <c r="K73" s="4234"/>
      <c r="L73" s="4234"/>
      <c r="M73" s="4234"/>
      <c r="N73" s="4234"/>
      <c r="O73" s="4234"/>
      <c r="P73" s="4234"/>
      <c r="Q73" s="4235"/>
    </row>
    <row r="74" spans="1:31" ht="14.1" customHeight="1">
      <c r="A74" s="2" t="s">
        <v>496</v>
      </c>
      <c r="B74" s="2" t="s">
        <v>2422</v>
      </c>
      <c r="C74" s="2"/>
      <c r="D74" s="887"/>
      <c r="E74" s="887"/>
      <c r="F74" s="887"/>
      <c r="G74" s="887"/>
      <c r="H74" s="887"/>
      <c r="I74" s="887"/>
      <c r="J74" s="887"/>
      <c r="K74" s="887"/>
      <c r="L74" s="887"/>
      <c r="M74" s="887"/>
      <c r="O74" s="101" t="s">
        <v>1730</v>
      </c>
      <c r="P74" s="4228"/>
      <c r="Q74" s="4229"/>
    </row>
    <row r="75" spans="1:31" ht="3" customHeight="1"/>
    <row r="76" spans="1:31" ht="12.75" customHeight="1">
      <c r="A76" s="40" t="s">
        <v>1840</v>
      </c>
      <c r="B76" s="29" t="s">
        <v>4026</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45"/>
      <c r="N77" s="4246"/>
      <c r="O77" s="4246"/>
      <c r="P77" s="424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2181</v>
      </c>
      <c r="C80" s="33" t="s">
        <v>3797</v>
      </c>
      <c r="D80" s="800"/>
      <c r="E80" s="800"/>
      <c r="F80" s="800"/>
      <c r="G80" s="800"/>
      <c r="H80" s="800"/>
      <c r="I80" s="800"/>
      <c r="J80" s="800"/>
      <c r="K80" s="800"/>
      <c r="L80" s="800"/>
      <c r="M80" s="800"/>
      <c r="O80" s="128" t="s">
        <v>2181</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2" t="s">
        <v>3948</v>
      </c>
      <c r="D84" s="4222"/>
      <c r="E84" s="4222"/>
      <c r="F84" s="4222"/>
      <c r="G84" s="4222"/>
      <c r="H84" s="4222"/>
      <c r="I84" s="4222"/>
      <c r="J84" s="4222"/>
      <c r="K84" s="4222"/>
      <c r="L84" s="4222"/>
      <c r="M84" s="4222"/>
      <c r="N84" s="4222"/>
      <c r="O84" s="128" t="s">
        <v>481</v>
      </c>
      <c r="P84" s="896"/>
      <c r="Q84" s="895"/>
    </row>
    <row r="85" spans="1:31" ht="12.75" customHeight="1">
      <c r="A85" s="40" t="s">
        <v>1842</v>
      </c>
      <c r="B85" s="29" t="s">
        <v>3947</v>
      </c>
      <c r="C85" s="29"/>
      <c r="E85" s="29"/>
      <c r="F85" s="29"/>
      <c r="G85" s="29"/>
      <c r="H85" s="29"/>
      <c r="I85" s="29"/>
      <c r="J85" s="29"/>
      <c r="K85" s="29"/>
      <c r="L85" s="29"/>
      <c r="M85" s="29"/>
      <c r="O85" s="48" t="s">
        <v>1842</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6"/>
      <c r="B89" s="4237"/>
      <c r="C89" s="4237"/>
      <c r="D89" s="4237"/>
      <c r="E89" s="4237"/>
      <c r="F89" s="4237"/>
      <c r="G89" s="4237"/>
      <c r="H89" s="4237"/>
      <c r="I89" s="4237"/>
      <c r="J89" s="4237"/>
      <c r="K89" s="4237"/>
      <c r="L89" s="4237"/>
      <c r="M89" s="4237"/>
      <c r="N89" s="4237"/>
      <c r="O89" s="4237"/>
      <c r="P89" s="4237"/>
      <c r="Q89" s="4238"/>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33"/>
      <c r="B91" s="4234"/>
      <c r="C91" s="4234"/>
      <c r="D91" s="4234"/>
      <c r="E91" s="4234"/>
      <c r="F91" s="4234"/>
      <c r="G91" s="4234"/>
      <c r="H91" s="4234"/>
      <c r="I91" s="4234"/>
      <c r="J91" s="4234"/>
      <c r="K91" s="4234"/>
      <c r="L91" s="4234"/>
      <c r="M91" s="4234"/>
      <c r="N91" s="4234"/>
      <c r="O91" s="4234"/>
      <c r="P91" s="4234"/>
      <c r="Q91" s="4235"/>
    </row>
    <row r="92" spans="1:31" ht="14.1" customHeight="1">
      <c r="A92" s="2" t="s">
        <v>720</v>
      </c>
      <c r="B92" s="2" t="s">
        <v>2423</v>
      </c>
      <c r="C92" s="33"/>
      <c r="D92" s="887"/>
      <c r="E92" s="887"/>
      <c r="F92" s="887"/>
      <c r="G92" s="887"/>
      <c r="H92" s="887"/>
      <c r="I92" s="887"/>
      <c r="J92" s="887"/>
      <c r="K92" s="887"/>
      <c r="L92" s="887"/>
      <c r="M92" s="887"/>
      <c r="N92" s="858" t="s">
        <v>6531</v>
      </c>
      <c r="O92" s="101" t="s">
        <v>1730</v>
      </c>
      <c r="P92" s="4228"/>
      <c r="Q92" s="4229"/>
      <c r="R92" s="860" t="s">
        <v>6518</v>
      </c>
    </row>
    <row r="93" spans="1:31" ht="6.6" customHeight="1"/>
    <row r="94" spans="1:31">
      <c r="A94" s="40" t="s">
        <v>1840</v>
      </c>
      <c r="B94" s="29" t="s">
        <v>6185</v>
      </c>
      <c r="D94" s="103"/>
      <c r="E94" s="103"/>
      <c r="F94" s="103"/>
      <c r="G94" s="103"/>
      <c r="H94" s="103"/>
      <c r="I94" s="35"/>
      <c r="J94" s="35"/>
      <c r="K94" s="48" t="s">
        <v>1840</v>
      </c>
      <c r="L94" s="4267"/>
      <c r="M94" s="4267"/>
      <c r="N94" s="4267"/>
      <c r="O94" s="4267"/>
      <c r="P94" s="426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1842</v>
      </c>
      <c r="B97" s="29" t="s">
        <v>6630</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86"/>
      <c r="M99" s="4386"/>
      <c r="N99" s="4386"/>
      <c r="O99" s="4386"/>
      <c r="P99" s="4387"/>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6618</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2181</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71"/>
      <c r="D116" s="4371"/>
      <c r="E116" s="4371"/>
      <c r="F116" s="4371"/>
      <c r="G116" s="4371"/>
      <c r="H116" s="4371"/>
      <c r="I116" s="4371"/>
      <c r="J116" s="4371"/>
      <c r="K116" s="4371"/>
      <c r="L116" s="4371"/>
      <c r="M116" s="4371"/>
      <c r="N116" s="4371"/>
      <c r="O116" s="4371"/>
      <c r="P116" s="4371"/>
      <c r="Q116" s="4371"/>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3845</v>
      </c>
      <c r="E121" s="29"/>
      <c r="F121" s="29"/>
      <c r="G121" s="29"/>
      <c r="H121" s="29"/>
      <c r="I121" s="35"/>
      <c r="J121" s="35"/>
      <c r="K121" s="29"/>
      <c r="L121" s="29"/>
      <c r="M121" s="29"/>
      <c r="O121" s="48" t="s">
        <v>2181</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222" t="s">
        <v>141</v>
      </c>
      <c r="C123" s="4222"/>
      <c r="D123" s="4222"/>
      <c r="E123" s="4222"/>
      <c r="F123" s="4222"/>
      <c r="G123" s="4222"/>
      <c r="H123" s="4222"/>
      <c r="I123" s="4222"/>
      <c r="J123" s="4222"/>
      <c r="K123" s="4222"/>
      <c r="L123" s="4222"/>
      <c r="M123" s="128" t="s">
        <v>1807</v>
      </c>
      <c r="N123" s="4402" t="s">
        <v>1646</v>
      </c>
      <c r="O123" s="4403"/>
      <c r="P123" s="4404" t="s">
        <v>1646</v>
      </c>
      <c r="Q123" s="440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6"/>
      <c r="B125" s="4237"/>
      <c r="C125" s="4237"/>
      <c r="D125" s="4237"/>
      <c r="E125" s="4237"/>
      <c r="F125" s="4237"/>
      <c r="G125" s="4237"/>
      <c r="H125" s="4237"/>
      <c r="I125" s="4237"/>
      <c r="J125" s="4237"/>
      <c r="K125" s="4237"/>
      <c r="L125" s="4237"/>
      <c r="M125" s="4237"/>
      <c r="N125" s="4237"/>
      <c r="O125" s="4237"/>
      <c r="P125" s="4237"/>
      <c r="Q125" s="423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33"/>
      <c r="B128" s="4234"/>
      <c r="C128" s="4234"/>
      <c r="D128" s="4234"/>
      <c r="E128" s="4234"/>
      <c r="F128" s="4234"/>
      <c r="G128" s="4234"/>
      <c r="H128" s="4234"/>
      <c r="I128" s="4234"/>
      <c r="J128" s="4234"/>
      <c r="K128" s="4234"/>
      <c r="L128" s="4234"/>
      <c r="M128" s="4234"/>
      <c r="N128" s="4234"/>
      <c r="O128" s="4234"/>
      <c r="P128" s="4234"/>
      <c r="Q128" s="423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1730</v>
      </c>
      <c r="P130" s="4228"/>
      <c r="Q130" s="4229"/>
      <c r="R130" s="860" t="s">
        <v>6518</v>
      </c>
    </row>
    <row r="131" spans="1:31" ht="12" customHeight="1">
      <c r="A131" s="40" t="s">
        <v>1840</v>
      </c>
      <c r="B131" s="113" t="s">
        <v>1614</v>
      </c>
      <c r="C131" s="29" t="s">
        <v>6533</v>
      </c>
      <c r="D131" s="29"/>
      <c r="E131" s="29"/>
      <c r="F131" s="29"/>
      <c r="G131" s="29"/>
      <c r="K131" s="29" t="s">
        <v>2460</v>
      </c>
      <c r="M131" s="4331"/>
      <c r="N131" s="4332"/>
      <c r="O131" s="49" t="s">
        <v>1614</v>
      </c>
      <c r="P131" s="74"/>
      <c r="Q131" s="417"/>
    </row>
    <row r="132" spans="1:31" ht="12" customHeight="1">
      <c r="A132" s="40"/>
      <c r="B132" s="113" t="s">
        <v>1615</v>
      </c>
      <c r="C132" s="29" t="s">
        <v>4054</v>
      </c>
      <c r="D132" s="29"/>
      <c r="E132" s="29"/>
      <c r="F132" s="29"/>
      <c r="G132" s="29"/>
      <c r="K132" s="29" t="s">
        <v>2460</v>
      </c>
      <c r="M132" s="4331"/>
      <c r="N132" s="4332"/>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333" t="s">
        <v>6840</v>
      </c>
      <c r="N133" s="4334"/>
      <c r="P133" s="4335" t="s">
        <v>1646</v>
      </c>
      <c r="Q133" s="4336"/>
    </row>
    <row r="134" spans="1:31" ht="12" customHeight="1">
      <c r="A134" s="40" t="s">
        <v>698</v>
      </c>
      <c r="B134" s="108" t="s">
        <v>636</v>
      </c>
      <c r="D134" s="108"/>
      <c r="E134" s="108"/>
      <c r="F134" s="108"/>
      <c r="G134" s="108"/>
      <c r="H134" s="108"/>
      <c r="J134" s="48" t="s">
        <v>698</v>
      </c>
      <c r="K134" s="4245"/>
      <c r="L134" s="4246"/>
      <c r="M134" s="4246"/>
      <c r="N134" s="4246"/>
      <c r="O134" s="4246"/>
      <c r="P134" s="4324"/>
      <c r="Q134" s="417"/>
    </row>
    <row r="135" spans="1:31" ht="21.75" customHeight="1">
      <c r="A135" s="110" t="s">
        <v>1961</v>
      </c>
      <c r="B135" s="4222" t="s">
        <v>6191</v>
      </c>
      <c r="C135" s="4222"/>
      <c r="D135" s="4222"/>
      <c r="E135" s="4222"/>
      <c r="F135" s="4222"/>
      <c r="G135" s="4222"/>
      <c r="H135" s="4222"/>
      <c r="I135" s="4222"/>
      <c r="J135" s="4222"/>
      <c r="K135" s="4222"/>
      <c r="L135" s="4222"/>
      <c r="M135" s="4222"/>
      <c r="N135" s="4222"/>
      <c r="O135" s="128" t="s">
        <v>1961</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6"/>
      <c r="B137" s="4237"/>
      <c r="C137" s="4237"/>
      <c r="D137" s="4237"/>
      <c r="E137" s="4237"/>
      <c r="F137" s="4237"/>
      <c r="G137" s="4237"/>
      <c r="H137" s="4237"/>
      <c r="I137" s="4237"/>
      <c r="J137" s="4237"/>
      <c r="K137" s="4237"/>
      <c r="L137" s="4237"/>
      <c r="M137" s="4237"/>
      <c r="N137" s="4237"/>
      <c r="O137" s="4237"/>
      <c r="P137" s="4237"/>
      <c r="Q137" s="4238"/>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33"/>
      <c r="B139" s="4234"/>
      <c r="C139" s="4234"/>
      <c r="D139" s="4234"/>
      <c r="E139" s="4234"/>
      <c r="F139" s="4234"/>
      <c r="G139" s="4234"/>
      <c r="H139" s="4234"/>
      <c r="I139" s="4234"/>
      <c r="J139" s="4234"/>
      <c r="K139" s="4234"/>
      <c r="L139" s="4234"/>
      <c r="M139" s="4234"/>
      <c r="N139" s="4234"/>
      <c r="O139" s="4234"/>
      <c r="P139" s="4234"/>
      <c r="Q139" s="423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228"/>
      <c r="Q141" s="4229"/>
    </row>
    <row r="142" spans="1:31" ht="21.75" customHeight="1">
      <c r="A142" s="110" t="s">
        <v>1840</v>
      </c>
      <c r="B142" s="4222" t="s">
        <v>3233</v>
      </c>
      <c r="C142" s="4222"/>
      <c r="D142" s="4222"/>
      <c r="E142" s="4222"/>
      <c r="F142" s="4222"/>
      <c r="G142" s="4222"/>
      <c r="H142" s="4222"/>
      <c r="I142" s="4222"/>
      <c r="J142" s="4222"/>
      <c r="K142" s="4222"/>
      <c r="L142" s="4222"/>
      <c r="M142" s="4222"/>
      <c r="N142" s="4222"/>
      <c r="O142" s="128" t="s">
        <v>1840</v>
      </c>
      <c r="P142" s="894"/>
      <c r="Q142" s="893"/>
    </row>
    <row r="143" spans="1:31" ht="22.35" customHeight="1">
      <c r="A143" s="110" t="s">
        <v>1842</v>
      </c>
      <c r="B143" s="4222" t="s">
        <v>3798</v>
      </c>
      <c r="C143" s="4222"/>
      <c r="D143" s="4222"/>
      <c r="E143" s="4222"/>
      <c r="F143" s="4222"/>
      <c r="G143" s="4222"/>
      <c r="H143" s="4222"/>
      <c r="I143" s="4222"/>
      <c r="J143" s="4222"/>
      <c r="K143" s="4222"/>
      <c r="L143" s="4222"/>
      <c r="M143" s="4222"/>
      <c r="N143" s="4222"/>
      <c r="O143" s="128" t="s">
        <v>1842</v>
      </c>
      <c r="P143" s="431"/>
      <c r="Q143" s="422"/>
    </row>
    <row r="144" spans="1:31" ht="22.35" customHeight="1">
      <c r="A144" s="110" t="s">
        <v>698</v>
      </c>
      <c r="B144" s="4222" t="s">
        <v>3234</v>
      </c>
      <c r="C144" s="4222"/>
      <c r="D144" s="4222"/>
      <c r="E144" s="4222"/>
      <c r="F144" s="4222"/>
      <c r="G144" s="4222"/>
      <c r="H144" s="4222"/>
      <c r="I144" s="4222"/>
      <c r="J144" s="4222"/>
      <c r="K144" s="4222"/>
      <c r="L144" s="4222"/>
      <c r="M144" s="4222"/>
      <c r="N144" s="4222"/>
      <c r="O144" s="128" t="s">
        <v>698</v>
      </c>
      <c r="P144" s="431"/>
      <c r="Q144" s="422"/>
    </row>
    <row r="145" spans="1:44" ht="21.75" customHeight="1">
      <c r="A145" s="110" t="s">
        <v>1961</v>
      </c>
      <c r="B145" s="4222" t="s">
        <v>3831</v>
      </c>
      <c r="C145" s="4222"/>
      <c r="D145" s="4222"/>
      <c r="E145" s="4222"/>
      <c r="F145" s="4222"/>
      <c r="G145" s="4222"/>
      <c r="H145" s="4222"/>
      <c r="I145" s="4222"/>
      <c r="J145" s="4222"/>
      <c r="K145" s="4222"/>
      <c r="L145" s="4222"/>
      <c r="M145" s="4222"/>
      <c r="N145" s="4222"/>
      <c r="O145" s="128" t="s">
        <v>1961</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6"/>
      <c r="B147" s="4237"/>
      <c r="C147" s="4237"/>
      <c r="D147" s="4237"/>
      <c r="E147" s="4237"/>
      <c r="F147" s="4237"/>
      <c r="G147" s="4237"/>
      <c r="H147" s="4237"/>
      <c r="I147" s="4237"/>
      <c r="J147" s="4237"/>
      <c r="K147" s="4237"/>
      <c r="L147" s="4237"/>
      <c r="M147" s="4237"/>
      <c r="N147" s="4237"/>
      <c r="O147" s="4237"/>
      <c r="P147" s="4237"/>
      <c r="Q147" s="4238"/>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33"/>
      <c r="B149" s="4234"/>
      <c r="C149" s="4234"/>
      <c r="D149" s="4234"/>
      <c r="E149" s="4234"/>
      <c r="F149" s="4234"/>
      <c r="G149" s="4234"/>
      <c r="H149" s="4234"/>
      <c r="I149" s="4234"/>
      <c r="J149" s="4234"/>
      <c r="K149" s="4234"/>
      <c r="L149" s="4234"/>
      <c r="M149" s="4234"/>
      <c r="N149" s="4234"/>
      <c r="O149" s="4234"/>
      <c r="P149" s="4234"/>
      <c r="Q149" s="423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2" t="s">
        <v>2426</v>
      </c>
      <c r="C151" s="3612"/>
      <c r="D151" s="3612"/>
      <c r="E151" s="236"/>
      <c r="N151" s="858" t="s">
        <v>6531</v>
      </c>
      <c r="O151" s="101" t="s">
        <v>1730</v>
      </c>
      <c r="P151" s="4228"/>
      <c r="Q151" s="4229"/>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6110</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22" t="s">
        <v>3235</v>
      </c>
      <c r="D158" s="4222"/>
      <c r="E158" s="4222"/>
      <c r="F158" s="4222"/>
      <c r="G158" s="4222"/>
      <c r="H158" s="4222"/>
      <c r="I158" s="4222"/>
      <c r="J158" s="4222"/>
      <c r="K158" s="4222"/>
      <c r="L158" s="4222"/>
      <c r="M158" s="4222"/>
      <c r="N158" s="4222"/>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222" t="s">
        <v>2419</v>
      </c>
      <c r="D160" s="4222"/>
      <c r="E160" s="4222"/>
      <c r="F160" s="4222"/>
      <c r="G160" s="4222"/>
      <c r="H160" s="4222"/>
      <c r="I160" s="4222"/>
      <c r="J160" s="4222"/>
      <c r="K160" s="4222"/>
      <c r="L160" s="4222"/>
      <c r="M160" s="4222"/>
      <c r="N160" s="4222"/>
      <c r="O160" s="128" t="s">
        <v>1448</v>
      </c>
      <c r="P160" s="431"/>
      <c r="Q160" s="422"/>
    </row>
    <row r="161" spans="1:44" s="102" customFormat="1" ht="21.75" customHeight="1">
      <c r="A161" s="110"/>
      <c r="B161" s="372" t="s">
        <v>1449</v>
      </c>
      <c r="C161" s="4222" t="s">
        <v>3305</v>
      </c>
      <c r="D161" s="4222"/>
      <c r="E161" s="4222"/>
      <c r="F161" s="4222"/>
      <c r="G161" s="4222"/>
      <c r="H161" s="4222"/>
      <c r="I161" s="4222"/>
      <c r="J161" s="4222"/>
      <c r="K161" s="4222"/>
      <c r="L161" s="4222"/>
      <c r="M161" s="4222"/>
      <c r="N161" s="4222"/>
      <c r="O161" s="128" t="s">
        <v>1449</v>
      </c>
      <c r="P161" s="431"/>
      <c r="Q161" s="422"/>
    </row>
    <row r="162" spans="1:44" ht="21.75" customHeight="1">
      <c r="A162" s="110" t="s">
        <v>1961</v>
      </c>
      <c r="B162" s="4222" t="s">
        <v>2420</v>
      </c>
      <c r="C162" s="4222"/>
      <c r="D162" s="4222"/>
      <c r="E162" s="4222"/>
      <c r="F162" s="4222"/>
      <c r="G162" s="4222"/>
      <c r="H162" s="4222"/>
      <c r="I162" s="4222"/>
      <c r="J162" s="4222"/>
      <c r="K162" s="4222"/>
      <c r="L162" s="4222"/>
      <c r="M162" s="4222"/>
      <c r="N162" s="4222"/>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6"/>
      <c r="B165" s="4237"/>
      <c r="C165" s="4237"/>
      <c r="D165" s="4237"/>
      <c r="E165" s="4237"/>
      <c r="F165" s="4237"/>
      <c r="G165" s="4237"/>
      <c r="H165" s="4237"/>
      <c r="I165" s="4237"/>
      <c r="J165" s="4237"/>
      <c r="K165" s="4237"/>
      <c r="L165" s="4237"/>
      <c r="M165" s="4237"/>
      <c r="N165" s="4237"/>
      <c r="O165" s="4237"/>
      <c r="P165" s="4237"/>
      <c r="Q165" s="4238"/>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33"/>
      <c r="B167" s="4234"/>
      <c r="C167" s="4234"/>
      <c r="D167" s="4234"/>
      <c r="E167" s="4234"/>
      <c r="F167" s="4234"/>
      <c r="G167" s="4234"/>
      <c r="H167" s="4234"/>
      <c r="I167" s="4234"/>
      <c r="J167" s="4234"/>
      <c r="K167" s="4234"/>
      <c r="L167" s="4234"/>
      <c r="M167" s="4234"/>
      <c r="N167" s="4234"/>
      <c r="O167" s="4234"/>
      <c r="P167" s="4234"/>
      <c r="Q167" s="423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1730</v>
      </c>
      <c r="P169" s="4228"/>
      <c r="Q169" s="4229"/>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9" t="s">
        <v>1709</v>
      </c>
      <c r="K171" s="4250"/>
      <c r="L171" s="4250"/>
      <c r="M171" s="4250"/>
      <c r="N171" s="4251"/>
      <c r="O171" s="49" t="s">
        <v>1614</v>
      </c>
      <c r="P171" s="175"/>
      <c r="Q171" s="419"/>
    </row>
    <row r="172" spans="1:44" ht="12.75" customHeight="1">
      <c r="A172" s="107"/>
      <c r="B172" s="109" t="s">
        <v>3240</v>
      </c>
      <c r="C172" s="82"/>
      <c r="D172" s="82"/>
      <c r="E172" s="82"/>
      <c r="F172" s="82"/>
      <c r="H172" s="49" t="s">
        <v>1615</v>
      </c>
      <c r="I172" s="29" t="s">
        <v>1491</v>
      </c>
      <c r="J172" s="4276" t="s">
        <v>1709</v>
      </c>
      <c r="K172" s="4277"/>
      <c r="L172" s="4277"/>
      <c r="M172" s="4277"/>
      <c r="N172" s="4278"/>
      <c r="O172" s="49" t="s">
        <v>1615</v>
      </c>
      <c r="P172" s="176"/>
      <c r="Q172" s="421"/>
    </row>
    <row r="173" spans="1:44" ht="12.75" customHeight="1">
      <c r="A173" s="4236"/>
      <c r="B173" s="4237"/>
      <c r="C173" s="4237"/>
      <c r="D173" s="4237"/>
      <c r="E173" s="4237"/>
      <c r="F173" s="4237"/>
      <c r="G173" s="4237"/>
      <c r="H173" s="4237"/>
      <c r="I173" s="4237"/>
      <c r="J173" s="4237"/>
      <c r="K173" s="4237"/>
      <c r="L173" s="4237"/>
      <c r="M173" s="4237"/>
      <c r="N173" s="4237"/>
      <c r="O173" s="4237"/>
      <c r="P173" s="4237"/>
      <c r="Q173" s="4238"/>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33"/>
      <c r="B175" s="4234"/>
      <c r="C175" s="4234"/>
      <c r="D175" s="4234"/>
      <c r="E175" s="4234"/>
      <c r="F175" s="4234"/>
      <c r="G175" s="4234"/>
      <c r="H175" s="4234"/>
      <c r="I175" s="4234"/>
      <c r="J175" s="4234"/>
      <c r="K175" s="4234"/>
      <c r="L175" s="4234"/>
      <c r="M175" s="4234"/>
      <c r="N175" s="4234"/>
      <c r="O175" s="4234"/>
      <c r="P175" s="4234"/>
      <c r="Q175" s="423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1730</v>
      </c>
      <c r="P177" s="4228"/>
      <c r="Q177" s="4229"/>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222" t="s">
        <v>1712</v>
      </c>
      <c r="C179" s="4222"/>
      <c r="D179" s="4222"/>
      <c r="E179" s="4222"/>
      <c r="F179" s="4222"/>
      <c r="G179" s="4222"/>
      <c r="H179" s="49" t="s">
        <v>1614</v>
      </c>
      <c r="I179" s="29" t="s">
        <v>592</v>
      </c>
      <c r="J179" s="4249" t="s">
        <v>1709</v>
      </c>
      <c r="K179" s="4250"/>
      <c r="L179" s="4250"/>
      <c r="M179" s="4250"/>
      <c r="N179" s="4251"/>
      <c r="O179" s="128" t="s">
        <v>1391</v>
      </c>
      <c r="P179" s="1287"/>
      <c r="Q179" s="1288"/>
    </row>
    <row r="180" spans="1:44" ht="12.75" customHeight="1">
      <c r="A180" s="118"/>
      <c r="B180" s="4222"/>
      <c r="C180" s="4222"/>
      <c r="D180" s="4222"/>
      <c r="E180" s="4222"/>
      <c r="F180" s="4222"/>
      <c r="G180" s="4222"/>
      <c r="H180" s="49" t="s">
        <v>1615</v>
      </c>
      <c r="I180" s="29" t="s">
        <v>110</v>
      </c>
      <c r="J180" s="4276" t="s">
        <v>1709</v>
      </c>
      <c r="K180" s="4277"/>
      <c r="L180" s="4277"/>
      <c r="M180" s="4277"/>
      <c r="N180" s="4278"/>
      <c r="O180" s="128" t="s">
        <v>1615</v>
      </c>
      <c r="P180" s="1759"/>
      <c r="Q180" s="687"/>
    </row>
    <row r="181" spans="1:44" ht="12.75" customHeight="1">
      <c r="A181" s="40" t="s">
        <v>1842</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6"/>
      <c r="B185" s="4237"/>
      <c r="C185" s="4237"/>
      <c r="D185" s="4237"/>
      <c r="E185" s="4237"/>
      <c r="F185" s="4237"/>
      <c r="G185" s="4237"/>
      <c r="H185" s="4237"/>
      <c r="I185" s="4237"/>
      <c r="J185" s="4237"/>
      <c r="K185" s="4237"/>
      <c r="L185" s="4237"/>
      <c r="M185" s="4237"/>
      <c r="N185" s="4237"/>
      <c r="O185" s="4237"/>
      <c r="P185" s="4237"/>
      <c r="Q185" s="4238"/>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228"/>
      <c r="Q189" s="422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4027</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49" t="s">
        <v>1646</v>
      </c>
      <c r="L192" s="425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82" t="s">
        <v>1646</v>
      </c>
      <c r="L193" s="4383"/>
      <c r="Q193" s="439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8" t="s">
        <v>6192</v>
      </c>
      <c r="D194" s="4389"/>
      <c r="E194" s="4389"/>
      <c r="F194" s="4389"/>
      <c r="G194" s="4389"/>
      <c r="H194" s="4389"/>
      <c r="I194" s="4389"/>
      <c r="J194" s="4389"/>
      <c r="K194" s="4389"/>
      <c r="L194" s="4389"/>
      <c r="M194" s="4389"/>
      <c r="N194" s="4389"/>
      <c r="O194" s="4390"/>
      <c r="Q194" s="439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76" t="s">
        <v>1646</v>
      </c>
      <c r="L195" s="4377"/>
      <c r="M195" s="4377"/>
      <c r="N195" s="43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4028</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3152</v>
      </c>
      <c r="O197" s="1233">
        <f>'Part V-Revenues &amp; Expenses'!$P$67</f>
        <v>210</v>
      </c>
      <c r="P197" s="4256" t="s">
        <v>3854</v>
      </c>
      <c r="Q197" s="43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362" t="s">
        <v>950</v>
      </c>
      <c r="D199" s="4363"/>
      <c r="E199" s="4363"/>
      <c r="F199" s="4363"/>
      <c r="G199" s="4364"/>
      <c r="H199" s="48" t="s">
        <v>1962</v>
      </c>
      <c r="I199" s="4365" t="s">
        <v>3400</v>
      </c>
      <c r="J199" s="4366"/>
      <c r="K199" s="4366"/>
      <c r="L199" s="4366"/>
      <c r="M199" s="4366"/>
      <c r="N199" s="4366"/>
      <c r="O199" s="43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379" t="s">
        <v>950</v>
      </c>
      <c r="D200" s="4380"/>
      <c r="E200" s="4380"/>
      <c r="F200" s="4380"/>
      <c r="G200" s="4381"/>
      <c r="H200" s="48" t="s">
        <v>1963</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9" t="s">
        <v>950</v>
      </c>
      <c r="D201" s="4380"/>
      <c r="E201" s="4380"/>
      <c r="F201" s="4380"/>
      <c r="G201" s="4381"/>
      <c r="H201" s="48" t="s">
        <v>1611</v>
      </c>
      <c r="I201" s="3152" t="s">
        <v>3400</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15" t="s">
        <v>950</v>
      </c>
      <c r="D202" s="4316"/>
      <c r="E202" s="4316"/>
      <c r="F202" s="4316"/>
      <c r="G202" s="4317"/>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2504</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2" t="s">
        <v>6743</v>
      </c>
      <c r="D209" s="4222"/>
      <c r="E209" s="4222"/>
      <c r="F209" s="4222"/>
      <c r="G209" s="4222"/>
      <c r="H209" s="4222"/>
      <c r="I209" s="4222"/>
      <c r="J209" s="4222"/>
      <c r="K209" s="4222"/>
      <c r="L209" s="4222"/>
      <c r="M209" s="4222"/>
      <c r="N209" s="422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6097</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6"/>
      <c r="B214" s="4237"/>
      <c r="C214" s="4237"/>
      <c r="D214" s="4237"/>
      <c r="E214" s="4237"/>
      <c r="F214" s="4237"/>
      <c r="G214" s="4237"/>
      <c r="H214" s="4237"/>
      <c r="I214" s="4237"/>
      <c r="J214" s="4237"/>
      <c r="K214" s="4237"/>
      <c r="L214" s="4237"/>
      <c r="M214" s="4237"/>
      <c r="N214" s="4237"/>
      <c r="O214" s="4237"/>
      <c r="P214" s="4237"/>
      <c r="Q214" s="423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Yes</v>
      </c>
      <c r="M217" s="887"/>
      <c r="O217" s="101" t="s">
        <v>1730</v>
      </c>
      <c r="P217" s="4228"/>
      <c r="Q217" s="4229"/>
    </row>
    <row r="218" spans="1:44" ht="11.25" customHeight="1">
      <c r="A218" s="110" t="s">
        <v>1840</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65"/>
      <c r="C220" s="4366"/>
      <c r="D220" s="4366"/>
      <c r="E220" s="4366"/>
      <c r="F220" s="4366"/>
      <c r="G220" s="4366"/>
      <c r="H220" s="4366"/>
      <c r="I220" s="4366"/>
      <c r="J220" s="1972"/>
      <c r="K220" s="4365"/>
      <c r="L220" s="4366"/>
      <c r="M220" s="4366"/>
      <c r="N220" s="4366"/>
      <c r="O220" s="4366"/>
      <c r="P220" s="4366"/>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1842</v>
      </c>
      <c r="B228" s="1532" t="s">
        <v>6118</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222" t="s">
        <v>6114</v>
      </c>
      <c r="C229" s="4222"/>
      <c r="D229" s="4222"/>
      <c r="E229" s="4222"/>
      <c r="F229" s="4222"/>
      <c r="G229" s="4222"/>
      <c r="H229" s="4222"/>
      <c r="I229" s="4222"/>
      <c r="J229" s="4222"/>
      <c r="K229" s="4222"/>
      <c r="L229" s="4222"/>
      <c r="M229" s="4222"/>
      <c r="N229" s="422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6113</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6"/>
      <c r="B232" s="4237"/>
      <c r="C232" s="4237"/>
      <c r="D232" s="4237"/>
      <c r="E232" s="4237"/>
      <c r="F232" s="4237"/>
      <c r="G232" s="4237"/>
      <c r="H232" s="4237"/>
      <c r="I232" s="4237"/>
      <c r="J232" s="4237"/>
      <c r="K232" s="4237"/>
      <c r="L232" s="4237"/>
      <c r="M232" s="4237"/>
      <c r="N232" s="4237"/>
      <c r="O232" s="4237"/>
      <c r="P232" s="4237"/>
      <c r="Q232" s="423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3950</v>
      </c>
      <c r="C236" s="4"/>
      <c r="D236" s="66"/>
      <c r="E236" s="66"/>
      <c r="F236" s="66"/>
      <c r="G236" s="66"/>
      <c r="H236" s="887"/>
      <c r="I236" s="887"/>
      <c r="J236" s="887"/>
      <c r="K236" s="887"/>
      <c r="L236" s="669"/>
      <c r="M236" s="1262"/>
      <c r="O236" s="101" t="s">
        <v>1730</v>
      </c>
      <c r="P236" s="4228"/>
      <c r="Q236" s="422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45" t="s">
        <v>1646</v>
      </c>
      <c r="L238" s="4246"/>
      <c r="M238" s="4246"/>
      <c r="N238" s="4246"/>
      <c r="O238" s="4324"/>
      <c r="P238" s="4353" t="s">
        <v>1646</v>
      </c>
      <c r="Q238" s="435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2" t="s">
        <v>6194</v>
      </c>
      <c r="C239" s="4222"/>
      <c r="D239" s="4222"/>
      <c r="E239" s="4222"/>
      <c r="F239" s="4222"/>
      <c r="G239" s="4222"/>
      <c r="H239" s="4222"/>
      <c r="I239" s="4222"/>
      <c r="J239" s="4222"/>
      <c r="K239" s="4222"/>
      <c r="L239" s="4222"/>
      <c r="M239" s="4222"/>
      <c r="N239" s="4222"/>
      <c r="O239" s="431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2506</v>
      </c>
      <c r="D240" s="29"/>
      <c r="E240" s="29"/>
      <c r="F240" s="29"/>
      <c r="J240" s="48" t="s">
        <v>1842</v>
      </c>
      <c r="K240" s="4311"/>
      <c r="L240" s="4312"/>
      <c r="M240" s="4312"/>
      <c r="N240" s="4312"/>
      <c r="O240" s="4313"/>
      <c r="P240" s="4307"/>
      <c r="Q240" s="43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76"/>
      <c r="L241" s="4277"/>
      <c r="M241" s="4277"/>
      <c r="N241" s="4277"/>
      <c r="O241" s="4278"/>
      <c r="P241" s="4309"/>
      <c r="Q241" s="43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2" t="s">
        <v>6205</v>
      </c>
      <c r="D243" s="4222"/>
      <c r="E243" s="4222"/>
      <c r="F243" s="4222"/>
      <c r="G243" s="4222"/>
      <c r="H243" s="4222"/>
      <c r="I243" s="4222"/>
      <c r="J243" s="4222"/>
      <c r="K243" s="4222"/>
      <c r="L243" s="4222"/>
      <c r="M243" s="4222"/>
      <c r="N243" s="422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222" t="s">
        <v>6206</v>
      </c>
      <c r="D244" s="4222"/>
      <c r="E244" s="4222"/>
      <c r="F244" s="4222"/>
      <c r="G244" s="4222"/>
      <c r="H244" s="4222"/>
      <c r="I244" s="4222"/>
      <c r="J244" s="4222"/>
      <c r="K244" s="4222"/>
      <c r="L244" s="4222"/>
      <c r="M244" s="4222"/>
      <c r="N244" s="4222"/>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2" t="s">
        <v>3245</v>
      </c>
      <c r="C246" s="4252"/>
      <c r="D246" s="4252"/>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2"/>
      <c r="C247" s="4252"/>
      <c r="D247" s="4252"/>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2"/>
      <c r="C248" s="4252"/>
      <c r="D248" s="4252"/>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2"/>
      <c r="C249" s="4252"/>
      <c r="D249" s="4252"/>
      <c r="E249" s="44" t="s">
        <v>3384</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2" t="s">
        <v>6501</v>
      </c>
      <c r="F250" s="4222"/>
      <c r="G250" s="4222"/>
      <c r="H250" s="4222"/>
      <c r="I250" s="4222"/>
      <c r="J250" s="4222"/>
      <c r="K250" s="4222"/>
      <c r="L250" s="4222"/>
      <c r="M250" s="4222"/>
      <c r="N250" s="422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6"/>
      <c r="B252" s="4237"/>
      <c r="C252" s="4237"/>
      <c r="D252" s="4237"/>
      <c r="E252" s="4237"/>
      <c r="F252" s="4237"/>
      <c r="G252" s="4237"/>
      <c r="H252" s="4237"/>
      <c r="I252" s="4237"/>
      <c r="J252" s="4237"/>
      <c r="K252" s="4237"/>
      <c r="L252" s="4237"/>
      <c r="M252" s="4237"/>
      <c r="N252" s="4237"/>
      <c r="O252" s="4237"/>
      <c r="P252" s="4237"/>
      <c r="Q252" s="423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1730</v>
      </c>
      <c r="P256" s="4228"/>
      <c r="Q256" s="422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222" t="s">
        <v>4029</v>
      </c>
      <c r="D257" s="4222"/>
      <c r="E257" s="4222"/>
      <c r="F257" s="4222"/>
      <c r="G257" s="4222"/>
      <c r="H257" s="4222"/>
      <c r="I257" s="4222"/>
      <c r="J257" s="4222"/>
      <c r="K257" s="4222"/>
      <c r="L257" s="4222"/>
      <c r="M257" s="4222"/>
      <c r="N257" s="422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3243</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2" t="s">
        <v>4055</v>
      </c>
      <c r="D260" s="4222"/>
      <c r="E260" s="4222"/>
      <c r="F260" s="4222"/>
      <c r="G260" s="4222"/>
      <c r="H260" s="4222"/>
      <c r="I260" s="4222"/>
      <c r="J260" s="4222"/>
      <c r="K260" s="4222"/>
      <c r="L260" s="4222"/>
      <c r="M260" s="4222"/>
      <c r="N260" s="4222"/>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222" t="s">
        <v>6119</v>
      </c>
      <c r="C262" s="4222"/>
      <c r="D262" s="4222"/>
      <c r="E262" s="4222"/>
      <c r="F262" s="4222"/>
      <c r="G262" s="4222"/>
      <c r="H262" s="4222"/>
      <c r="I262" s="4222"/>
      <c r="J262" s="4222"/>
      <c r="K262" s="4222"/>
      <c r="L262" s="4222"/>
      <c r="M262" s="4222"/>
      <c r="N262" s="4222"/>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6"/>
      <c r="B264" s="4237"/>
      <c r="C264" s="4237"/>
      <c r="D264" s="4237"/>
      <c r="E264" s="4237"/>
      <c r="F264" s="4237"/>
      <c r="G264" s="4237"/>
      <c r="H264" s="4237"/>
      <c r="I264" s="4237"/>
      <c r="J264" s="4237"/>
      <c r="K264" s="4237"/>
      <c r="L264" s="4237"/>
      <c r="M264" s="4237"/>
      <c r="N264" s="4237"/>
      <c r="O264" s="4237"/>
      <c r="P264" s="4237"/>
      <c r="Q264" s="423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1730</v>
      </c>
      <c r="P268" s="4228"/>
      <c r="Q268" s="422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6197</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2" t="s">
        <v>3846</v>
      </c>
      <c r="D271" s="4222"/>
      <c r="E271" s="4222"/>
      <c r="F271" s="4222"/>
      <c r="G271" s="4222"/>
      <c r="H271" s="4222"/>
      <c r="I271" s="4222"/>
      <c r="J271" s="4222"/>
      <c r="K271" s="4222"/>
      <c r="L271" s="4222"/>
      <c r="M271" s="4222"/>
      <c r="N271" s="422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2" t="s">
        <v>2507</v>
      </c>
      <c r="D272" s="4222"/>
      <c r="E272" s="4222"/>
      <c r="F272" s="4222"/>
      <c r="G272" s="4222"/>
      <c r="H272" s="4222"/>
      <c r="I272" s="4222"/>
      <c r="J272" s="4222"/>
      <c r="K272" s="4222"/>
      <c r="L272" s="4222"/>
      <c r="M272" s="4222"/>
      <c r="N272" s="422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253" t="s">
        <v>3336</v>
      </c>
      <c r="M273" s="4254"/>
      <c r="N273" s="4254"/>
      <c r="O273" s="4254"/>
      <c r="P273" s="425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6"/>
      <c r="B277" s="4237"/>
      <c r="C277" s="4237"/>
      <c r="D277" s="4237"/>
      <c r="E277" s="4237"/>
      <c r="F277" s="4237"/>
      <c r="G277" s="4237"/>
      <c r="H277" s="4237"/>
      <c r="I277" s="4237"/>
      <c r="J277" s="4237"/>
      <c r="K277" s="4237"/>
      <c r="L277" s="4237"/>
      <c r="M277" s="4237"/>
      <c r="N277" s="4237"/>
      <c r="O277" s="4237"/>
      <c r="P277" s="4237"/>
      <c r="Q277" s="423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1730</v>
      </c>
      <c r="P281" s="4228"/>
      <c r="Q281" s="422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2" t="s">
        <v>6655</v>
      </c>
      <c r="D284" s="4222"/>
      <c r="E284" s="4222"/>
      <c r="F284" s="4222"/>
      <c r="G284" s="4222"/>
      <c r="H284" s="4222"/>
      <c r="I284" s="4222"/>
      <c r="J284" s="4222"/>
      <c r="K284" s="4222"/>
      <c r="L284" s="4222"/>
      <c r="M284" s="4222"/>
      <c r="N284" s="4222"/>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2" t="s">
        <v>6656</v>
      </c>
      <c r="D285" s="4222"/>
      <c r="E285" s="4222"/>
      <c r="F285" s="4222"/>
      <c r="G285" s="4222"/>
      <c r="H285" s="4222"/>
      <c r="I285" s="4222"/>
      <c r="J285" s="4222"/>
      <c r="K285" s="4222"/>
      <c r="L285" s="4222"/>
      <c r="M285" s="4222"/>
      <c r="N285" s="422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2" t="s">
        <v>6200</v>
      </c>
      <c r="D286" s="4222"/>
      <c r="E286" s="4222"/>
      <c r="F286" s="4222"/>
      <c r="G286" s="4222"/>
      <c r="H286" s="4222"/>
      <c r="I286" s="4222"/>
      <c r="J286" s="4222"/>
      <c r="K286" s="4222"/>
      <c r="L286" s="4222"/>
      <c r="M286" s="4222"/>
      <c r="N286" s="422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222" t="s">
        <v>6203</v>
      </c>
      <c r="E288" s="4222"/>
      <c r="F288" s="4222"/>
      <c r="G288" s="4222"/>
      <c r="H288" s="4222"/>
      <c r="I288" s="108"/>
      <c r="J288" s="4230" t="s">
        <v>3266</v>
      </c>
      <c r="K288" s="4256"/>
      <c r="L288" s="4256"/>
      <c r="M288" s="4360" t="s">
        <v>3247</v>
      </c>
      <c r="N288" s="436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2"/>
      <c r="E289" s="4222"/>
      <c r="F289" s="4222"/>
      <c r="G289" s="4222"/>
      <c r="H289" s="4222"/>
      <c r="I289" s="248"/>
      <c r="J289" s="4256"/>
      <c r="K289" s="4256"/>
      <c r="L289" s="425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2"/>
      <c r="E290" s="4222"/>
      <c r="F290" s="4222"/>
      <c r="G290" s="4222"/>
      <c r="H290" s="4222"/>
      <c r="I290" s="29" t="s">
        <v>3386</v>
      </c>
      <c r="K290" s="1595"/>
      <c r="L290" s="795" t="str">
        <f>IF(K290&lt;M290,"Check!!!","")</f>
        <v>Check!!!</v>
      </c>
      <c r="M290" s="1597">
        <f>ROUNDUP('Part V-Revenues &amp; Expenses'!$P$67*'Part VII-Threshold Criteria OLD'!N290,0)</f>
        <v>11</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222" t="s">
        <v>6204</v>
      </c>
      <c r="E291" s="4222"/>
      <c r="F291" s="4222"/>
      <c r="G291" s="4222"/>
      <c r="H291" s="4222"/>
      <c r="I291" s="370" t="s">
        <v>3387</v>
      </c>
      <c r="J291" s="144"/>
      <c r="K291" s="1596"/>
      <c r="L291" s="795" t="str">
        <f>IF(K291&lt;M291,"Check!!!","")</f>
        <v/>
      </c>
      <c r="M291" s="1598">
        <f>ROUNDUP(K290*'Part VII-Threshold Criteria OLD'!N291,0)</f>
        <v>0</v>
      </c>
      <c r="N291" s="1205">
        <f>'DCA Underwriting Assumptions'!$Q$123</f>
        <v>0.4</v>
      </c>
      <c r="O291" s="48" t="s">
        <v>1963</v>
      </c>
      <c r="P291" s="4259"/>
      <c r="Q291" s="425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2"/>
      <c r="E292" s="4222"/>
      <c r="F292" s="4222"/>
      <c r="G292" s="4222"/>
      <c r="H292" s="4222"/>
      <c r="O292" s="33"/>
      <c r="P292" s="4260"/>
      <c r="Q292" s="425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2" t="s">
        <v>6740</v>
      </c>
      <c r="D293" s="4222"/>
      <c r="E293" s="4222"/>
      <c r="F293" s="4222"/>
      <c r="G293" s="4222"/>
      <c r="H293" s="4222"/>
      <c r="I293" s="29" t="s">
        <v>3388</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2"/>
      <c r="D294" s="4222"/>
      <c r="E294" s="4222"/>
      <c r="F294" s="4222"/>
      <c r="G294" s="4222"/>
      <c r="H294" s="422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2"/>
      <c r="D295" s="4222"/>
      <c r="E295" s="4222"/>
      <c r="F295" s="4222"/>
      <c r="G295" s="4222"/>
      <c r="H295" s="422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2" t="s">
        <v>6718</v>
      </c>
      <c r="C297" s="4222"/>
      <c r="D297" s="4222"/>
      <c r="E297" s="4222"/>
      <c r="F297" s="4222"/>
      <c r="G297" s="4222"/>
      <c r="H297" s="4222"/>
      <c r="I297" s="4222"/>
      <c r="J297" s="4222"/>
      <c r="K297" s="4222"/>
      <c r="L297" s="4222"/>
      <c r="M297" s="4222"/>
      <c r="N297" s="422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04"/>
      <c r="M298" s="4305"/>
      <c r="N298" s="4305"/>
      <c r="O298" s="4305"/>
      <c r="P298" s="4305"/>
      <c r="Q298" s="430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2" t="s">
        <v>6657</v>
      </c>
      <c r="D299" s="4222"/>
      <c r="E299" s="4222"/>
      <c r="F299" s="4222"/>
      <c r="G299" s="4222"/>
      <c r="H299" s="4222"/>
      <c r="I299" s="4222"/>
      <c r="J299" s="4222"/>
      <c r="K299" s="4222"/>
      <c r="L299" s="4222"/>
      <c r="M299" s="4222"/>
      <c r="N299" s="4222"/>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2" t="s">
        <v>3832</v>
      </c>
      <c r="D300" s="4222"/>
      <c r="E300" s="4222"/>
      <c r="F300" s="4222"/>
      <c r="G300" s="4222"/>
      <c r="H300" s="4222"/>
      <c r="I300" s="4222"/>
      <c r="J300" s="4222"/>
      <c r="K300" s="4222"/>
      <c r="L300" s="4222"/>
      <c r="M300" s="4222"/>
      <c r="N300" s="4222"/>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2" t="s">
        <v>3169</v>
      </c>
      <c r="D301" s="4222"/>
      <c r="E301" s="4222"/>
      <c r="F301" s="4222"/>
      <c r="G301" s="4222"/>
      <c r="H301" s="4222"/>
      <c r="I301" s="4222"/>
      <c r="J301" s="4222"/>
      <c r="K301" s="4222"/>
      <c r="L301" s="4222"/>
      <c r="M301" s="4222"/>
      <c r="N301" s="4222"/>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222" t="s">
        <v>3170</v>
      </c>
      <c r="D302" s="4222"/>
      <c r="E302" s="4222"/>
      <c r="F302" s="4222"/>
      <c r="G302" s="4222"/>
      <c r="H302" s="4222"/>
      <c r="I302" s="4222"/>
      <c r="J302" s="4222"/>
      <c r="K302" s="4222"/>
      <c r="L302" s="4222"/>
      <c r="M302" s="4222"/>
      <c r="N302" s="4222"/>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6"/>
      <c r="B304" s="4237"/>
      <c r="C304" s="4237"/>
      <c r="D304" s="4237"/>
      <c r="E304" s="4237"/>
      <c r="F304" s="4237"/>
      <c r="G304" s="4237"/>
      <c r="H304" s="4237"/>
      <c r="I304" s="4237"/>
      <c r="J304" s="4237"/>
      <c r="K304" s="4237"/>
      <c r="L304" s="4237"/>
      <c r="M304" s="4237"/>
      <c r="N304" s="4237"/>
      <c r="O304" s="4237"/>
      <c r="P304" s="4237"/>
      <c r="Q304" s="423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1"/>
      <c r="B306" s="4262"/>
      <c r="C306" s="4262"/>
      <c r="D306" s="4262"/>
      <c r="E306" s="4262"/>
      <c r="F306" s="4262"/>
      <c r="G306" s="4262"/>
      <c r="H306" s="4262"/>
      <c r="I306" s="4262"/>
      <c r="J306" s="4262"/>
      <c r="K306" s="4262"/>
      <c r="L306" s="4262"/>
      <c r="M306" s="4262"/>
      <c r="N306" s="4262"/>
      <c r="O306" s="4262"/>
      <c r="P306" s="4262"/>
      <c r="Q306" s="426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1730</v>
      </c>
      <c r="P307" s="4355"/>
      <c r="Q307" s="435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45" t="s">
        <v>1646</v>
      </c>
      <c r="L310" s="4246"/>
      <c r="M310" s="4246"/>
      <c r="N310" s="432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2" t="s">
        <v>6667</v>
      </c>
      <c r="C312" s="4222"/>
      <c r="D312" s="4222"/>
      <c r="E312" s="4222"/>
      <c r="F312" s="4222"/>
      <c r="G312" s="4222"/>
      <c r="H312" s="4222"/>
      <c r="I312" s="4222"/>
      <c r="J312" s="4222"/>
      <c r="K312" s="4222"/>
      <c r="L312" s="4222"/>
      <c r="M312" s="4222"/>
      <c r="N312" s="4222"/>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4" t="s">
        <v>2146</v>
      </c>
      <c r="H314" s="4295"/>
      <c r="I314" s="4295"/>
      <c r="J314" s="4295"/>
      <c r="K314" s="4295"/>
      <c r="L314" s="4295"/>
      <c r="M314" s="4295"/>
      <c r="N314" s="429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2" t="s">
        <v>1066</v>
      </c>
      <c r="D315" s="4222"/>
      <c r="E315" s="4222"/>
      <c r="F315" s="4314"/>
      <c r="G315" s="3141" t="s">
        <v>1018</v>
      </c>
      <c r="H315" s="4318"/>
      <c r="I315" s="4318"/>
      <c r="J315" s="4318"/>
      <c r="K315" s="4318"/>
      <c r="L315" s="4318"/>
      <c r="M315" s="4318"/>
      <c r="N315" s="431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48" t="s">
        <v>6121</v>
      </c>
      <c r="H317" s="4248"/>
      <c r="I317" s="4248"/>
      <c r="J317" s="4248"/>
      <c r="K317" s="4248"/>
      <c r="L317" s="4248"/>
      <c r="M317" s="4248"/>
      <c r="N317" s="424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01"/>
      <c r="D318" s="4302"/>
      <c r="E318" s="4302"/>
      <c r="F318" s="4302"/>
      <c r="G318" s="4302"/>
      <c r="H318" s="4302"/>
      <c r="I318" s="4302"/>
      <c r="J318" s="4302"/>
      <c r="K318" s="4302"/>
      <c r="L318" s="4302"/>
      <c r="M318" s="4302"/>
      <c r="N318" s="430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315"/>
      <c r="D319" s="4316"/>
      <c r="E319" s="4316"/>
      <c r="F319" s="4316"/>
      <c r="G319" s="4316"/>
      <c r="H319" s="4316"/>
      <c r="I319" s="4316"/>
      <c r="J319" s="4316"/>
      <c r="K319" s="4316"/>
      <c r="L319" s="4316"/>
      <c r="M319" s="4316"/>
      <c r="N319" s="4317"/>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222" t="s">
        <v>6122</v>
      </c>
      <c r="C320" s="4222"/>
      <c r="D320" s="4222"/>
      <c r="E320" s="4222"/>
      <c r="F320" s="4222"/>
      <c r="G320" s="4222"/>
      <c r="H320" s="4222"/>
      <c r="I320" s="4222"/>
      <c r="J320" s="4222"/>
      <c r="K320" s="4222"/>
      <c r="L320" s="4222"/>
      <c r="M320" s="4222"/>
      <c r="N320" s="4222"/>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6"/>
      <c r="B323" s="4237"/>
      <c r="C323" s="4237"/>
      <c r="D323" s="4237"/>
      <c r="E323" s="4237"/>
      <c r="F323" s="4237"/>
      <c r="G323" s="4237"/>
      <c r="H323" s="4237"/>
      <c r="I323" s="4237"/>
      <c r="J323" s="4237"/>
      <c r="K323" s="4237"/>
      <c r="L323" s="4237"/>
      <c r="M323" s="4237"/>
      <c r="N323" s="4237"/>
      <c r="O323" s="4237"/>
      <c r="P323" s="4237"/>
      <c r="Q323" s="423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1730</v>
      </c>
      <c r="P326" s="4228"/>
      <c r="Q326" s="4229"/>
      <c r="R326" s="860" t="s">
        <v>6518</v>
      </c>
    </row>
    <row r="327" spans="1:256" ht="11.65" customHeight="1">
      <c r="A327" s="40" t="s">
        <v>1840</v>
      </c>
      <c r="B327" s="44" t="s">
        <v>6527</v>
      </c>
      <c r="O327" s="128" t="s">
        <v>1840</v>
      </c>
      <c r="P327" s="175"/>
      <c r="Q327" s="419"/>
    </row>
    <row r="328" spans="1:256" ht="11.65" customHeight="1">
      <c r="A328" s="110" t="s">
        <v>1842</v>
      </c>
      <c r="B328" s="44" t="s">
        <v>6534</v>
      </c>
      <c r="O328" s="128" t="s">
        <v>1842</v>
      </c>
      <c r="P328" s="1759"/>
      <c r="Q328" s="687"/>
    </row>
    <row r="329" spans="1:256" ht="11.65" customHeight="1">
      <c r="A329" s="110" t="s">
        <v>698</v>
      </c>
      <c r="B329" s="44" t="s">
        <v>6535</v>
      </c>
      <c r="K329" s="231"/>
      <c r="M329" s="128" t="s">
        <v>698</v>
      </c>
      <c r="N329" s="4297" t="s">
        <v>1646</v>
      </c>
      <c r="O329" s="4298"/>
      <c r="P329" s="4299" t="s">
        <v>1646</v>
      </c>
      <c r="Q329" s="4300"/>
    </row>
    <row r="330" spans="1:256" ht="11.65" customHeight="1">
      <c r="A330" s="40" t="s">
        <v>1961</v>
      </c>
      <c r="B330" s="44" t="s">
        <v>6536</v>
      </c>
      <c r="O330" s="48" t="s">
        <v>1961</v>
      </c>
      <c r="P330" s="1400"/>
      <c r="Q330" s="1399"/>
    </row>
    <row r="331" spans="1:256" ht="11.65" customHeight="1">
      <c r="A331" s="110" t="s">
        <v>1612</v>
      </c>
      <c r="B331" s="44" t="s">
        <v>6537</v>
      </c>
      <c r="N331" s="128" t="s">
        <v>1612</v>
      </c>
      <c r="O331" s="4291" t="s">
        <v>2559</v>
      </c>
      <c r="P331" s="4292"/>
      <c r="Q331" s="4293"/>
    </row>
    <row r="332" spans="1:256" ht="11.65" customHeight="1">
      <c r="A332" s="110" t="s">
        <v>1613</v>
      </c>
      <c r="B332" s="67" t="s">
        <v>2169</v>
      </c>
      <c r="N332" s="128" t="s">
        <v>1613</v>
      </c>
      <c r="O332" s="4357" t="s">
        <v>2559</v>
      </c>
      <c r="P332" s="4358"/>
      <c r="Q332" s="435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6"/>
      <c r="B334" s="4237"/>
      <c r="C334" s="4237"/>
      <c r="D334" s="4237"/>
      <c r="E334" s="4237"/>
      <c r="F334" s="4237"/>
      <c r="G334" s="4237"/>
      <c r="H334" s="4237"/>
      <c r="I334" s="4237"/>
      <c r="J334" s="4237"/>
      <c r="K334" s="4237"/>
      <c r="L334" s="4237"/>
      <c r="M334" s="4237"/>
      <c r="N334" s="4237"/>
      <c r="O334" s="4237"/>
      <c r="P334" s="4237"/>
      <c r="Q334" s="4238"/>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242"/>
      <c r="Q338" s="424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1840</v>
      </c>
      <c r="B341" s="4222" t="s">
        <v>6685</v>
      </c>
      <c r="C341" s="4222"/>
      <c r="D341" s="4222"/>
      <c r="E341" s="4222"/>
      <c r="F341" s="4222"/>
      <c r="G341" s="4222"/>
      <c r="H341" s="4222"/>
      <c r="I341" s="4222"/>
      <c r="J341" s="4222"/>
      <c r="K341" s="4222"/>
      <c r="L341" s="4222"/>
      <c r="M341" s="4222"/>
      <c r="N341" s="4222"/>
      <c r="O341" s="128" t="s">
        <v>1840</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210</v>
      </c>
      <c r="F343" s="29" t="s">
        <v>3893</v>
      </c>
      <c r="G343" s="1541">
        <f>'Part V-Revenues &amp; Expenses'!$P$100</f>
        <v>20</v>
      </c>
      <c r="H343" s="72"/>
      <c r="I343" s="29" t="s">
        <v>832</v>
      </c>
      <c r="J343" s="72"/>
      <c r="K343" s="72"/>
      <c r="L343" s="1540">
        <f>'Part V-Revenues &amp; Expenses'!$P$111</f>
        <v>0</v>
      </c>
      <c r="M343" s="48" t="s">
        <v>6741</v>
      </c>
      <c r="N343" s="1539">
        <f>IF(E343=0,"",(G343+L343)/E343)</f>
        <v>9.5238095238095233E-2</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222" t="s">
        <v>6686</v>
      </c>
      <c r="C344" s="4222"/>
      <c r="D344" s="4222"/>
      <c r="E344" s="4222"/>
      <c r="F344" s="4222"/>
      <c r="G344" s="4222"/>
      <c r="H344" s="4222"/>
      <c r="I344" s="4222"/>
      <c r="J344" s="4222"/>
      <c r="K344" s="4222"/>
      <c r="L344" s="4222"/>
      <c r="M344" s="4222"/>
      <c r="N344" s="4222"/>
      <c r="O344" s="128" t="s">
        <v>1842</v>
      </c>
      <c r="P344" s="905"/>
      <c r="Q344" s="906"/>
    </row>
    <row r="345" spans="1:44" s="115" customFormat="1">
      <c r="A345" s="110"/>
      <c r="B345" s="1220"/>
      <c r="C345" s="29" t="s">
        <v>1667</v>
      </c>
      <c r="D345" s="29"/>
      <c r="E345" s="1540">
        <f>'Part V-Revenues &amp; Expenses'!$P$67</f>
        <v>210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2" t="s">
        <v>6687</v>
      </c>
      <c r="C346" s="4222"/>
      <c r="D346" s="4222"/>
      <c r="E346" s="4222"/>
      <c r="F346" s="4222"/>
      <c r="G346" s="4222"/>
      <c r="H346" s="4222"/>
      <c r="I346" s="4222"/>
      <c r="J346" s="4222"/>
      <c r="K346" s="4222"/>
      <c r="L346" s="4222"/>
      <c r="M346" s="4222"/>
      <c r="N346" s="4222"/>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210</v>
      </c>
      <c r="F348" s="29" t="s">
        <v>3893</v>
      </c>
      <c r="G348" s="1541">
        <f>'Part V-Revenues &amp; Expenses'!$P$100</f>
        <v>20</v>
      </c>
      <c r="H348" s="72"/>
      <c r="I348" s="29" t="s">
        <v>832</v>
      </c>
      <c r="J348" s="72"/>
      <c r="K348" s="72"/>
      <c r="L348" s="1540">
        <f>'Part V-Revenues &amp; Expenses'!$P$111</f>
        <v>0</v>
      </c>
      <c r="M348" s="48" t="s">
        <v>6741</v>
      </c>
      <c r="N348" s="1539">
        <f>IF(E348=0,"",(G348+L348)/E348)</f>
        <v>9.5238095238095233E-2</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6"/>
      <c r="B350" s="4237"/>
      <c r="C350" s="4237"/>
      <c r="D350" s="4237"/>
      <c r="E350" s="4237"/>
      <c r="F350" s="4237"/>
      <c r="G350" s="4237"/>
      <c r="H350" s="4237"/>
      <c r="I350" s="4237"/>
      <c r="J350" s="4237"/>
      <c r="K350" s="4237"/>
      <c r="L350" s="4237"/>
      <c r="M350" s="4237"/>
      <c r="N350" s="4237"/>
      <c r="O350" s="4237"/>
      <c r="P350" s="4237"/>
      <c r="Q350" s="4238"/>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398"/>
      <c r="Q354" s="4229"/>
    </row>
    <row r="355" spans="1:31" ht="10.5" customHeight="1">
      <c r="A355" s="40" t="s">
        <v>1840</v>
      </c>
      <c r="B355" s="29" t="s">
        <v>3358</v>
      </c>
      <c r="D355" s="118"/>
      <c r="E355" s="118"/>
      <c r="F355" s="118"/>
      <c r="G355" s="118"/>
      <c r="H355" s="48" t="s">
        <v>1840</v>
      </c>
      <c r="I355" s="4399"/>
      <c r="J355" s="4400"/>
      <c r="K355" s="4400"/>
      <c r="L355" s="4400"/>
      <c r="M355" s="4400"/>
      <c r="N355" s="4400"/>
      <c r="O355" s="4400"/>
      <c r="P355" s="4401"/>
      <c r="Q355" s="419"/>
    </row>
    <row r="356" spans="1:31" ht="10.5" customHeight="1">
      <c r="A356" s="110" t="s">
        <v>1842</v>
      </c>
      <c r="B356" s="29" t="s">
        <v>3359</v>
      </c>
      <c r="D356" s="118"/>
      <c r="E356" s="118"/>
      <c r="F356" s="118"/>
      <c r="G356" s="118"/>
      <c r="H356" s="128" t="s">
        <v>1842</v>
      </c>
      <c r="I356" s="4276"/>
      <c r="J356" s="4277"/>
      <c r="K356" s="4277"/>
      <c r="L356" s="4277"/>
      <c r="M356" s="4277"/>
      <c r="N356" s="4277"/>
      <c r="O356" s="4277"/>
      <c r="P356" s="4278"/>
      <c r="Q356" s="421"/>
    </row>
    <row r="357" spans="1:31" ht="21.75" customHeight="1">
      <c r="A357" s="110" t="s">
        <v>698</v>
      </c>
      <c r="B357" s="4244" t="s">
        <v>3350</v>
      </c>
      <c r="C357" s="4244"/>
      <c r="D357" s="4244"/>
      <c r="E357" s="4244"/>
      <c r="F357" s="4244"/>
      <c r="G357" s="4244"/>
      <c r="H357" s="4244"/>
      <c r="I357" s="4244"/>
      <c r="J357" s="4244"/>
      <c r="K357" s="4244"/>
      <c r="L357" s="4244"/>
      <c r="M357" s="4244"/>
      <c r="N357" s="4244"/>
      <c r="O357" s="128" t="s">
        <v>698</v>
      </c>
      <c r="P357" s="838"/>
      <c r="Q357" s="893"/>
    </row>
    <row r="358" spans="1:31" ht="21.75" customHeight="1">
      <c r="A358" s="110" t="s">
        <v>1961</v>
      </c>
      <c r="B358" s="4222" t="s">
        <v>3351</v>
      </c>
      <c r="C358" s="4222"/>
      <c r="D358" s="4222"/>
      <c r="E358" s="4222"/>
      <c r="F358" s="4222"/>
      <c r="G358" s="4222"/>
      <c r="H358" s="4222"/>
      <c r="I358" s="4222"/>
      <c r="J358" s="4222"/>
      <c r="K358" s="4222"/>
      <c r="L358" s="4222"/>
      <c r="M358" s="4222"/>
      <c r="N358" s="4222"/>
      <c r="O358" s="128" t="s">
        <v>1961</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2" t="s">
        <v>3353</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c r="A361" s="110" t="s">
        <v>1807</v>
      </c>
      <c r="B361" s="108" t="s">
        <v>3354</v>
      </c>
      <c r="D361" s="457"/>
      <c r="E361" s="457"/>
      <c r="F361" s="457"/>
      <c r="G361" s="457"/>
      <c r="H361" s="457"/>
      <c r="I361" s="457"/>
      <c r="J361" s="457"/>
      <c r="K361" s="457"/>
      <c r="L361" s="457"/>
      <c r="M361" s="457"/>
      <c r="N361" s="457"/>
      <c r="O361" s="128" t="s">
        <v>1807</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22" t="s">
        <v>3355</v>
      </c>
      <c r="C363" s="4222"/>
      <c r="D363" s="4222"/>
      <c r="E363" s="4222"/>
      <c r="F363" s="4222"/>
      <c r="G363" s="4222"/>
      <c r="H363" s="4222"/>
      <c r="I363" s="4222"/>
      <c r="J363" s="4222"/>
      <c r="K363" s="4222"/>
      <c r="L363" s="4222"/>
      <c r="M363" s="4222"/>
      <c r="N363" s="4222"/>
      <c r="O363" s="128" t="s">
        <v>3004</v>
      </c>
      <c r="P363" s="894"/>
      <c r="Q363" s="893"/>
    </row>
    <row r="364" spans="1:31" ht="33" customHeight="1">
      <c r="A364" s="110" t="s">
        <v>573</v>
      </c>
      <c r="B364" s="4222" t="s">
        <v>3356</v>
      </c>
      <c r="C364" s="4222"/>
      <c r="D364" s="4222"/>
      <c r="E364" s="4222"/>
      <c r="F364" s="4222"/>
      <c r="G364" s="4222"/>
      <c r="H364" s="4222"/>
      <c r="I364" s="4222"/>
      <c r="J364" s="4222"/>
      <c r="K364" s="4222"/>
      <c r="L364" s="4222"/>
      <c r="M364" s="4222"/>
      <c r="N364" s="422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6"/>
      <c r="B366" s="4237"/>
      <c r="C366" s="4237"/>
      <c r="D366" s="4237"/>
      <c r="E366" s="4237"/>
      <c r="F366" s="4237"/>
      <c r="G366" s="4237"/>
      <c r="H366" s="4237"/>
      <c r="I366" s="4237"/>
      <c r="J366" s="4237"/>
      <c r="K366" s="4237"/>
      <c r="L366" s="4237"/>
      <c r="M366" s="4237"/>
      <c r="N366" s="4237"/>
      <c r="O366" s="4237"/>
      <c r="P366" s="4237"/>
      <c r="Q366" s="4238"/>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33"/>
      <c r="B368" s="4234"/>
      <c r="C368" s="4234"/>
      <c r="D368" s="4234"/>
      <c r="E368" s="4234"/>
      <c r="F368" s="4234"/>
      <c r="G368" s="4234"/>
      <c r="H368" s="4234"/>
      <c r="I368" s="4234"/>
      <c r="J368" s="4234"/>
      <c r="K368" s="4234"/>
      <c r="L368" s="4234"/>
      <c r="M368" s="4234"/>
      <c r="N368" s="4234"/>
      <c r="O368" s="4234"/>
      <c r="P368" s="4234"/>
      <c r="Q368" s="423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28"/>
      <c r="Q371" s="4229"/>
    </row>
    <row r="372" spans="1:31" ht="11.65" customHeight="1">
      <c r="A372" s="40" t="s">
        <v>1840</v>
      </c>
      <c r="B372" s="32" t="s">
        <v>970</v>
      </c>
      <c r="E372" s="4283"/>
      <c r="F372" s="4284"/>
      <c r="G372" s="4284"/>
      <c r="H372" s="4284"/>
      <c r="I372" s="4285"/>
      <c r="J372" s="4286" t="s">
        <v>2436</v>
      </c>
      <c r="K372" s="4287"/>
      <c r="L372" s="4288"/>
      <c r="M372" s="4283"/>
      <c r="N372" s="4284"/>
      <c r="O372" s="4284"/>
      <c r="P372" s="4284"/>
      <c r="Q372" s="4285"/>
    </row>
    <row r="373" spans="1:31" s="102" customFormat="1" ht="22.5" customHeight="1">
      <c r="A373" s="110" t="s">
        <v>1842</v>
      </c>
      <c r="B373" s="4222" t="s">
        <v>3081</v>
      </c>
      <c r="C373" s="4222"/>
      <c r="D373" s="4222"/>
      <c r="E373" s="4222"/>
      <c r="F373" s="4222"/>
      <c r="G373" s="4222"/>
      <c r="H373" s="4222"/>
      <c r="I373" s="4222"/>
      <c r="J373" s="4222"/>
      <c r="K373" s="4222"/>
      <c r="L373" s="4222"/>
      <c r="M373" s="4222"/>
      <c r="N373" s="4222"/>
      <c r="O373" s="128" t="s">
        <v>1842</v>
      </c>
      <c r="P373" s="431"/>
      <c r="Q373" s="422"/>
    </row>
    <row r="374" spans="1:31">
      <c r="A374" s="110" t="s">
        <v>698</v>
      </c>
      <c r="B374" s="44" t="s">
        <v>3202</v>
      </c>
      <c r="G374" s="889"/>
      <c r="H374" s="889"/>
      <c r="I374" s="889"/>
      <c r="J374" s="33" t="s">
        <v>3203</v>
      </c>
      <c r="L374" s="889"/>
      <c r="M374" s="4289">
        <f>'Part II-Sources of Funds'!I6</f>
        <v>0</v>
      </c>
      <c r="N374" s="4290"/>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6"/>
      <c r="B376" s="4237"/>
      <c r="C376" s="4237"/>
      <c r="D376" s="4237"/>
      <c r="E376" s="4237"/>
      <c r="F376" s="4237"/>
      <c r="G376" s="4237"/>
      <c r="H376" s="4237"/>
      <c r="I376" s="4237"/>
      <c r="J376" s="4237"/>
      <c r="K376" s="4237"/>
      <c r="L376" s="4237"/>
      <c r="M376" s="4237"/>
      <c r="N376" s="4237"/>
      <c r="O376" s="4237"/>
      <c r="P376" s="4237"/>
      <c r="Q376" s="4238"/>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33"/>
      <c r="B378" s="4234"/>
      <c r="C378" s="4234"/>
      <c r="D378" s="4234"/>
      <c r="E378" s="4234"/>
      <c r="F378" s="4234"/>
      <c r="G378" s="4234"/>
      <c r="H378" s="4234"/>
      <c r="I378" s="4234"/>
      <c r="J378" s="4234"/>
      <c r="K378" s="4234"/>
      <c r="L378" s="4234"/>
      <c r="M378" s="4234"/>
      <c r="N378" s="4234"/>
      <c r="O378" s="4234"/>
      <c r="P378" s="4234"/>
      <c r="Q378" s="423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1730</v>
      </c>
      <c r="P380" s="4228"/>
      <c r="Q380" s="4279"/>
    </row>
    <row r="381" spans="1:31" ht="12" customHeight="1">
      <c r="A381" s="40" t="s">
        <v>1840</v>
      </c>
      <c r="B381" s="29" t="s">
        <v>2437</v>
      </c>
      <c r="D381" s="457"/>
      <c r="E381" s="457"/>
      <c r="O381" s="48" t="s">
        <v>1840</v>
      </c>
      <c r="P381" s="175"/>
      <c r="Q381" s="419"/>
    </row>
    <row r="382" spans="1:31" ht="12" customHeight="1">
      <c r="A382" s="40" t="s">
        <v>1842</v>
      </c>
      <c r="B382" s="29" t="s">
        <v>3143</v>
      </c>
      <c r="D382" s="457"/>
      <c r="E382" s="457"/>
      <c r="O382" s="48" t="s">
        <v>1842</v>
      </c>
      <c r="P382" s="299"/>
      <c r="Q382" s="420"/>
    </row>
    <row r="383" spans="1:31" ht="12" customHeight="1">
      <c r="A383" s="40" t="s">
        <v>698</v>
      </c>
      <c r="B383" s="29" t="s">
        <v>4030</v>
      </c>
      <c r="D383" s="457"/>
      <c r="E383" s="457"/>
      <c r="O383" s="48" t="s">
        <v>698</v>
      </c>
      <c r="P383" s="299"/>
      <c r="Q383" s="420"/>
    </row>
    <row r="384" spans="1:31" ht="12" customHeight="1">
      <c r="A384" s="40" t="s">
        <v>1961</v>
      </c>
      <c r="B384" s="29" t="s">
        <v>3144</v>
      </c>
      <c r="E384" s="108"/>
      <c r="O384" s="48" t="s">
        <v>1961</v>
      </c>
      <c r="P384" s="299"/>
      <c r="Q384" s="420"/>
    </row>
    <row r="385" spans="1:31" ht="12" customHeight="1">
      <c r="A385" s="40" t="s">
        <v>1612</v>
      </c>
      <c r="B385" s="29" t="s">
        <v>1927</v>
      </c>
      <c r="E385" s="108"/>
      <c r="G385" s="48" t="s">
        <v>1612</v>
      </c>
      <c r="H385" s="4239"/>
      <c r="I385" s="4240"/>
      <c r="J385" s="4240"/>
      <c r="K385" s="4240"/>
      <c r="L385" s="4240"/>
      <c r="M385" s="4240"/>
      <c r="N385" s="4240"/>
      <c r="O385" s="424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6"/>
      <c r="B387" s="4237"/>
      <c r="C387" s="4237"/>
      <c r="D387" s="4237"/>
      <c r="E387" s="4237"/>
      <c r="F387" s="4237"/>
      <c r="G387" s="4237"/>
      <c r="H387" s="4237"/>
      <c r="I387" s="4237"/>
      <c r="J387" s="4237"/>
      <c r="K387" s="4237"/>
      <c r="L387" s="4237"/>
      <c r="M387" s="4237"/>
      <c r="N387" s="4237"/>
      <c r="O387" s="4237"/>
      <c r="P387" s="4237"/>
      <c r="Q387" s="4238"/>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33"/>
      <c r="B389" s="4234"/>
      <c r="C389" s="4234"/>
      <c r="D389" s="4234"/>
      <c r="E389" s="4234"/>
      <c r="F389" s="4234"/>
      <c r="G389" s="4234"/>
      <c r="H389" s="4234"/>
      <c r="I389" s="4234"/>
      <c r="J389" s="4234"/>
      <c r="K389" s="4234"/>
      <c r="L389" s="4234"/>
      <c r="M389" s="4234"/>
      <c r="N389" s="4234"/>
      <c r="O389" s="4234"/>
      <c r="P389" s="4234"/>
      <c r="Q389" s="423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1730</v>
      </c>
      <c r="P391" s="4242"/>
      <c r="Q391" s="4243"/>
    </row>
    <row r="392" spans="1:31" ht="12" customHeight="1">
      <c r="B392" s="44" t="s">
        <v>6250</v>
      </c>
      <c r="O392" s="49"/>
      <c r="P392" s="373"/>
      <c r="Q392" s="418"/>
    </row>
    <row r="393" spans="1:31" ht="12" customHeight="1">
      <c r="A393" s="40" t="s">
        <v>1840</v>
      </c>
      <c r="B393" s="66" t="s">
        <v>3937</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2"/>
      <c r="Q395" s="4320"/>
    </row>
    <row r="396" spans="1:31" ht="12" customHeight="1">
      <c r="A396" s="40"/>
      <c r="D396" s="29" t="s">
        <v>6500</v>
      </c>
      <c r="E396" s="29"/>
      <c r="F396" s="29"/>
      <c r="G396" s="29"/>
      <c r="H396" s="29"/>
      <c r="I396" s="29"/>
      <c r="J396" s="29"/>
      <c r="K396" s="29"/>
      <c r="L396" s="29"/>
      <c r="M396" s="29"/>
      <c r="N396" s="35"/>
      <c r="O396" s="1398"/>
      <c r="P396" s="4323"/>
      <c r="Q396" s="4321"/>
    </row>
    <row r="397" spans="1:31" ht="12" customHeight="1">
      <c r="C397" s="29" t="s">
        <v>2240</v>
      </c>
      <c r="D397" s="29" t="s">
        <v>3082</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222" t="s">
        <v>6150</v>
      </c>
      <c r="D400" s="4222"/>
      <c r="E400" s="4222"/>
      <c r="F400" s="4222"/>
      <c r="G400" s="29" t="s">
        <v>3942</v>
      </c>
      <c r="J400" s="718"/>
      <c r="K400" s="426"/>
      <c r="M400" s="29" t="s">
        <v>6224</v>
      </c>
      <c r="P400" s="1760"/>
      <c r="Q400" s="1761"/>
    </row>
    <row r="401" spans="1:44" ht="12" customHeight="1">
      <c r="A401" s="40"/>
      <c r="C401" s="4222"/>
      <c r="D401" s="4222"/>
      <c r="E401" s="4222"/>
      <c r="F401" s="4222"/>
      <c r="G401" s="29" t="s">
        <v>6223</v>
      </c>
      <c r="J401" s="719"/>
      <c r="K401" s="427"/>
      <c r="M401" s="29" t="s">
        <v>6225</v>
      </c>
      <c r="P401" s="719"/>
      <c r="Q401" s="427"/>
    </row>
    <row r="402" spans="1:44" ht="8.25" customHeight="1">
      <c r="A402" s="40"/>
      <c r="C402" s="4222"/>
      <c r="D402" s="4222"/>
      <c r="E402" s="4222"/>
      <c r="F402" s="4222"/>
      <c r="J402" s="1533"/>
      <c r="L402" s="33"/>
      <c r="M402" s="35"/>
      <c r="N402" s="48"/>
    </row>
    <row r="403" spans="1:44" s="72" customFormat="1" ht="12.75" customHeight="1">
      <c r="A403" s="107"/>
      <c r="B403" s="153"/>
      <c r="D403" s="892"/>
      <c r="E403" s="892"/>
      <c r="F403" s="892"/>
      <c r="G403" s="892"/>
      <c r="H403" s="892"/>
      <c r="I403" s="4230" t="s">
        <v>6180</v>
      </c>
      <c r="J403" s="4230" t="s">
        <v>6181</v>
      </c>
      <c r="K403" s="4230" t="s">
        <v>6183</v>
      </c>
      <c r="L403" s="4230"/>
      <c r="M403" s="4230"/>
      <c r="N403" s="4269" t="s">
        <v>6182</v>
      </c>
      <c r="O403" s="48"/>
      <c r="P403" s="4393" t="s">
        <v>6697</v>
      </c>
      <c r="Q403" s="439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2"/>
      <c r="J404" s="4230"/>
      <c r="K404" s="4230"/>
      <c r="L404" s="4230"/>
      <c r="M404" s="4230"/>
      <c r="N404" s="4270"/>
      <c r="O404" s="48"/>
      <c r="P404" s="4394"/>
      <c r="Q404" s="439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2" t="s">
        <v>6294</v>
      </c>
      <c r="D405" s="4222"/>
      <c r="E405" s="4222"/>
      <c r="F405" s="4222"/>
      <c r="G405" s="4222"/>
      <c r="H405" s="4222"/>
      <c r="I405" s="365">
        <f>K290</f>
        <v>0</v>
      </c>
      <c r="J405" s="1762"/>
      <c r="K405" s="4231"/>
      <c r="L405" s="4231"/>
      <c r="M405" s="4232"/>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2"/>
      <c r="D406" s="4222"/>
      <c r="E406" s="4222"/>
      <c r="F406" s="4222"/>
      <c r="G406" s="4222"/>
      <c r="H406" s="4222"/>
      <c r="I406" s="248"/>
      <c r="J406" s="1763"/>
      <c r="K406" s="4271"/>
      <c r="L406" s="4271"/>
      <c r="M406" s="42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31"/>
      <c r="L408" s="4231"/>
      <c r="M408" s="423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1"/>
      <c r="L409" s="4271"/>
      <c r="M409" s="42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2" t="s">
        <v>6295</v>
      </c>
      <c r="D411" s="4222"/>
      <c r="E411" s="4222"/>
      <c r="F411" s="4222"/>
      <c r="G411" s="4222"/>
      <c r="H411" s="4222"/>
      <c r="I411" s="365">
        <f>K293</f>
        <v>0</v>
      </c>
      <c r="J411" s="1762"/>
      <c r="K411" s="4231"/>
      <c r="L411" s="4231"/>
      <c r="M411" s="4232"/>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2"/>
      <c r="D412" s="4222"/>
      <c r="E412" s="4222"/>
      <c r="F412" s="4222"/>
      <c r="G412" s="4222"/>
      <c r="H412" s="4222"/>
      <c r="J412" s="1763"/>
      <c r="K412" s="4271"/>
      <c r="L412" s="4271"/>
      <c r="M412" s="42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227" t="s">
        <v>6228</v>
      </c>
      <c r="E416" s="352" t="s">
        <v>2262</v>
      </c>
      <c r="F416" s="44" t="s">
        <v>3288</v>
      </c>
      <c r="G416" s="4223"/>
      <c r="H416" s="4224"/>
      <c r="I416" s="4224"/>
      <c r="J416" s="4224"/>
      <c r="K416" s="4225"/>
      <c r="L416" s="352"/>
    </row>
    <row r="417" spans="1:31" ht="12" customHeight="1">
      <c r="B417" s="115"/>
      <c r="D417" s="4227"/>
      <c r="E417" s="352" t="s">
        <v>3939</v>
      </c>
      <c r="F417" s="44" t="s">
        <v>3940</v>
      </c>
      <c r="G417" s="4280" t="s">
        <v>3205</v>
      </c>
      <c r="H417" s="4281"/>
      <c r="I417" s="4282"/>
      <c r="J417" s="44" t="s">
        <v>3801</v>
      </c>
      <c r="K417" s="115"/>
      <c r="M417" s="4223"/>
      <c r="N417" s="4224"/>
      <c r="O417" s="4224"/>
      <c r="P417" s="4224"/>
      <c r="Q417" s="422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3"/>
      <c r="C419" s="4274"/>
      <c r="D419" s="4274"/>
      <c r="E419" s="4274"/>
      <c r="F419" s="4274"/>
      <c r="G419" s="4274"/>
      <c r="H419" s="4274"/>
      <c r="I419" s="4274"/>
      <c r="J419" s="4274"/>
      <c r="K419" s="4274"/>
      <c r="L419" s="4274"/>
      <c r="M419" s="4274"/>
      <c r="N419" s="4274"/>
      <c r="O419" s="4274"/>
      <c r="P419" s="4274"/>
      <c r="Q419" s="427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226" t="s">
        <v>4033</v>
      </c>
      <c r="C421" s="4222"/>
      <c r="D421" s="4222"/>
      <c r="E421" s="4222"/>
      <c r="F421" s="4222"/>
      <c r="G421" s="4222"/>
      <c r="H421" s="4222"/>
      <c r="I421" s="4222"/>
      <c r="J421" s="4222"/>
      <c r="K421" s="4222"/>
      <c r="L421" s="4222"/>
      <c r="M421" s="4222"/>
      <c r="N421" s="4222"/>
    </row>
    <row r="422" spans="1:31" s="115" customFormat="1" ht="45" customHeight="1">
      <c r="B422" s="4222" t="s">
        <v>6542</v>
      </c>
      <c r="C422" s="4222"/>
      <c r="D422" s="4222"/>
      <c r="E422" s="4222"/>
      <c r="F422" s="4222"/>
      <c r="G422" s="4222"/>
      <c r="H422" s="4222"/>
      <c r="I422" s="4222"/>
      <c r="J422" s="4222"/>
      <c r="K422" s="4222"/>
      <c r="L422" s="4222"/>
      <c r="M422" s="4222"/>
      <c r="N422" s="4222"/>
      <c r="O422" s="128" t="s">
        <v>1842</v>
      </c>
      <c r="P422" s="905"/>
      <c r="Q422" s="906"/>
    </row>
    <row r="423" spans="1:31" ht="12" customHeight="1">
      <c r="B423" s="109" t="s">
        <v>3240</v>
      </c>
      <c r="D423" s="109"/>
      <c r="E423" s="109"/>
      <c r="F423" s="109"/>
      <c r="G423" s="109"/>
      <c r="H423" s="33"/>
      <c r="I423" s="891"/>
      <c r="J423" s="891"/>
      <c r="K423" s="891"/>
    </row>
    <row r="424" spans="1:31" ht="33.6" customHeight="1">
      <c r="A424" s="4236"/>
      <c r="B424" s="4237"/>
      <c r="C424" s="4237"/>
      <c r="D424" s="4237"/>
      <c r="E424" s="4237"/>
      <c r="F424" s="4237"/>
      <c r="G424" s="4237"/>
      <c r="H424" s="4237"/>
      <c r="I424" s="4237"/>
      <c r="J424" s="4237"/>
      <c r="K424" s="4237"/>
      <c r="L424" s="4237"/>
      <c r="M424" s="4237"/>
      <c r="N424" s="4237"/>
      <c r="O424" s="4237"/>
      <c r="P424" s="4237"/>
      <c r="Q424" s="4238"/>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233"/>
      <c r="B426" s="4234"/>
      <c r="C426" s="4234"/>
      <c r="D426" s="4234"/>
      <c r="E426" s="4234"/>
      <c r="F426" s="4234"/>
      <c r="G426" s="4234"/>
      <c r="H426" s="4234"/>
      <c r="I426" s="4234"/>
      <c r="J426" s="4234"/>
      <c r="K426" s="4234"/>
      <c r="L426" s="4234"/>
      <c r="M426" s="4234"/>
      <c r="N426" s="4234"/>
      <c r="O426" s="4234"/>
      <c r="P426" s="4234"/>
      <c r="Q426" s="423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1730</v>
      </c>
      <c r="P428" s="4228"/>
      <c r="Q428" s="4229"/>
    </row>
    <row r="429" spans="1:31" ht="14.1" customHeight="1">
      <c r="B429" s="66" t="s">
        <v>3896</v>
      </c>
      <c r="C429" s="4"/>
      <c r="D429" s="66"/>
      <c r="E429" s="887"/>
      <c r="F429" s="887"/>
      <c r="G429" s="887"/>
      <c r="H429" s="887"/>
    </row>
    <row r="430" spans="1:31" s="102" customFormat="1" ht="21.75" customHeight="1">
      <c r="A430" s="110" t="s">
        <v>1840</v>
      </c>
      <c r="B430" s="4222" t="s">
        <v>3311</v>
      </c>
      <c r="C430" s="4222"/>
      <c r="D430" s="4222"/>
      <c r="E430" s="4222"/>
      <c r="F430" s="4222"/>
      <c r="G430" s="4222"/>
      <c r="H430" s="4222"/>
      <c r="I430" s="4222"/>
      <c r="J430" s="4222"/>
      <c r="K430" s="4222"/>
      <c r="L430" s="4222"/>
      <c r="M430" s="4222"/>
      <c r="N430" s="4222"/>
      <c r="O430" s="128" t="s">
        <v>1840</v>
      </c>
      <c r="P430" s="894"/>
      <c r="Q430" s="893"/>
    </row>
    <row r="431" spans="1:31" s="102" customFormat="1" ht="22.5" customHeight="1">
      <c r="A431" s="110" t="s">
        <v>1842</v>
      </c>
      <c r="B431" s="4222" t="s">
        <v>3310</v>
      </c>
      <c r="C431" s="4222"/>
      <c r="D431" s="4222"/>
      <c r="E431" s="4222"/>
      <c r="F431" s="4222"/>
      <c r="G431" s="4222"/>
      <c r="H431" s="4222"/>
      <c r="I431" s="4222"/>
      <c r="J431" s="4222"/>
      <c r="K431" s="4222"/>
      <c r="L431" s="4222"/>
      <c r="M431" s="4222"/>
      <c r="N431" s="4222"/>
      <c r="O431" s="128" t="s">
        <v>1842</v>
      </c>
      <c r="P431" s="431"/>
      <c r="Q431" s="422"/>
    </row>
    <row r="432" spans="1:31" s="102" customFormat="1" ht="22.5" customHeight="1">
      <c r="B432" s="1220" t="s">
        <v>1614</v>
      </c>
      <c r="C432" s="4222" t="s">
        <v>3866</v>
      </c>
      <c r="D432" s="4222"/>
      <c r="E432" s="4222"/>
      <c r="F432" s="4222"/>
      <c r="G432" s="4222"/>
      <c r="H432" s="4222"/>
      <c r="I432" s="4222"/>
      <c r="J432" s="4222"/>
      <c r="K432" s="4222"/>
      <c r="L432" s="4222"/>
      <c r="M432" s="4222"/>
      <c r="N432" s="4222"/>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2" t="s">
        <v>3868</v>
      </c>
      <c r="D434" s="4222"/>
      <c r="E434" s="4222"/>
      <c r="F434" s="4222"/>
      <c r="G434" s="4222"/>
      <c r="H434" s="4222"/>
      <c r="I434" s="4222"/>
      <c r="J434" s="4222"/>
      <c r="K434" s="4222"/>
      <c r="L434" s="4222"/>
      <c r="M434" s="4222"/>
      <c r="N434" s="4222"/>
      <c r="O434" s="128" t="s">
        <v>1616</v>
      </c>
      <c r="P434" s="431"/>
      <c r="Q434" s="422"/>
    </row>
    <row r="435" spans="1:31" s="102" customFormat="1" ht="22.5" customHeight="1">
      <c r="B435" s="372" t="s">
        <v>2181</v>
      </c>
      <c r="C435" s="4222" t="s">
        <v>3869</v>
      </c>
      <c r="D435" s="4222"/>
      <c r="E435" s="4222"/>
      <c r="F435" s="4222"/>
      <c r="G435" s="4222"/>
      <c r="H435" s="4222"/>
      <c r="I435" s="4222"/>
      <c r="J435" s="4222"/>
      <c r="K435" s="4222"/>
      <c r="L435" s="4222"/>
      <c r="M435" s="4222"/>
      <c r="N435" s="4222"/>
      <c r="O435" s="128" t="s">
        <v>2181</v>
      </c>
      <c r="P435" s="431"/>
      <c r="Q435" s="422"/>
    </row>
    <row r="436" spans="1:31" s="102" customFormat="1" ht="22.5" customHeight="1">
      <c r="A436" s="110" t="s">
        <v>698</v>
      </c>
      <c r="B436" s="4222" t="s">
        <v>3312</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c r="A437" s="110" t="s">
        <v>1961</v>
      </c>
      <c r="B437" s="4222" t="s">
        <v>3917</v>
      </c>
      <c r="C437" s="4222"/>
      <c r="D437" s="4222"/>
      <c r="E437" s="4222"/>
      <c r="F437" s="4222"/>
      <c r="G437" s="4222"/>
      <c r="H437" s="4222"/>
      <c r="I437" s="4222"/>
      <c r="J437" s="4222"/>
      <c r="K437" s="4222"/>
      <c r="L437" s="4222"/>
      <c r="M437" s="4222"/>
      <c r="N437" s="4222"/>
      <c r="O437" s="128" t="s">
        <v>1961</v>
      </c>
      <c r="P437" s="431"/>
      <c r="Q437" s="422"/>
    </row>
    <row r="438" spans="1:31" s="102" customFormat="1" ht="21.75" customHeight="1">
      <c r="A438" s="110" t="s">
        <v>1612</v>
      </c>
      <c r="B438" s="4222" t="s">
        <v>3918</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c r="A439" s="110" t="s">
        <v>1613</v>
      </c>
      <c r="B439" s="4222" t="s">
        <v>3951</v>
      </c>
      <c r="C439" s="4222"/>
      <c r="D439" s="4222"/>
      <c r="E439" s="4222"/>
      <c r="F439" s="4222"/>
      <c r="G439" s="4222"/>
      <c r="H439" s="4222"/>
      <c r="I439" s="4222"/>
      <c r="J439" s="4222"/>
      <c r="K439" s="4222"/>
      <c r="L439" s="4222"/>
      <c r="M439" s="4222"/>
      <c r="N439" s="422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6"/>
      <c r="B441" s="4237"/>
      <c r="C441" s="4237"/>
      <c r="D441" s="4237"/>
      <c r="E441" s="4237"/>
      <c r="F441" s="4237"/>
      <c r="G441" s="4237"/>
      <c r="H441" s="4237"/>
      <c r="I441" s="4237"/>
      <c r="J441" s="4237"/>
      <c r="K441" s="4237"/>
      <c r="L441" s="4237"/>
      <c r="M441" s="4237"/>
      <c r="N441" s="4237"/>
      <c r="O441" s="4237"/>
      <c r="P441" s="4237"/>
      <c r="Q441" s="4238"/>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33"/>
      <c r="B443" s="4234"/>
      <c r="C443" s="4234"/>
      <c r="D443" s="4234"/>
      <c r="E443" s="4234"/>
      <c r="F443" s="4234"/>
      <c r="G443" s="4234"/>
      <c r="H443" s="4234"/>
      <c r="I443" s="4234"/>
      <c r="J443" s="4234"/>
      <c r="K443" s="4234"/>
      <c r="L443" s="4234"/>
      <c r="M443" s="4234"/>
      <c r="N443" s="4234"/>
      <c r="O443" s="4234"/>
      <c r="P443" s="4234"/>
      <c r="Q443" s="423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1730</v>
      </c>
      <c r="P445" s="4228"/>
      <c r="Q445" s="422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6"/>
      <c r="B447" s="4237"/>
      <c r="C447" s="4237"/>
      <c r="D447" s="4237"/>
      <c r="E447" s="4237"/>
      <c r="F447" s="4237"/>
      <c r="G447" s="4237"/>
      <c r="H447" s="4237"/>
      <c r="I447" s="4237"/>
      <c r="J447" s="4237"/>
      <c r="K447" s="4237"/>
      <c r="L447" s="4237"/>
      <c r="M447" s="4237"/>
      <c r="N447" s="4237"/>
      <c r="O447" s="4237"/>
      <c r="P447" s="4237"/>
      <c r="Q447" s="4238"/>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33"/>
      <c r="B449" s="4234"/>
      <c r="C449" s="4234"/>
      <c r="D449" s="4234"/>
      <c r="E449" s="4234"/>
      <c r="F449" s="4234"/>
      <c r="G449" s="4234"/>
      <c r="H449" s="4234"/>
      <c r="I449" s="4234"/>
      <c r="J449" s="4234"/>
      <c r="K449" s="4234"/>
      <c r="L449" s="4234"/>
      <c r="M449" s="4234"/>
      <c r="N449" s="4234"/>
      <c r="O449" s="4234"/>
      <c r="P449" s="4234"/>
      <c r="Q449" s="423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1952</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1979</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1974</v>
      </c>
      <c r="J462" s="1875" t="s">
        <v>1117</v>
      </c>
      <c r="N462" s="808"/>
      <c r="O462" s="1875" t="s">
        <v>4050</v>
      </c>
      <c r="P462" s="1876"/>
      <c r="R462" s="44"/>
    </row>
    <row r="463" spans="1:18" s="807" customFormat="1" ht="11.25">
      <c r="A463" s="44"/>
      <c r="B463" s="44"/>
      <c r="C463" s="1877" t="s">
        <v>1975</v>
      </c>
      <c r="J463" s="1875" t="s">
        <v>1116</v>
      </c>
      <c r="N463" s="808"/>
      <c r="O463" s="807" t="s">
        <v>3278</v>
      </c>
      <c r="P463" s="1876"/>
      <c r="R463" s="44"/>
    </row>
    <row r="464" spans="1:18" s="807" customFormat="1" ht="11.25">
      <c r="A464" s="44"/>
      <c r="B464" s="44"/>
      <c r="C464" s="1877" t="s">
        <v>1976</v>
      </c>
      <c r="J464" s="1875" t="s">
        <v>1603</v>
      </c>
      <c r="N464" s="808"/>
      <c r="O464" s="807" t="s">
        <v>3279</v>
      </c>
      <c r="P464" s="1876"/>
      <c r="R464" s="44"/>
    </row>
    <row r="465" spans="1:22" s="807" customFormat="1" ht="11.25">
      <c r="A465" s="44"/>
      <c r="B465" s="44"/>
      <c r="C465" s="1877" t="s">
        <v>1977</v>
      </c>
      <c r="J465" s="1875" t="s">
        <v>1546</v>
      </c>
      <c r="N465" s="808"/>
      <c r="O465" s="1875"/>
      <c r="P465" s="1876"/>
      <c r="R465" s="44"/>
    </row>
    <row r="466" spans="1:22" s="807" customFormat="1" ht="11.25">
      <c r="A466" s="44"/>
      <c r="B466" s="44"/>
      <c r="C466" s="1877" t="s">
        <v>1978</v>
      </c>
      <c r="J466" s="1875" t="s">
        <v>1538</v>
      </c>
      <c r="N466" s="808"/>
      <c r="O466" s="1876"/>
      <c r="P466" s="1876"/>
      <c r="R466" s="44"/>
    </row>
    <row r="467" spans="1:22" s="807" customFormat="1" ht="11.25">
      <c r="A467" s="44"/>
      <c r="B467" s="44"/>
      <c r="C467" s="1877" t="s">
        <v>1311</v>
      </c>
      <c r="J467" s="1875" t="s">
        <v>1951</v>
      </c>
      <c r="N467" s="808"/>
      <c r="O467" s="1875"/>
      <c r="P467" s="1876"/>
      <c r="R467" s="44"/>
    </row>
    <row r="468" spans="1:22" s="807" customFormat="1" ht="11.25">
      <c r="A468" s="44"/>
      <c r="B468" s="44"/>
      <c r="C468" s="1877" t="s">
        <v>2107</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2000</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1740</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1864</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3249</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2071</v>
      </c>
      <c r="R493" s="44"/>
    </row>
    <row r="494" spans="1:18" s="807" customFormat="1" ht="11.25">
      <c r="A494" s="44"/>
      <c r="B494" s="44"/>
      <c r="C494" s="807" t="s">
        <v>1019</v>
      </c>
      <c r="K494" s="807" t="s">
        <v>2146</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1964</v>
      </c>
      <c r="K497" s="807" t="s">
        <v>6202</v>
      </c>
      <c r="R497" s="44"/>
    </row>
    <row r="498" spans="1:18" s="807" customFormat="1" ht="11.25">
      <c r="A498" s="44"/>
      <c r="B498" s="44"/>
      <c r="C498" s="807" t="s">
        <v>162</v>
      </c>
      <c r="K498" s="807" t="s">
        <v>6305</v>
      </c>
      <c r="R498" s="44"/>
    </row>
    <row r="499" spans="1:18" s="807" customFormat="1" ht="11.25">
      <c r="A499" s="44"/>
      <c r="B499" s="44"/>
      <c r="K499" s="1878" t="s">
        <v>1808</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1937</v>
      </c>
      <c r="M508" s="807" t="s">
        <v>3848</v>
      </c>
      <c r="R508" s="44"/>
    </row>
    <row r="509" spans="1:18" s="807" customFormat="1" ht="11.25">
      <c r="A509" s="44"/>
      <c r="B509" s="44"/>
      <c r="C509" s="807" t="s">
        <v>2340</v>
      </c>
      <c r="M509" s="807" t="s">
        <v>3879</v>
      </c>
      <c r="R509" s="44"/>
    </row>
    <row r="510" spans="1:18" s="807" customFormat="1" ht="11.25">
      <c r="A510" s="44"/>
      <c r="B510" s="44"/>
      <c r="C510" s="807" t="s">
        <v>1938</v>
      </c>
      <c r="M510" s="807" t="s">
        <v>1540</v>
      </c>
      <c r="R510" s="44"/>
    </row>
    <row r="511" spans="1:18" s="807" customFormat="1" ht="11.25">
      <c r="A511" s="44"/>
      <c r="B511" s="44"/>
      <c r="C511" s="807" t="s">
        <v>1809</v>
      </c>
      <c r="M511" s="807" t="s">
        <v>3849</v>
      </c>
      <c r="R511" s="44"/>
    </row>
    <row r="512" spans="1:18" s="807" customFormat="1" ht="11.25">
      <c r="A512" s="44"/>
      <c r="B512" s="44"/>
      <c r="C512" s="807" t="s">
        <v>548</v>
      </c>
      <c r="M512" s="807" t="s">
        <v>3898</v>
      </c>
      <c r="R512" s="44"/>
    </row>
    <row r="513" spans="1:18" s="807" customFormat="1" ht="11.25">
      <c r="A513" s="44"/>
      <c r="B513" s="44"/>
      <c r="C513" s="807" t="s">
        <v>2034</v>
      </c>
      <c r="M513" s="807" t="s">
        <v>3899</v>
      </c>
      <c r="R513" s="44"/>
    </row>
    <row r="514" spans="1:18" s="807" customFormat="1" ht="11.25">
      <c r="A514" s="44"/>
      <c r="B514" s="44"/>
      <c r="C514" s="807" t="s">
        <v>30</v>
      </c>
      <c r="M514" s="807" t="s">
        <v>3850</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3254</v>
      </c>
      <c r="R521" s="44"/>
    </row>
    <row r="522" spans="1:18" s="807" customFormat="1" ht="11.25">
      <c r="A522" s="44"/>
      <c r="B522" s="44"/>
      <c r="M522" s="807" t="s">
        <v>3327</v>
      </c>
      <c r="R522" s="44"/>
    </row>
    <row r="523" spans="1:18" s="807" customFormat="1" ht="11.25">
      <c r="A523" s="44"/>
      <c r="B523" s="44"/>
      <c r="D523" s="1879" t="s">
        <v>1887</v>
      </c>
      <c r="M523" s="807" t="s">
        <v>3255</v>
      </c>
      <c r="R523" s="44"/>
    </row>
    <row r="524" spans="1:18" s="807" customFormat="1">
      <c r="A524" s="44"/>
      <c r="B524" s="44"/>
      <c r="J524" s="357"/>
      <c r="M524" s="807" t="s">
        <v>3328</v>
      </c>
      <c r="R524" s="44"/>
    </row>
    <row r="525" spans="1:18" s="357" customFormat="1">
      <c r="A525" s="115"/>
      <c r="B525" s="115"/>
      <c r="M525" s="807" t="s">
        <v>3256</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6" t="s">
        <v>6523</v>
      </c>
      <c r="B2" s="4426"/>
      <c r="C2" s="147"/>
      <c r="D2" s="795">
        <v>2021</v>
      </c>
      <c r="E2" s="144"/>
      <c r="F2" s="4420" t="s">
        <v>2999</v>
      </c>
      <c r="G2" s="4421"/>
      <c r="H2" s="4421"/>
      <c r="I2" s="4421"/>
      <c r="J2" s="4422"/>
      <c r="K2" s="234"/>
      <c r="L2" s="443" t="s">
        <v>3142</v>
      </c>
      <c r="M2" s="234"/>
      <c r="N2" s="4420" t="s">
        <v>2999</v>
      </c>
      <c r="O2" s="4421"/>
      <c r="P2" s="4421"/>
      <c r="Q2" s="4421"/>
      <c r="R2" s="4422"/>
      <c r="S2" s="241"/>
      <c r="T2" s="144"/>
      <c r="U2" s="144"/>
      <c r="V2" s="322"/>
      <c r="W2" s="322"/>
      <c r="X2" s="322"/>
      <c r="AA2" s="68"/>
      <c r="AB2" s="68"/>
    </row>
    <row r="3" spans="1:28" s="145" customFormat="1" ht="11.65" customHeight="1">
      <c r="A3" s="4426"/>
      <c r="B3" s="4426"/>
      <c r="D3" s="444" t="s">
        <v>2400</v>
      </c>
      <c r="E3" s="444" t="s">
        <v>1219</v>
      </c>
      <c r="F3" s="445">
        <v>0</v>
      </c>
      <c r="G3" s="446">
        <v>1</v>
      </c>
      <c r="H3" s="834">
        <v>2</v>
      </c>
      <c r="I3" s="834">
        <v>3</v>
      </c>
      <c r="J3" s="447" t="s">
        <v>2996</v>
      </c>
      <c r="L3" s="444" t="s">
        <v>2400</v>
      </c>
      <c r="M3" s="444" t="s">
        <v>1219</v>
      </c>
      <c r="N3" s="445">
        <v>0</v>
      </c>
      <c r="O3" s="446">
        <v>1</v>
      </c>
      <c r="P3" s="834">
        <v>2</v>
      </c>
      <c r="Q3" s="834">
        <v>3</v>
      </c>
      <c r="R3" s="447" t="s">
        <v>2996</v>
      </c>
      <c r="S3" s="241"/>
      <c r="T3" s="144"/>
      <c r="U3" s="144"/>
      <c r="V3" s="322"/>
      <c r="W3" s="322"/>
      <c r="X3" s="322"/>
      <c r="AA3" s="68"/>
      <c r="AB3" s="68"/>
    </row>
    <row r="4" spans="1:28" s="145" customFormat="1" ht="11.65" customHeight="1">
      <c r="A4" s="4426"/>
      <c r="B4" s="442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1730</v>
      </c>
      <c r="P44" s="4228"/>
      <c r="Q44" s="4229"/>
    </row>
    <row r="45" spans="1:295" s="28" customFormat="1" ht="11.25" customHeight="1">
      <c r="A45" s="4436"/>
      <c r="B45" s="4436"/>
      <c r="C45" s="4436"/>
      <c r="D45" s="4436"/>
      <c r="E45" s="4436"/>
      <c r="F45" s="1245"/>
      <c r="G45" s="4449" t="s">
        <v>2465</v>
      </c>
      <c r="H45" s="4450"/>
      <c r="I45" s="66"/>
      <c r="J45" s="35"/>
      <c r="K45" s="4451" t="s">
        <v>3165</v>
      </c>
      <c r="L45" s="4452"/>
      <c r="M45" s="4452"/>
      <c r="N45" s="4453"/>
    </row>
    <row r="46" spans="1:295" s="28" customFormat="1" ht="11.25" customHeight="1">
      <c r="A46" s="4436"/>
      <c r="B46" s="4436"/>
      <c r="C46" s="4436"/>
      <c r="D46" s="4436"/>
      <c r="E46" s="4436"/>
      <c r="F46" s="1245"/>
      <c r="G46" s="4454" t="s">
        <v>333</v>
      </c>
      <c r="H46" s="4455"/>
      <c r="I46" s="66"/>
      <c r="J46" s="35"/>
      <c r="K46" s="4429" t="s">
        <v>3166</v>
      </c>
      <c r="L46" s="4430"/>
      <c r="M46" s="4430"/>
      <c r="N46" s="4431"/>
      <c r="P46" s="405" t="s">
        <v>2474</v>
      </c>
      <c r="Q46" s="74"/>
    </row>
    <row r="47" spans="1:295" s="28" customFormat="1" ht="4.5" customHeight="1">
      <c r="A47" s="1245"/>
      <c r="B47" s="1245"/>
      <c r="C47" s="1245"/>
      <c r="D47" s="1245"/>
      <c r="E47" s="1245"/>
      <c r="F47" s="1245"/>
      <c r="G47" s="66"/>
      <c r="H47" s="66"/>
      <c r="I47" s="66"/>
      <c r="J47" s="35"/>
      <c r="K47" s="4287"/>
      <c r="L47" s="4287"/>
      <c r="M47" s="4287"/>
      <c r="N47" s="4287"/>
      <c r="P47" s="4434" t="s">
        <v>3935</v>
      </c>
      <c r="Q47" s="4434"/>
    </row>
    <row r="48" spans="1:295" s="62" customFormat="1" ht="10.5" customHeight="1">
      <c r="D48" s="491" t="s">
        <v>2464</v>
      </c>
      <c r="E48" s="28"/>
      <c r="F48" s="492" t="s">
        <v>3067</v>
      </c>
      <c r="G48" s="4424" t="s">
        <v>3892</v>
      </c>
      <c r="H48" s="4424"/>
      <c r="I48" s="4424"/>
      <c r="J48" s="28"/>
      <c r="K48" s="492" t="s">
        <v>3067</v>
      </c>
      <c r="L48" s="4424" t="s">
        <v>3891</v>
      </c>
      <c r="M48" s="4424"/>
      <c r="N48" s="4424"/>
      <c r="O48" s="28"/>
      <c r="P48" s="4434"/>
      <c r="Q48" s="443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8" t="s">
        <v>2998</v>
      </c>
      <c r="B49" s="4428"/>
      <c r="C49" s="442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5"/>
      <c r="Q49" s="443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8"/>
      <c r="B50" s="4428"/>
      <c r="C50" s="4428"/>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1" t="str">
        <f>IF('Part I-Project Identification'!$F$26="","",VLOOKUP('Part I-Project Identification'!$J$26,'DCA Underwriting Assumptions'!$G$141:$N$300,8,FALSE))</f>
        <v>Atlanta</v>
      </c>
      <c r="Q50" s="444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8"/>
      <c r="B51" s="4428"/>
      <c r="C51" s="4428"/>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3"/>
      <c r="Q51" s="444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8"/>
      <c r="B52" s="4428"/>
      <c r="C52" s="4428"/>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3" t="s">
        <v>3936</v>
      </c>
      <c r="Q52" s="43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2">
        <f>'Part III-A-Uses of Funds'!$G$146</f>
        <v>60559835.021915421</v>
      </c>
      <c r="Q53" s="443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3" t="s">
        <v>3927</v>
      </c>
      <c r="Q54" s="4393"/>
      <c r="R54" s="4423" t="s">
        <v>6299</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8" t="s">
        <v>2993</v>
      </c>
      <c r="B56" s="4428"/>
      <c r="C56" s="442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2">
        <f>'Part III-A-Uses of Funds'!$G$146-'Part III-A-Uses of Funds'!$G$92-'Part III-A-Uses of Funds'!$G$114-'Part III-A-Uses of Funds'!$G$130-'Part III-A-Uses of Funds'!$G$131-'Part III-A-Uses of Funds'!$G$132</f>
        <v>57867907.708166346</v>
      </c>
      <c r="Q56" s="443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8"/>
      <c r="B57" s="4428"/>
      <c r="C57" s="4428"/>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3364</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8"/>
      <c r="B58" s="4428"/>
      <c r="C58" s="4428"/>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5"/>
      <c r="Q58" s="4446"/>
      <c r="R58" s="328"/>
      <c r="S58" s="4406" t="s">
        <v>3930</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7"/>
      <c r="Q59" s="4448"/>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7" t="s">
        <v>3161</v>
      </c>
      <c r="Q60" s="4427"/>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7" t="s">
        <v>3162</v>
      </c>
      <c r="Q64" s="4427"/>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8" t="s">
        <v>2491</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f>IF('Part V-Revenues &amp; Expenses'!$L$153 =0,"",'Part V-Revenues &amp; Expenses'!$L$153)</f>
        <v>60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60 units = </v>
      </c>
      <c r="I71" s="1244">
        <f>IF(F71="","",F71*G71)</f>
        <v>11721099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7">
        <f>IF(P58&gt;1,P58, IF(OR('Part VIII Scoring Criteria OLD'!$O$113='Part VIII Scoring Criteria OLD'!$M$113,AND('Part III-A-Uses of Funds'!$T$179="Yes",'Part VIII Scoring Criteria OLD'!$O$378&gt;0)),H77+M77,H77))</f>
        <v>52854229</v>
      </c>
      <c r="Q71" s="443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f>IF('Part V-Revenues &amp; Expenses'!$M$153 =0,"",'Part V-Revenues &amp; Expenses'!$M$153)</f>
        <v>100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100 units = </v>
      </c>
      <c r="I72" s="1244">
        <f>IF(F72="","",F72*G72)</f>
        <v>25116690</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39"/>
      <c r="Q72" s="444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f>IF('Part V-Revenues &amp; Expenses'!$N$153 =0,"",'Part V-Revenues &amp; Expenses'!$N$153)</f>
        <v>50</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50 units = </v>
      </c>
      <c r="I73" s="1244">
        <f>IF(F73="","",F73*G73)</f>
        <v>16016440.000000002</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5" t="s">
        <v>3448</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210</v>
      </c>
      <c r="G75" s="493"/>
      <c r="H75" s="871"/>
      <c r="I75" s="874">
        <f>SUM(I70:I74)</f>
        <v>52854229</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210</v>
      </c>
      <c r="G77" s="258"/>
      <c r="H77" s="4425">
        <f>I54+I61+I68+I75</f>
        <v>52854229</v>
      </c>
      <c r="I77" s="4425"/>
      <c r="J77" s="4425"/>
      <c r="K77" s="486">
        <f>K54+K61+K68+K75</f>
        <v>0</v>
      </c>
      <c r="L77" s="487"/>
      <c r="M77" s="4425">
        <f>N54+N61+N68+N75</f>
        <v>0</v>
      </c>
      <c r="N77" s="4425"/>
      <c r="O77" s="4425"/>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1729</v>
      </c>
      <c r="L78" s="686"/>
      <c r="M78" s="686"/>
      <c r="N78" s="686"/>
      <c r="O78" s="686"/>
      <c r="P78" s="4417"/>
      <c r="Q78" s="4417"/>
    </row>
    <row r="79" spans="1:295" s="28" customFormat="1" ht="10.5" customHeight="1">
      <c r="A79" s="4236"/>
      <c r="B79" s="4237"/>
      <c r="C79" s="4237"/>
      <c r="D79" s="4237"/>
      <c r="E79" s="4237"/>
      <c r="F79" s="4237"/>
      <c r="G79" s="4237"/>
      <c r="H79" s="4237"/>
      <c r="I79" s="4237"/>
      <c r="J79" s="4238"/>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Westbury, Decatur, DeKalb County</v>
      </c>
      <c r="B1" s="3341"/>
      <c r="C1" s="3341"/>
      <c r="D1" s="3341"/>
      <c r="E1" s="3341"/>
      <c r="F1" s="3341"/>
      <c r="G1" s="3341"/>
      <c r="H1" s="3341"/>
      <c r="I1" s="3341"/>
      <c r="J1" s="3341"/>
      <c r="K1" s="3341"/>
      <c r="L1" s="3341"/>
      <c r="M1" s="3341"/>
      <c r="N1" s="3341"/>
      <c r="O1" s="3341"/>
      <c r="P1" s="3342"/>
      <c r="Q1" s="4457" t="s">
        <v>6644</v>
      </c>
      <c r="R1" s="4457"/>
      <c r="S1" s="4457"/>
      <c r="T1" s="4457"/>
      <c r="U1" s="4457"/>
      <c r="V1" s="4457"/>
      <c r="W1" s="1969"/>
      <c r="X1" s="1927"/>
    </row>
    <row r="2" spans="1:25" s="28" customFormat="1" ht="4.3499999999999996" customHeight="1">
      <c r="A2" s="29"/>
      <c r="B2" s="29"/>
      <c r="C2" s="30"/>
      <c r="D2" s="29"/>
      <c r="E2" s="29"/>
      <c r="F2" s="29"/>
      <c r="G2" s="29"/>
      <c r="H2" s="29"/>
      <c r="I2" s="29"/>
      <c r="J2" s="29"/>
      <c r="K2" s="29"/>
      <c r="L2" s="29"/>
      <c r="M2" s="31"/>
      <c r="N2" s="53"/>
      <c r="O2" s="119"/>
      <c r="P2" s="119"/>
      <c r="Q2" s="4457"/>
      <c r="R2" s="4457"/>
      <c r="S2" s="4457"/>
      <c r="T2" s="4457"/>
      <c r="U2" s="4457"/>
      <c r="V2" s="4457"/>
      <c r="W2" s="1969"/>
      <c r="X2" s="1927"/>
    </row>
    <row r="3" spans="1:25" s="35" customFormat="1" ht="12" customHeight="1">
      <c r="A3" s="4508" t="s">
        <v>6658</v>
      </c>
      <c r="B3" s="4508"/>
      <c r="C3" s="4508"/>
      <c r="D3" s="4508"/>
      <c r="E3" s="4508"/>
      <c r="F3" s="4508"/>
      <c r="G3" s="4508"/>
      <c r="H3" s="4508"/>
      <c r="I3" s="4508"/>
      <c r="J3" s="4508"/>
      <c r="K3" s="4508"/>
      <c r="L3" s="4508"/>
      <c r="M3" s="670"/>
      <c r="N3" s="54"/>
      <c r="O3" s="63" t="s">
        <v>2049</v>
      </c>
      <c r="P3" s="914" t="s">
        <v>245</v>
      </c>
      <c r="Q3" s="4457"/>
      <c r="R3" s="4457"/>
      <c r="S3" s="4457"/>
      <c r="T3" s="4457"/>
      <c r="U3" s="4457"/>
      <c r="V3" s="4457"/>
      <c r="W3" s="1969"/>
      <c r="X3" s="1927"/>
    </row>
    <row r="4" spans="1:25" s="37" customFormat="1" ht="12" customHeight="1">
      <c r="A4" s="4508"/>
      <c r="B4" s="4508"/>
      <c r="C4" s="4508"/>
      <c r="D4" s="4508"/>
      <c r="E4" s="4508"/>
      <c r="F4" s="4508"/>
      <c r="G4" s="4508"/>
      <c r="H4" s="4508"/>
      <c r="I4" s="4508"/>
      <c r="J4" s="4508"/>
      <c r="K4" s="4508"/>
      <c r="L4" s="4508"/>
      <c r="M4" s="670"/>
      <c r="N4" s="64"/>
      <c r="O4" s="149" t="s">
        <v>2050</v>
      </c>
      <c r="P4" s="149" t="s">
        <v>2050</v>
      </c>
      <c r="Q4" s="4457"/>
      <c r="R4" s="4457"/>
      <c r="S4" s="4457"/>
      <c r="T4" s="4457"/>
      <c r="U4" s="4457"/>
      <c r="V4" s="4457"/>
    </row>
    <row r="5" spans="1:25" s="37" customFormat="1" ht="3" customHeight="1" thickBot="1">
      <c r="A5" s="35"/>
      <c r="B5" s="35"/>
      <c r="C5" s="35"/>
      <c r="D5" s="35"/>
      <c r="E5" s="35"/>
      <c r="F5" s="35"/>
      <c r="G5" s="35"/>
      <c r="H5" s="35"/>
      <c r="I5" s="35"/>
      <c r="J5" s="35"/>
      <c r="K5" s="35"/>
      <c r="M5" s="1633"/>
      <c r="N5" s="4"/>
      <c r="O5" s="119"/>
      <c r="P5" s="24"/>
      <c r="Q5" s="4457"/>
      <c r="R5" s="4457"/>
      <c r="S5" s="4457"/>
      <c r="T5" s="4457"/>
      <c r="U5" s="4457"/>
      <c r="V5" s="4457"/>
    </row>
    <row r="6" spans="1:25" s="37" customFormat="1" ht="13.5" customHeight="1" thickTop="1" thickBot="1">
      <c r="A6" s="35"/>
      <c r="B6" s="4603" t="str">
        <f>'Part I-Project Identification'!$A$6</f>
        <v>Sept 2023</v>
      </c>
      <c r="C6" s="4603"/>
      <c r="D6" s="4603"/>
      <c r="E6" s="4603"/>
      <c r="F6" s="4603"/>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00" t="s">
        <v>6495</v>
      </c>
      <c r="G12" s="4600"/>
      <c r="H12" s="4600"/>
      <c r="I12" s="4600"/>
      <c r="J12" s="4600"/>
      <c r="K12" s="4600"/>
      <c r="L12" s="4600"/>
      <c r="M12" s="4600"/>
      <c r="N12" s="4600"/>
      <c r="O12" s="1201" t="s">
        <v>3809</v>
      </c>
      <c r="P12" s="1202">
        <f>SUM(P13:P31)</f>
        <v>0</v>
      </c>
      <c r="Q12" s="4456" t="s">
        <v>6544</v>
      </c>
      <c r="R12" s="4456"/>
      <c r="S12" s="4456"/>
      <c r="T12" s="4456"/>
      <c r="U12" s="4456"/>
      <c r="V12" s="1179"/>
    </row>
    <row r="13" spans="1:25" s="35" customFormat="1" ht="10.5" customHeight="1">
      <c r="A13" s="924" t="s">
        <v>1668</v>
      </c>
      <c r="B13" s="921" t="s">
        <v>3393</v>
      </c>
      <c r="C13" s="922"/>
      <c r="D13" s="923"/>
      <c r="E13" s="1195">
        <f>$O$103</f>
        <v>0</v>
      </c>
      <c r="F13" s="4601">
        <f>$A$109</f>
        <v>0</v>
      </c>
      <c r="G13" s="4602"/>
      <c r="H13" s="4602"/>
      <c r="I13" s="4602"/>
      <c r="J13" s="4602"/>
      <c r="K13" s="4602"/>
      <c r="L13" s="4602"/>
      <c r="M13" s="4602"/>
      <c r="N13" s="4602"/>
      <c r="O13" s="4602"/>
      <c r="P13" s="1208"/>
      <c r="Q13" s="4456"/>
      <c r="R13" s="4456"/>
      <c r="S13" s="4456"/>
      <c r="T13" s="4456"/>
      <c r="U13" s="4456"/>
      <c r="V13" s="1179"/>
    </row>
    <row r="14" spans="1:25" s="35" customFormat="1" ht="10.5" customHeight="1">
      <c r="A14" s="924" t="s">
        <v>496</v>
      </c>
      <c r="B14" s="751" t="s">
        <v>4037</v>
      </c>
      <c r="C14" s="866"/>
      <c r="D14" s="925"/>
      <c r="E14" s="1771">
        <f>$O$113</f>
        <v>0</v>
      </c>
      <c r="F14" s="4476">
        <f>$A$147</f>
        <v>0</v>
      </c>
      <c r="G14" s="4477"/>
      <c r="H14" s="4477"/>
      <c r="I14" s="4477"/>
      <c r="J14" s="4477"/>
      <c r="K14" s="4477"/>
      <c r="L14" s="4477"/>
      <c r="M14" s="4477"/>
      <c r="N14" s="4477"/>
      <c r="O14" s="4478"/>
      <c r="P14" s="1209"/>
      <c r="Q14" s="4456"/>
      <c r="R14" s="4456"/>
      <c r="S14" s="4456"/>
      <c r="T14" s="4456"/>
      <c r="U14" s="4456"/>
    </row>
    <row r="15" spans="1:25" s="35" customFormat="1" ht="10.5" customHeight="1">
      <c r="A15" s="924" t="s">
        <v>720</v>
      </c>
      <c r="B15" s="751" t="s">
        <v>3338</v>
      </c>
      <c r="C15" s="866"/>
      <c r="D15" s="925"/>
      <c r="E15" s="1771">
        <f>$O$152</f>
        <v>0</v>
      </c>
      <c r="F15" s="4476">
        <f>$A$165</f>
        <v>0</v>
      </c>
      <c r="G15" s="4477"/>
      <c r="H15" s="4477"/>
      <c r="I15" s="4477"/>
      <c r="J15" s="4477"/>
      <c r="K15" s="4477"/>
      <c r="L15" s="4477"/>
      <c r="M15" s="4477"/>
      <c r="N15" s="4477"/>
      <c r="O15" s="4478"/>
      <c r="P15" s="1209"/>
      <c r="Q15" s="1975"/>
      <c r="R15" s="1975"/>
      <c r="S15" s="1975"/>
      <c r="T15" s="1975"/>
      <c r="U15" s="1975"/>
    </row>
    <row r="16" spans="1:25" s="35" customFormat="1" ht="10.5" customHeight="1">
      <c r="A16" s="1612" t="s">
        <v>280</v>
      </c>
      <c r="B16" s="751" t="s">
        <v>3394</v>
      </c>
      <c r="C16" s="866"/>
      <c r="D16" s="925"/>
      <c r="E16" s="1197">
        <f>$O$169</f>
        <v>0</v>
      </c>
      <c r="F16" s="4476">
        <f>$A$186</f>
        <v>0</v>
      </c>
      <c r="G16" s="4477"/>
      <c r="H16" s="4477"/>
      <c r="I16" s="4477"/>
      <c r="J16" s="4477"/>
      <c r="K16" s="4477"/>
      <c r="L16" s="4477"/>
      <c r="M16" s="4477"/>
      <c r="N16" s="4477"/>
      <c r="O16" s="4478"/>
      <c r="P16" s="1209"/>
      <c r="Q16" s="1975"/>
      <c r="R16" s="1975"/>
      <c r="S16" s="1975"/>
      <c r="T16" s="1975"/>
      <c r="U16" s="1975"/>
    </row>
    <row r="17" spans="1:35" s="35" customFormat="1" ht="10.5" customHeight="1">
      <c r="A17" s="924" t="s">
        <v>401</v>
      </c>
      <c r="B17" s="931" t="s">
        <v>3395</v>
      </c>
      <c r="C17" s="932"/>
      <c r="D17" s="933"/>
      <c r="E17" s="1198" t="s">
        <v>1610</v>
      </c>
      <c r="F17" s="4540">
        <f>$A$201</f>
        <v>0</v>
      </c>
      <c r="G17" s="4541"/>
      <c r="H17" s="4541"/>
      <c r="I17" s="4541"/>
      <c r="J17" s="4541"/>
      <c r="K17" s="4541"/>
      <c r="L17" s="4541"/>
      <c r="M17" s="4541"/>
      <c r="N17" s="4541"/>
      <c r="O17" s="4542"/>
      <c r="P17" s="1209"/>
      <c r="Q17" s="1975"/>
      <c r="R17" s="1975"/>
      <c r="S17" s="1975"/>
      <c r="T17" s="1975"/>
      <c r="U17" s="1975"/>
    </row>
    <row r="18" spans="1:35" s="35" customFormat="1" ht="10.5" customHeight="1">
      <c r="A18" s="924" t="s">
        <v>342</v>
      </c>
      <c r="B18" s="751" t="s">
        <v>4038</v>
      </c>
      <c r="C18" s="866"/>
      <c r="D18" s="925"/>
      <c r="E18" s="1196">
        <f>$O$205</f>
        <v>0</v>
      </c>
      <c r="F18" s="4476">
        <f>$A$220</f>
        <v>0</v>
      </c>
      <c r="G18" s="4477"/>
      <c r="H18" s="4477"/>
      <c r="I18" s="4477"/>
      <c r="J18" s="4477"/>
      <c r="K18" s="4477"/>
      <c r="L18" s="4477"/>
      <c r="M18" s="4477"/>
      <c r="N18" s="4477"/>
      <c r="O18" s="4478"/>
      <c r="P18" s="1209"/>
      <c r="Q18" s="4535" t="str">
        <f>IF(OR($A$109="",$A$147="",$A$165="",$A$186="",$A$201="",$A$220="",$A$238="",$A$248="",$A$257="",$A$281="",$A$306="",$A$314="",$A$338="",$A$374="",$A$393="",$A$414="",$A$420="",$A$430="",$A$438=""),"Some Applicant Scoring Justification boxes are empty! Check to see if points claimed.","")</f>
        <v>Some Applicant Scoring Justification boxes are empty! Check to see if points claimed.</v>
      </c>
      <c r="R18" s="4536"/>
      <c r="S18" s="4536"/>
    </row>
    <row r="19" spans="1:35" s="35" customFormat="1" ht="10.5" customHeight="1">
      <c r="A19" s="924" t="s">
        <v>4040</v>
      </c>
      <c r="B19" s="751" t="s">
        <v>3262</v>
      </c>
      <c r="C19" s="866"/>
      <c r="D19" s="925"/>
      <c r="E19" s="1196">
        <f>$O$233</f>
        <v>0</v>
      </c>
      <c r="F19" s="4476">
        <f>$A$238</f>
        <v>0</v>
      </c>
      <c r="G19" s="4477"/>
      <c r="H19" s="4477"/>
      <c r="I19" s="4477"/>
      <c r="J19" s="4477"/>
      <c r="K19" s="4477"/>
      <c r="L19" s="4477"/>
      <c r="M19" s="4477"/>
      <c r="N19" s="4477"/>
      <c r="O19" s="4478"/>
      <c r="P19" s="1209"/>
      <c r="Q19" s="4535"/>
      <c r="R19" s="4536"/>
      <c r="S19" s="4536"/>
    </row>
    <row r="20" spans="1:35" s="35" customFormat="1" ht="10.5" customHeight="1">
      <c r="A20" s="924" t="s">
        <v>4052</v>
      </c>
      <c r="B20" s="751" t="s">
        <v>4041</v>
      </c>
      <c r="C20" s="866"/>
      <c r="D20" s="925"/>
      <c r="E20" s="1198">
        <f>$O$242</f>
        <v>0</v>
      </c>
      <c r="F20" s="4476">
        <f>$A$248</f>
        <v>0</v>
      </c>
      <c r="G20" s="4477"/>
      <c r="H20" s="4477"/>
      <c r="I20" s="4477"/>
      <c r="J20" s="4477"/>
      <c r="K20" s="4477"/>
      <c r="L20" s="4477"/>
      <c r="M20" s="4477"/>
      <c r="N20" s="4477"/>
      <c r="O20" s="4478"/>
      <c r="P20" s="1209"/>
      <c r="Q20" s="4535"/>
      <c r="R20" s="4536"/>
      <c r="S20" s="4536"/>
    </row>
    <row r="21" spans="1:35" s="35" customFormat="1" ht="10.5" customHeight="1">
      <c r="A21" s="930" t="s">
        <v>6242</v>
      </c>
      <c r="B21" s="931" t="s">
        <v>4042</v>
      </c>
      <c r="C21" s="932"/>
      <c r="D21" s="933"/>
      <c r="E21" s="1199">
        <f>$O$252</f>
        <v>0</v>
      </c>
      <c r="F21" s="4540">
        <f>$A$257</f>
        <v>0</v>
      </c>
      <c r="G21" s="4541"/>
      <c r="H21" s="4541"/>
      <c r="I21" s="4541"/>
      <c r="J21" s="4541"/>
      <c r="K21" s="4541"/>
      <c r="L21" s="4541"/>
      <c r="M21" s="4541"/>
      <c r="N21" s="4541"/>
      <c r="O21" s="4542"/>
      <c r="P21" s="1209"/>
      <c r="Q21" s="4535"/>
      <c r="R21" s="4536"/>
      <c r="S21" s="4536"/>
    </row>
    <row r="22" spans="1:35" s="35" customFormat="1" ht="10.5" customHeight="1">
      <c r="A22" s="924" t="s">
        <v>6636</v>
      </c>
      <c r="B22" s="751" t="s">
        <v>6548</v>
      </c>
      <c r="C22" s="866"/>
      <c r="D22" s="925"/>
      <c r="E22" s="1196">
        <f>$O$274</f>
        <v>0</v>
      </c>
      <c r="F22" s="4476">
        <f>$A$281</f>
        <v>0</v>
      </c>
      <c r="G22" s="4477"/>
      <c r="H22" s="4477"/>
      <c r="I22" s="4477"/>
      <c r="J22" s="4477"/>
      <c r="K22" s="4477"/>
      <c r="L22" s="4477"/>
      <c r="M22" s="4477"/>
      <c r="N22" s="4477"/>
      <c r="O22" s="4478"/>
      <c r="P22" s="1209"/>
      <c r="Q22" s="4535"/>
      <c r="R22" s="4536"/>
      <c r="S22" s="4536"/>
    </row>
    <row r="23" spans="1:35" s="35" customFormat="1" ht="10.5" customHeight="1">
      <c r="A23" s="924" t="s">
        <v>6638</v>
      </c>
      <c r="B23" s="751" t="s">
        <v>6637</v>
      </c>
      <c r="C23" s="866"/>
      <c r="D23" s="925"/>
      <c r="E23" s="1196">
        <f>$O$285</f>
        <v>0</v>
      </c>
      <c r="F23" s="4476">
        <f>$A$306</f>
        <v>0</v>
      </c>
      <c r="G23" s="4477"/>
      <c r="H23" s="4477"/>
      <c r="I23" s="4477"/>
      <c r="J23" s="4477"/>
      <c r="K23" s="4477"/>
      <c r="L23" s="4477"/>
      <c r="M23" s="4477"/>
      <c r="N23" s="4477"/>
      <c r="O23" s="4478"/>
      <c r="P23" s="1209"/>
      <c r="Q23" s="4535"/>
      <c r="R23" s="4536"/>
      <c r="S23" s="4536"/>
    </row>
    <row r="24" spans="1:35" s="35" customFormat="1" ht="10.5" customHeight="1">
      <c r="A24" s="1612" t="s">
        <v>3368</v>
      </c>
      <c r="B24" s="1887" t="s">
        <v>6554</v>
      </c>
      <c r="C24" s="1888"/>
      <c r="D24" s="1889"/>
      <c r="E24" s="1197">
        <f>$O$310</f>
        <v>0</v>
      </c>
      <c r="F24" s="4529">
        <f>$A$314</f>
        <v>0</v>
      </c>
      <c r="G24" s="4530"/>
      <c r="H24" s="4530"/>
      <c r="I24" s="4530"/>
      <c r="J24" s="4530"/>
      <c r="K24" s="4530"/>
      <c r="L24" s="4530"/>
      <c r="M24" s="4530"/>
      <c r="N24" s="4530"/>
      <c r="O24" s="4531"/>
      <c r="P24" s="1209"/>
      <c r="Q24" s="4535"/>
      <c r="R24" s="4536"/>
      <c r="S24" s="4536"/>
    </row>
    <row r="25" spans="1:35" s="35" customFormat="1" ht="10.5" customHeight="1">
      <c r="A25" s="924" t="s">
        <v>3372</v>
      </c>
      <c r="B25" s="751" t="s">
        <v>3396</v>
      </c>
      <c r="C25" s="866"/>
      <c r="D25" s="925"/>
      <c r="E25" s="1196">
        <f>$O$334</f>
        <v>0</v>
      </c>
      <c r="F25" s="4476">
        <f>$A$338</f>
        <v>0</v>
      </c>
      <c r="G25" s="4477"/>
      <c r="H25" s="4477"/>
      <c r="I25" s="4477"/>
      <c r="J25" s="4477"/>
      <c r="K25" s="4477"/>
      <c r="L25" s="4477"/>
      <c r="M25" s="4477"/>
      <c r="N25" s="4477"/>
      <c r="O25" s="4478"/>
      <c r="P25" s="1209"/>
      <c r="Q25" s="4535"/>
      <c r="R25" s="4536"/>
      <c r="S25" s="4536"/>
    </row>
    <row r="26" spans="1:35" s="35" customFormat="1" ht="10.5" customHeight="1">
      <c r="A26" s="924" t="s">
        <v>3375</v>
      </c>
      <c r="B26" s="751" t="s">
        <v>3397</v>
      </c>
      <c r="C26" s="866"/>
      <c r="D26" s="925"/>
      <c r="E26" s="1196">
        <f>$O$342</f>
        <v>0</v>
      </c>
      <c r="F26" s="4476">
        <f>$A$374</f>
        <v>0</v>
      </c>
      <c r="G26" s="4477"/>
      <c r="H26" s="4477"/>
      <c r="I26" s="4477"/>
      <c r="J26" s="4477"/>
      <c r="K26" s="4477"/>
      <c r="L26" s="4477"/>
      <c r="M26" s="4477"/>
      <c r="N26" s="4477"/>
      <c r="O26" s="4478"/>
      <c r="P26" s="1209"/>
      <c r="Q26" s="4535"/>
      <c r="R26" s="4536"/>
      <c r="S26" s="4536"/>
    </row>
    <row r="27" spans="1:35" s="35" customFormat="1" ht="10.5" customHeight="1">
      <c r="A27" s="924" t="s">
        <v>3376</v>
      </c>
      <c r="B27" s="751" t="s">
        <v>3398</v>
      </c>
      <c r="C27" s="866"/>
      <c r="D27" s="925"/>
      <c r="E27" s="1198">
        <f>$O$378</f>
        <v>0</v>
      </c>
      <c r="F27" s="4476">
        <f>$A$393</f>
        <v>0</v>
      </c>
      <c r="G27" s="4477"/>
      <c r="H27" s="4477"/>
      <c r="I27" s="4477"/>
      <c r="J27" s="4477"/>
      <c r="K27" s="4477"/>
      <c r="L27" s="4477"/>
      <c r="M27" s="4477"/>
      <c r="N27" s="4477"/>
      <c r="O27" s="4478"/>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91">
        <f>$A$414</f>
        <v>0</v>
      </c>
      <c r="G28" s="4492"/>
      <c r="H28" s="4492"/>
      <c r="I28" s="4492"/>
      <c r="J28" s="4492"/>
      <c r="K28" s="4492"/>
      <c r="L28" s="4492"/>
      <c r="M28" s="4492"/>
      <c r="N28" s="4492"/>
      <c r="O28" s="4493"/>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76">
        <f>$A$420</f>
        <v>0</v>
      </c>
      <c r="G29" s="4477"/>
      <c r="H29" s="4477"/>
      <c r="I29" s="4477"/>
      <c r="J29" s="4477"/>
      <c r="K29" s="4477"/>
      <c r="L29" s="4477"/>
      <c r="M29" s="4477"/>
      <c r="N29" s="4477"/>
      <c r="O29" s="4478"/>
      <c r="P29" s="1209"/>
      <c r="Q29" s="1964"/>
      <c r="R29" s="1628"/>
      <c r="S29" s="1628"/>
    </row>
    <row r="30" spans="1:35" s="35" customFormat="1" ht="10.5" customHeight="1">
      <c r="A30" s="924" t="s">
        <v>3802</v>
      </c>
      <c r="B30" s="751" t="s">
        <v>6552</v>
      </c>
      <c r="C30" s="866"/>
      <c r="D30" s="925"/>
      <c r="E30" s="1196">
        <f>$O$428</f>
        <v>0</v>
      </c>
      <c r="F30" s="4476">
        <f>$A$430</f>
        <v>0</v>
      </c>
      <c r="G30" s="4477"/>
      <c r="H30" s="4477"/>
      <c r="I30" s="4477"/>
      <c r="J30" s="4477"/>
      <c r="K30" s="4477"/>
      <c r="L30" s="4477"/>
      <c r="M30" s="4477"/>
      <c r="N30" s="4477"/>
      <c r="O30" s="4478"/>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491">
        <f>$A$438</f>
        <v>0</v>
      </c>
      <c r="G31" s="4492"/>
      <c r="H31" s="4492"/>
      <c r="I31" s="4492"/>
      <c r="J31" s="4492"/>
      <c r="K31" s="4492"/>
      <c r="L31" s="4492"/>
      <c r="M31" s="4492"/>
      <c r="N31" s="4492"/>
      <c r="O31" s="4493"/>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3" t="s">
        <v>6124</v>
      </c>
      <c r="H33" s="4543"/>
      <c r="I33" s="4537" t="s">
        <v>6505</v>
      </c>
      <c r="J33" s="4538"/>
      <c r="K33" s="4538"/>
      <c r="L33" s="4539"/>
      <c r="M33" s="4604" t="s">
        <v>6137</v>
      </c>
      <c r="N33" s="4604"/>
      <c r="O33" s="4604"/>
      <c r="P33" s="4604"/>
      <c r="Q33" s="436"/>
      <c r="R33" s="436"/>
      <c r="S33" s="83" t="s">
        <v>6136</v>
      </c>
      <c r="T33" s="436"/>
      <c r="U33" s="436"/>
      <c r="V33" s="436"/>
      <c r="X33" s="4523" t="s">
        <v>6124</v>
      </c>
      <c r="Y33" s="4525"/>
      <c r="Z33" s="4523" t="s">
        <v>6505</v>
      </c>
      <c r="AA33" s="4524"/>
      <c r="AB33" s="4524"/>
      <c r="AC33" s="4525"/>
      <c r="AD33" s="4532" t="s">
        <v>6124</v>
      </c>
      <c r="AE33" s="4533"/>
      <c r="AF33" s="4534" t="s">
        <v>6505</v>
      </c>
      <c r="AG33" s="4532"/>
      <c r="AH33" s="4532"/>
      <c r="AI33" s="4533"/>
    </row>
    <row r="34" spans="1:46" s="115" customFormat="1" ht="11.25" customHeight="1">
      <c r="A34" s="44"/>
      <c r="B34" s="29"/>
      <c r="C34" s="44"/>
      <c r="D34" s="44"/>
      <c r="E34" s="44"/>
      <c r="F34" s="44"/>
      <c r="G34" s="1723">
        <v>0.09</v>
      </c>
      <c r="H34" s="1723">
        <v>0.04</v>
      </c>
      <c r="I34" s="1723">
        <v>0.04</v>
      </c>
      <c r="J34" s="1723" t="s">
        <v>6545</v>
      </c>
      <c r="K34" s="1723" t="s">
        <v>6546</v>
      </c>
      <c r="L34" s="1723" t="s">
        <v>6547</v>
      </c>
      <c r="M34" s="4526" t="str">
        <f>'Part I-Project Identification'!F12</f>
        <v>4% Credit/TE Bond</v>
      </c>
      <c r="N34" s="4527"/>
      <c r="O34" s="4527"/>
      <c r="P34" s="452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605" t="s">
        <v>6561</v>
      </c>
      <c r="N40" s="4606"/>
      <c r="O40" s="4606"/>
      <c r="P40" s="4606"/>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605"/>
      <c r="N41" s="4606"/>
      <c r="O41" s="4606"/>
      <c r="P41" s="4606"/>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3803</v>
      </c>
      <c r="C48" s="1730"/>
      <c r="D48" s="1731"/>
      <c r="E48" s="1731"/>
      <c r="F48" s="1731"/>
      <c r="G48" s="1732">
        <v>4</v>
      </c>
      <c r="H48" s="1733">
        <v>4</v>
      </c>
      <c r="I48" s="1732">
        <v>4</v>
      </c>
      <c r="J48" s="1821">
        <v>4</v>
      </c>
      <c r="K48" s="1821">
        <v>4</v>
      </c>
      <c r="L48" s="1733">
        <v>4</v>
      </c>
      <c r="M48" s="1851" t="s">
        <v>2443</v>
      </c>
      <c r="N48" s="1852"/>
      <c r="O48" s="1853"/>
      <c r="P48" s="1232"/>
      <c r="R48" s="658" t="s">
        <v>2079</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210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39" t="s">
        <v>6736</v>
      </c>
      <c r="N52" s="4740"/>
      <c r="O52" s="4740"/>
      <c r="P52" s="4740"/>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39"/>
      <c r="N53" s="4740"/>
      <c r="O53" s="4740"/>
      <c r="P53" s="4740"/>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41"/>
      <c r="N54" s="4742"/>
      <c r="O54" s="4742"/>
      <c r="P54" s="4742"/>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07" t="s">
        <v>6711</v>
      </c>
      <c r="N55" s="4608"/>
      <c r="O55" s="4608"/>
      <c r="P55" s="460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10"/>
      <c r="N56" s="4611"/>
      <c r="O56" s="4611"/>
      <c r="P56" s="461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605" t="s">
        <v>6139</v>
      </c>
      <c r="N58" s="4606"/>
      <c r="O58" s="4606"/>
      <c r="P58" s="4606"/>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37"/>
      <c r="N59" s="4738"/>
      <c r="O59" s="4738"/>
      <c r="P59" s="4738"/>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68" t="s">
        <v>6712</v>
      </c>
      <c r="N60" s="4469"/>
      <c r="O60" s="4469"/>
      <c r="P60" s="447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71"/>
      <c r="N61" s="4472"/>
      <c r="O61" s="4472"/>
      <c r="P61" s="447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3804</v>
      </c>
      <c r="D66" s="41"/>
      <c r="E66" s="41"/>
      <c r="F66" s="891"/>
      <c r="N66" s="48" t="s">
        <v>1840</v>
      </c>
      <c r="P66" s="1609">
        <f>SUM(P67:P69)</f>
        <v>0</v>
      </c>
      <c r="Q66" s="29" t="s">
        <v>6241</v>
      </c>
    </row>
    <row r="67" spans="1:20" s="36" customFormat="1" ht="12.75" customHeight="1">
      <c r="A67" s="107"/>
      <c r="B67" s="1610" t="s">
        <v>1843</v>
      </c>
      <c r="C67" s="81" t="s">
        <v>3807</v>
      </c>
      <c r="D67" s="41"/>
      <c r="E67" s="41"/>
      <c r="F67" s="891"/>
      <c r="H67" s="147" t="s">
        <v>3175</v>
      </c>
      <c r="J67" s="42"/>
      <c r="N67" s="317" t="s">
        <v>1843</v>
      </c>
      <c r="P67" s="902">
        <f>F75</f>
        <v>0</v>
      </c>
    </row>
    <row r="68" spans="1:20" s="36" customFormat="1" ht="12.75" customHeight="1">
      <c r="A68" s="107"/>
      <c r="B68" s="1610" t="s">
        <v>1845</v>
      </c>
      <c r="C68" s="81" t="s">
        <v>6240</v>
      </c>
      <c r="D68" s="41"/>
      <c r="E68" s="41"/>
      <c r="F68" s="891"/>
      <c r="H68" s="147" t="s">
        <v>3805</v>
      </c>
      <c r="J68" s="42"/>
      <c r="N68" s="317" t="s">
        <v>1845</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20" t="s">
        <v>3894</v>
      </c>
      <c r="D70" s="4521"/>
      <c r="E70" s="4521"/>
      <c r="F70" s="4521"/>
      <c r="G70" s="4521"/>
      <c r="H70" s="4521"/>
      <c r="I70" s="4521"/>
      <c r="J70" s="4521"/>
      <c r="K70" s="4521"/>
      <c r="L70" s="4521"/>
      <c r="M70" s="4521"/>
      <c r="N70" s="4521"/>
      <c r="O70" s="4521"/>
      <c r="P70" s="452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2472</v>
      </c>
      <c r="J72" s="42"/>
      <c r="M72" s="5"/>
      <c r="N72" s="48" t="s">
        <v>1842</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4" t="s">
        <v>6072</v>
      </c>
      <c r="B74" s="4434"/>
      <c r="C74" s="4434"/>
      <c r="D74" s="4434"/>
      <c r="E74" s="4434"/>
      <c r="F74" s="1176" t="s">
        <v>3390</v>
      </c>
      <c r="G74" s="4592" t="s">
        <v>6074</v>
      </c>
      <c r="H74" s="4592"/>
      <c r="I74" s="4592"/>
      <c r="J74" s="1176" t="s">
        <v>3390</v>
      </c>
      <c r="K74" s="4596" t="s">
        <v>6073</v>
      </c>
      <c r="L74" s="4596"/>
      <c r="M74" s="4596"/>
      <c r="N74" s="4596"/>
      <c r="O74" s="4590" t="s">
        <v>3390</v>
      </c>
      <c r="P74" s="4591"/>
      <c r="R74" s="356"/>
      <c r="S74" s="125"/>
    </row>
    <row r="75" spans="1:20" s="35" customFormat="1" ht="12.75" customHeight="1">
      <c r="A75" s="4589"/>
      <c r="B75" s="4589"/>
      <c r="C75" s="4589"/>
      <c r="D75" s="4589"/>
      <c r="E75" s="4589"/>
      <c r="F75" s="57">
        <f>SUM(F76:F87)</f>
        <v>0</v>
      </c>
      <c r="G75" s="4593"/>
      <c r="H75" s="4594"/>
      <c r="I75" s="4595"/>
      <c r="J75" s="57">
        <f>SUM(J76:J87)</f>
        <v>0</v>
      </c>
      <c r="K75" s="4597"/>
      <c r="L75" s="4598"/>
      <c r="M75" s="4598"/>
      <c r="N75" s="4599"/>
      <c r="O75" s="4580">
        <f>SUM(O76:O87)</f>
        <v>0</v>
      </c>
      <c r="P75" s="4581"/>
      <c r="Q75" s="356"/>
      <c r="R75" s="125"/>
    </row>
    <row r="76" spans="1:20" s="35" customFormat="1" ht="24.75" customHeight="1">
      <c r="A76" s="4582">
        <v>1</v>
      </c>
      <c r="B76" s="4583"/>
      <c r="C76" s="4583"/>
      <c r="D76" s="4583"/>
      <c r="E76" s="4584"/>
      <c r="F76" s="679"/>
      <c r="G76" s="4582">
        <v>1</v>
      </c>
      <c r="H76" s="4583"/>
      <c r="I76" s="4584"/>
      <c r="J76" s="682" t="s">
        <v>1610</v>
      </c>
      <c r="K76" s="4585">
        <v>1</v>
      </c>
      <c r="L76" s="4586"/>
      <c r="M76" s="4586"/>
      <c r="N76" s="4586"/>
      <c r="O76" s="4587" t="s">
        <v>1610</v>
      </c>
      <c r="P76" s="4588"/>
      <c r="Q76" s="354" t="s">
        <v>1180</v>
      </c>
      <c r="R76" s="125"/>
    </row>
    <row r="77" spans="1:20" s="35" customFormat="1" ht="24.75" customHeight="1">
      <c r="A77" s="4479">
        <v>2</v>
      </c>
      <c r="B77" s="4480"/>
      <c r="C77" s="4480"/>
      <c r="D77" s="4480"/>
      <c r="E77" s="4481"/>
      <c r="F77" s="680"/>
      <c r="G77" s="4479">
        <v>2</v>
      </c>
      <c r="H77" s="4480"/>
      <c r="I77" s="4481"/>
      <c r="J77" s="680"/>
      <c r="K77" s="4513">
        <v>2</v>
      </c>
      <c r="L77" s="4514"/>
      <c r="M77" s="4514"/>
      <c r="N77" s="4514"/>
      <c r="O77" s="4474"/>
      <c r="P77" s="4475"/>
      <c r="Q77" s="355"/>
      <c r="R77" s="125"/>
    </row>
    <row r="78" spans="1:20" s="35" customFormat="1" ht="24.75" customHeight="1">
      <c r="A78" s="4479">
        <v>3</v>
      </c>
      <c r="B78" s="4480"/>
      <c r="C78" s="4480"/>
      <c r="D78" s="4480"/>
      <c r="E78" s="4481"/>
      <c r="F78" s="680"/>
      <c r="G78" s="4479">
        <v>3</v>
      </c>
      <c r="H78" s="4480"/>
      <c r="I78" s="4481"/>
      <c r="J78" s="934" t="s">
        <v>2576</v>
      </c>
      <c r="K78" s="4513">
        <v>3</v>
      </c>
      <c r="L78" s="4514"/>
      <c r="M78" s="4514"/>
      <c r="N78" s="4514"/>
      <c r="O78" s="4700" t="s">
        <v>2576</v>
      </c>
      <c r="P78" s="4701"/>
      <c r="Q78" s="4743" t="s">
        <v>3808</v>
      </c>
      <c r="R78" s="4744"/>
      <c r="S78" s="1179"/>
      <c r="T78" s="1179"/>
    </row>
    <row r="79" spans="1:20" s="35" customFormat="1" ht="24.75" customHeight="1">
      <c r="A79" s="4479">
        <v>4</v>
      </c>
      <c r="B79" s="4480"/>
      <c r="C79" s="4480"/>
      <c r="D79" s="4480"/>
      <c r="E79" s="4481"/>
      <c r="F79" s="680"/>
      <c r="G79" s="4479">
        <v>4</v>
      </c>
      <c r="H79" s="4480"/>
      <c r="I79" s="4481"/>
      <c r="J79" s="680"/>
      <c r="K79" s="4513">
        <v>4</v>
      </c>
      <c r="L79" s="4514"/>
      <c r="M79" s="4514"/>
      <c r="N79" s="4514"/>
      <c r="O79" s="4700" t="s">
        <v>2576</v>
      </c>
      <c r="P79" s="4701"/>
      <c r="Q79" s="4743"/>
      <c r="R79" s="4744"/>
      <c r="S79" s="1179"/>
      <c r="T79" s="1179"/>
    </row>
    <row r="80" spans="1:20" s="35" customFormat="1" ht="24.75" customHeight="1">
      <c r="A80" s="4479">
        <v>5</v>
      </c>
      <c r="B80" s="4480"/>
      <c r="C80" s="4480"/>
      <c r="D80" s="4480"/>
      <c r="E80" s="4481"/>
      <c r="F80" s="680"/>
      <c r="G80" s="4479">
        <v>5</v>
      </c>
      <c r="H80" s="4480"/>
      <c r="I80" s="4481"/>
      <c r="J80" s="934" t="s">
        <v>3145</v>
      </c>
      <c r="K80" s="4513">
        <v>5</v>
      </c>
      <c r="L80" s="4514"/>
      <c r="M80" s="4514"/>
      <c r="N80" s="4514"/>
      <c r="O80" s="4474"/>
      <c r="P80" s="4475"/>
      <c r="Q80" s="4743"/>
      <c r="R80" s="4744"/>
      <c r="S80" s="1179"/>
      <c r="T80" s="1179"/>
    </row>
    <row r="81" spans="1:19" s="35" customFormat="1" ht="24" customHeight="1">
      <c r="A81" s="4479">
        <v>6</v>
      </c>
      <c r="B81" s="4480"/>
      <c r="C81" s="4480"/>
      <c r="D81" s="4480"/>
      <c r="E81" s="4481"/>
      <c r="F81" s="680"/>
      <c r="G81" s="4479">
        <v>6</v>
      </c>
      <c r="H81" s="4480"/>
      <c r="I81" s="4481"/>
      <c r="J81" s="680"/>
      <c r="K81" s="4513">
        <v>6</v>
      </c>
      <c r="L81" s="4514"/>
      <c r="M81" s="4514"/>
      <c r="N81" s="4514"/>
      <c r="O81" s="4474"/>
      <c r="P81" s="4475"/>
      <c r="Q81" s="4743"/>
      <c r="R81" s="4744"/>
    </row>
    <row r="82" spans="1:19" s="35" customFormat="1" ht="24.75" customHeight="1">
      <c r="A82" s="4479">
        <v>7</v>
      </c>
      <c r="B82" s="4480"/>
      <c r="C82" s="4480"/>
      <c r="D82" s="4480"/>
      <c r="E82" s="4481"/>
      <c r="F82" s="680"/>
      <c r="G82" s="4479">
        <v>7</v>
      </c>
      <c r="H82" s="4480"/>
      <c r="I82" s="4481"/>
      <c r="J82" s="934" t="s">
        <v>3146</v>
      </c>
      <c r="K82" s="4513">
        <v>7</v>
      </c>
      <c r="L82" s="4514"/>
      <c r="M82" s="4514"/>
      <c r="N82" s="4514"/>
      <c r="O82" s="4474"/>
      <c r="P82" s="4475"/>
      <c r="Q82" s="125"/>
      <c r="R82" s="125"/>
    </row>
    <row r="83" spans="1:19" s="35" customFormat="1" ht="24.75" customHeight="1">
      <c r="A83" s="4479">
        <v>8</v>
      </c>
      <c r="B83" s="4480"/>
      <c r="C83" s="4480"/>
      <c r="D83" s="4480"/>
      <c r="E83" s="4481"/>
      <c r="F83" s="680"/>
      <c r="G83" s="4479">
        <v>8</v>
      </c>
      <c r="H83" s="4480"/>
      <c r="I83" s="4481"/>
      <c r="J83" s="680"/>
      <c r="K83" s="4513">
        <v>8</v>
      </c>
      <c r="L83" s="4514"/>
      <c r="M83" s="4514"/>
      <c r="N83" s="4514"/>
      <c r="O83" s="4474"/>
      <c r="P83" s="4475"/>
      <c r="Q83" s="125"/>
      <c r="R83" s="125"/>
    </row>
    <row r="84" spans="1:19" s="35" customFormat="1" ht="24.75" customHeight="1">
      <c r="A84" s="4479">
        <v>9</v>
      </c>
      <c r="B84" s="4480"/>
      <c r="C84" s="4480"/>
      <c r="D84" s="4480"/>
      <c r="E84" s="4481"/>
      <c r="F84" s="680"/>
      <c r="G84" s="4479">
        <v>9</v>
      </c>
      <c r="H84" s="4480"/>
      <c r="I84" s="4481"/>
      <c r="J84" s="934" t="s">
        <v>3147</v>
      </c>
      <c r="K84" s="4513">
        <v>9</v>
      </c>
      <c r="L84" s="4514"/>
      <c r="M84" s="4514"/>
      <c r="N84" s="4514"/>
      <c r="O84" s="4474"/>
      <c r="P84" s="4475"/>
      <c r="Q84" s="125"/>
      <c r="R84" s="125"/>
    </row>
    <row r="85" spans="1:19" s="35" customFormat="1" ht="24.75" customHeight="1">
      <c r="A85" s="4479">
        <v>10</v>
      </c>
      <c r="B85" s="4480"/>
      <c r="C85" s="4480"/>
      <c r="D85" s="4480"/>
      <c r="E85" s="4481"/>
      <c r="F85" s="680"/>
      <c r="G85" s="4479">
        <v>10</v>
      </c>
      <c r="H85" s="4480"/>
      <c r="I85" s="4481"/>
      <c r="J85" s="680"/>
      <c r="K85" s="4513">
        <v>10</v>
      </c>
      <c r="L85" s="4514"/>
      <c r="M85" s="4514"/>
      <c r="N85" s="4514"/>
      <c r="O85" s="4474"/>
      <c r="P85" s="4475"/>
      <c r="Q85" s="125"/>
    </row>
    <row r="86" spans="1:19" s="35" customFormat="1" ht="24.75" customHeight="1">
      <c r="A86" s="4479">
        <v>11</v>
      </c>
      <c r="B86" s="4480"/>
      <c r="C86" s="4480"/>
      <c r="D86" s="4480"/>
      <c r="E86" s="4481"/>
      <c r="F86" s="680"/>
      <c r="G86" s="4479">
        <v>11</v>
      </c>
      <c r="H86" s="4480"/>
      <c r="I86" s="4481"/>
      <c r="J86" s="934" t="s">
        <v>3148</v>
      </c>
      <c r="K86" s="4479">
        <v>11</v>
      </c>
      <c r="L86" s="4480"/>
      <c r="M86" s="4480"/>
      <c r="N86" s="4481"/>
      <c r="O86" s="4474"/>
      <c r="P86" s="4475"/>
      <c r="Q86" s="125"/>
      <c r="R86" s="125"/>
    </row>
    <row r="87" spans="1:19" s="35" customFormat="1" ht="24.75" customHeight="1">
      <c r="A87" s="4499">
        <v>12</v>
      </c>
      <c r="B87" s="4500"/>
      <c r="C87" s="4500"/>
      <c r="D87" s="4500"/>
      <c r="E87" s="4501"/>
      <c r="F87" s="681"/>
      <c r="G87" s="4499">
        <v>12</v>
      </c>
      <c r="H87" s="4500"/>
      <c r="I87" s="4501"/>
      <c r="J87" s="681"/>
      <c r="K87" s="4499">
        <v>12</v>
      </c>
      <c r="L87" s="4500"/>
      <c r="M87" s="4500"/>
      <c r="N87" s="4501"/>
      <c r="O87" s="4502"/>
      <c r="P87" s="45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1840</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34" t="s">
        <v>3811</v>
      </c>
      <c r="C92" s="4734"/>
      <c r="D92" s="4734"/>
      <c r="E92" s="4734"/>
      <c r="F92" s="4734"/>
      <c r="G92" s="4734"/>
      <c r="H92" s="4734"/>
      <c r="I92" s="4734"/>
      <c r="J92" s="4734"/>
      <c r="K92" s="4734"/>
      <c r="L92" s="4734"/>
      <c r="M92" s="119"/>
      <c r="N92" s="5"/>
      <c r="Q92" s="5"/>
      <c r="R92" s="307"/>
    </row>
    <row r="93" spans="1:19" s="70" customFormat="1" ht="13.5" customHeight="1">
      <c r="B93" s="4734"/>
      <c r="C93" s="4734"/>
      <c r="D93" s="4734"/>
      <c r="E93" s="4734"/>
      <c r="F93" s="4734"/>
      <c r="G93" s="4734"/>
      <c r="H93" s="4734"/>
      <c r="I93" s="4734"/>
      <c r="J93" s="4734"/>
      <c r="K93" s="4734"/>
      <c r="L93" s="4734"/>
      <c r="M93" s="686">
        <v>2</v>
      </c>
      <c r="N93" s="317" t="s">
        <v>1840</v>
      </c>
      <c r="O93" s="692">
        <f>IF(AND(OR($J$89="9%",$J$89="4%"),$L$89="New Supply"),MIN($M93,O94+O95),0)</f>
        <v>0</v>
      </c>
      <c r="P93" s="692">
        <f>IF(NOT($J$89="9%"),0,MIN($M93, P94+P95))</f>
        <v>0</v>
      </c>
    </row>
    <row r="94" spans="1:19" s="70" customFormat="1" ht="13.5" customHeight="1">
      <c r="A94" s="107"/>
      <c r="B94" s="1193" t="s">
        <v>1843</v>
      </c>
      <c r="C94" s="1183" t="s">
        <v>3812</v>
      </c>
      <c r="D94" s="29"/>
      <c r="H94" s="29" t="s">
        <v>3813</v>
      </c>
      <c r="I94" s="1182"/>
      <c r="J94" s="1239">
        <f>'Part V-Revenues &amp; Expenses'!$B$50</f>
        <v>57.857142857142854</v>
      </c>
      <c r="L94" s="4683" t="str">
        <f>IF(AND(O94&gt;0,O95&gt;0), "CHOOSE EITHER A OR B, NOT BOTH!", "")</f>
        <v/>
      </c>
      <c r="M94" s="458">
        <v>2</v>
      </c>
      <c r="N94" s="150" t="s">
        <v>1843</v>
      </c>
      <c r="O94" s="406"/>
      <c r="P94" s="414"/>
      <c r="Q94" s="1212" t="str">
        <f>IF(OR($O94=$M94,$O94=0,$O94=""),"","*CHECK!*")</f>
        <v/>
      </c>
      <c r="R94" s="795" t="s">
        <v>4058</v>
      </c>
    </row>
    <row r="95" spans="1:19" s="70" customFormat="1" ht="13.5" customHeight="1">
      <c r="A95" s="396" t="s">
        <v>2984</v>
      </c>
      <c r="B95" s="1193" t="s">
        <v>1845</v>
      </c>
      <c r="C95" s="1183" t="s">
        <v>3814</v>
      </c>
      <c r="D95" s="29"/>
      <c r="I95" s="1182"/>
      <c r="K95" s="29"/>
      <c r="L95" s="4683"/>
      <c r="M95" s="458">
        <v>2</v>
      </c>
      <c r="N95" s="150" t="s">
        <v>1845</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3176</v>
      </c>
      <c r="E97" s="79"/>
      <c r="H97" s="4484" t="s">
        <v>3815</v>
      </c>
      <c r="I97" s="4485"/>
      <c r="J97" s="1186" t="s">
        <v>3816</v>
      </c>
      <c r="M97" s="686">
        <v>3</v>
      </c>
      <c r="N97" s="128" t="s">
        <v>1842</v>
      </c>
      <c r="O97" s="692">
        <f>IF(AND(O98="Yes", O99="Yes"),$M$97,0)</f>
        <v>0</v>
      </c>
      <c r="P97" s="692">
        <f>IF(AND(P98="Yes", P99="Yes"),$M$97,0)</f>
        <v>0</v>
      </c>
    </row>
    <row r="98" spans="1:18" s="36" customFormat="1" ht="13.5" customHeight="1">
      <c r="A98" s="346"/>
      <c r="B98" s="1193" t="s">
        <v>1843</v>
      </c>
      <c r="C98" s="1184">
        <v>0.3</v>
      </c>
      <c r="D98" s="751" t="s">
        <v>3177</v>
      </c>
      <c r="E98" s="79"/>
      <c r="F98" s="370"/>
      <c r="H98" s="940"/>
      <c r="I98" s="941"/>
      <c r="J98" s="1185">
        <f>'Part V-Revenues &amp; Expenses'!$P$65</f>
        <v>210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3324</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1840</v>
      </c>
      <c r="B106" s="141" t="s">
        <v>1736</v>
      </c>
      <c r="C106" s="4"/>
      <c r="D106" s="4"/>
      <c r="F106" s="243"/>
      <c r="H106" s="658" t="s">
        <v>2468</v>
      </c>
      <c r="I106" s="4504" t="s">
        <v>4043</v>
      </c>
      <c r="J106" s="4505"/>
      <c r="K106" s="4505"/>
      <c r="L106" s="4506"/>
      <c r="M106" s="458">
        <v>20</v>
      </c>
      <c r="N106" s="150" t="s">
        <v>1840</v>
      </c>
      <c r="O106" s="1765"/>
      <c r="P106" s="1766"/>
      <c r="Q106" s="1212"/>
      <c r="R106" s="795" t="s">
        <v>4058</v>
      </c>
    </row>
    <row r="107" spans="1:18" s="70" customFormat="1" ht="12.75" customHeight="1">
      <c r="A107" s="107" t="s">
        <v>1842</v>
      </c>
      <c r="B107" s="141" t="s">
        <v>3280</v>
      </c>
      <c r="D107" s="880"/>
      <c r="F107" s="1238"/>
      <c r="H107" s="658" t="s">
        <v>3337</v>
      </c>
      <c r="I107" s="4507"/>
      <c r="J107" s="4508"/>
      <c r="K107" s="4508"/>
      <c r="L107" s="4509"/>
      <c r="M107" s="891" t="s">
        <v>1164</v>
      </c>
      <c r="N107" s="48" t="s">
        <v>1842</v>
      </c>
      <c r="O107" s="1767"/>
      <c r="P107" s="1768"/>
      <c r="R107" s="795" t="s">
        <v>4058</v>
      </c>
    </row>
    <row r="108" spans="1:18" s="36" customFormat="1" ht="12.75" customHeight="1" thickBot="1">
      <c r="A108" s="35"/>
      <c r="B108" s="937" t="s">
        <v>3241</v>
      </c>
      <c r="C108" s="35"/>
      <c r="D108" s="41"/>
      <c r="E108" s="41"/>
      <c r="F108" s="41"/>
      <c r="G108" s="41"/>
      <c r="H108" s="29"/>
      <c r="I108" s="4510"/>
      <c r="J108" s="4511"/>
      <c r="K108" s="4511"/>
      <c r="L108" s="4512"/>
      <c r="M108" s="39"/>
      <c r="N108" s="47"/>
      <c r="O108" s="3"/>
      <c r="P108" s="24"/>
    </row>
    <row r="109" spans="1:18" s="36" customFormat="1" ht="90" customHeight="1" thickTop="1" thickBot="1">
      <c r="A109" s="4461"/>
      <c r="B109" s="4462"/>
      <c r="C109" s="4462"/>
      <c r="D109" s="4462"/>
      <c r="E109" s="4462"/>
      <c r="F109" s="4462"/>
      <c r="G109" s="4462"/>
      <c r="H109" s="4462"/>
      <c r="I109" s="4462"/>
      <c r="J109" s="4462"/>
      <c r="K109" s="4462"/>
      <c r="L109" s="4462"/>
      <c r="M109" s="4462"/>
      <c r="N109" s="4462"/>
      <c r="O109" s="4462"/>
      <c r="P109" s="4463"/>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1843</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66" t="s">
        <v>3216</v>
      </c>
      <c r="G123" s="4566"/>
      <c r="H123" s="4566"/>
      <c r="I123" s="4566"/>
      <c r="J123" s="4566" t="s">
        <v>3217</v>
      </c>
      <c r="K123" s="4566"/>
      <c r="L123" s="4566"/>
      <c r="M123" s="4566"/>
      <c r="N123" s="48"/>
      <c r="O123" s="4567" t="s">
        <v>3884</v>
      </c>
      <c r="P123" s="4568"/>
      <c r="Q123" s="86"/>
      <c r="R123" s="879"/>
      <c r="S123" s="879"/>
      <c r="T123" s="879"/>
      <c r="U123" s="879"/>
    </row>
    <row r="124" spans="1:21" s="36" customFormat="1" ht="12" customHeight="1">
      <c r="B124" s="1839"/>
      <c r="C124" s="1182" t="s">
        <v>6570</v>
      </c>
      <c r="E124" s="223"/>
      <c r="F124" s="4517"/>
      <c r="G124" s="4518"/>
      <c r="H124" s="4482"/>
      <c r="I124" s="4483"/>
      <c r="J124" s="4517"/>
      <c r="K124" s="4518"/>
      <c r="L124" s="4482"/>
      <c r="M124" s="4483"/>
      <c r="N124" s="48"/>
      <c r="Q124" s="86"/>
      <c r="R124" s="879"/>
      <c r="S124" s="879"/>
      <c r="T124" s="879"/>
      <c r="U124" s="879"/>
    </row>
    <row r="125" spans="1:21" s="36" customFormat="1" ht="12" customHeight="1">
      <c r="A125" s="1839"/>
      <c r="B125" s="1839"/>
      <c r="C125" s="1839"/>
      <c r="D125" s="236"/>
      <c r="E125" s="1838" t="s">
        <v>6146</v>
      </c>
      <c r="F125" s="4684"/>
      <c r="G125" s="4685"/>
      <c r="H125" s="4691"/>
      <c r="I125" s="4692"/>
      <c r="J125" s="4684"/>
      <c r="K125" s="4685"/>
      <c r="L125" s="4691"/>
      <c r="M125" s="4692"/>
      <c r="N125" s="48"/>
      <c r="O125" s="1292"/>
      <c r="P125" s="916"/>
      <c r="Q125" s="86"/>
      <c r="R125" s="879"/>
      <c r="S125" s="879"/>
      <c r="T125" s="879"/>
      <c r="U125" s="879"/>
    </row>
    <row r="126" spans="1:21" s="36" customFormat="1" ht="12" customHeight="1">
      <c r="A126" s="4697" t="s">
        <v>6679</v>
      </c>
      <c r="B126" s="4697"/>
      <c r="C126" s="1182" t="s">
        <v>6569</v>
      </c>
      <c r="E126" s="223"/>
      <c r="F126" s="4686"/>
      <c r="G126" s="4687"/>
      <c r="H126" s="4702"/>
      <c r="I126" s="4703"/>
      <c r="J126" s="4686"/>
      <c r="K126" s="4687"/>
      <c r="L126" s="4702"/>
      <c r="M126" s="4703"/>
      <c r="N126" s="48"/>
      <c r="O126" s="48"/>
      <c r="P126" s="48"/>
      <c r="Q126" s="86"/>
      <c r="R126" s="879"/>
      <c r="S126" s="879"/>
      <c r="T126" s="879"/>
      <c r="U126" s="879"/>
    </row>
    <row r="127" spans="1:21" s="36" customFormat="1" ht="12" customHeight="1">
      <c r="A127" s="4697"/>
      <c r="B127" s="4697"/>
      <c r="C127" s="236"/>
      <c r="D127" s="236"/>
      <c r="E127" s="1838" t="s">
        <v>3365</v>
      </c>
      <c r="F127" s="4563"/>
      <c r="G127" s="4564"/>
      <c r="H127" s="4689"/>
      <c r="I127" s="4690"/>
      <c r="J127" s="4563"/>
      <c r="K127" s="4564"/>
      <c r="L127" s="4689"/>
      <c r="M127" s="469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93" t="str">
        <f>IF(AND(O131&gt;0,O138&gt;0),"Pick A or B, not both!","")</f>
        <v/>
      </c>
      <c r="J129" s="4693"/>
      <c r="K129" s="4693" t="str">
        <f>IF(AND(P131&gt;0,P138&gt;0),"Pick A or B, not both!","")</f>
        <v/>
      </c>
      <c r="L129" s="469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3238</v>
      </c>
      <c r="D131" s="34"/>
      <c r="F131" s="937" t="s">
        <v>6683</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1843</v>
      </c>
      <c r="C133" s="4565" t="s">
        <v>6677</v>
      </c>
      <c r="D133" s="4565"/>
      <c r="E133" s="4565"/>
      <c r="F133" s="4565"/>
      <c r="G133" s="4565"/>
      <c r="H133" s="4565"/>
      <c r="I133" s="4565"/>
      <c r="J133" s="4565"/>
      <c r="K133" s="4565"/>
      <c r="L133" s="4565"/>
      <c r="M133" s="1848">
        <v>6</v>
      </c>
      <c r="N133" s="374" t="s">
        <v>1843</v>
      </c>
      <c r="O133" s="1910"/>
      <c r="P133" s="1911"/>
      <c r="Q133" s="1212"/>
      <c r="R133" s="795" t="s">
        <v>4058</v>
      </c>
    </row>
    <row r="134" spans="1:21" s="332" customFormat="1" ht="12" customHeight="1">
      <c r="A134" s="456" t="s">
        <v>1275</v>
      </c>
      <c r="B134" s="350" t="s">
        <v>1845</v>
      </c>
      <c r="C134" s="3593" t="s">
        <v>6678</v>
      </c>
      <c r="D134" s="3593"/>
      <c r="E134" s="3593"/>
      <c r="F134" s="3593"/>
      <c r="G134" s="866"/>
      <c r="J134" s="4569" t="s">
        <v>6674</v>
      </c>
      <c r="K134" s="4570"/>
      <c r="L134" s="4571"/>
      <c r="M134" s="458">
        <v>5</v>
      </c>
      <c r="N134" s="348" t="s">
        <v>1845</v>
      </c>
      <c r="O134" s="1923"/>
      <c r="P134" s="1924"/>
      <c r="Q134" s="1810" t="s">
        <v>6670</v>
      </c>
      <c r="R134" s="1176" t="s">
        <v>6263</v>
      </c>
      <c r="S134" s="1176" t="s">
        <v>6144</v>
      </c>
    </row>
    <row r="135" spans="1:21" s="332" customFormat="1" ht="12" customHeight="1">
      <c r="B135" s="350"/>
      <c r="C135" s="3593"/>
      <c r="D135" s="3593"/>
      <c r="E135" s="3593"/>
      <c r="F135" s="3593"/>
      <c r="G135" s="866"/>
      <c r="H135" s="3385" t="s">
        <v>6672</v>
      </c>
      <c r="I135" s="3385"/>
      <c r="J135" s="4572"/>
      <c r="K135" s="4573"/>
      <c r="L135" s="4574"/>
      <c r="M135" s="4287" t="str">
        <f>IF(AND(O134&gt;0,O133&gt;0),"Pick A1 or A2!","")</f>
        <v/>
      </c>
      <c r="N135" s="4287"/>
      <c r="O135" s="4287"/>
      <c r="P135" s="4287"/>
      <c r="Q135" s="798"/>
      <c r="R135" s="1549">
        <v>0.25</v>
      </c>
      <c r="S135" s="1549">
        <v>5</v>
      </c>
    </row>
    <row r="136" spans="1:21" s="332" customFormat="1" ht="12" customHeight="1">
      <c r="B136" s="350"/>
      <c r="C136" s="3593"/>
      <c r="D136" s="3593"/>
      <c r="E136" s="3593"/>
      <c r="F136" s="3593"/>
      <c r="G136" s="866"/>
      <c r="H136" s="1769"/>
      <c r="I136" s="1904"/>
      <c r="J136" s="4572"/>
      <c r="K136" s="4573"/>
      <c r="L136" s="4574"/>
      <c r="Q136" s="798"/>
      <c r="R136" s="1549">
        <v>0.5</v>
      </c>
      <c r="S136" s="1549">
        <v>4.5</v>
      </c>
    </row>
    <row r="137" spans="1:21" s="332" customFormat="1" ht="12" customHeight="1">
      <c r="B137" s="350"/>
      <c r="C137" s="3593"/>
      <c r="D137" s="3593"/>
      <c r="E137" s="3593"/>
      <c r="F137" s="3593"/>
      <c r="G137" s="866"/>
      <c r="J137" s="4572"/>
      <c r="K137" s="4573"/>
      <c r="L137" s="4574"/>
      <c r="M137" s="70"/>
      <c r="N137" s="70"/>
      <c r="O137" s="70"/>
      <c r="P137" s="70"/>
      <c r="Q137" s="397"/>
      <c r="R137" s="1550">
        <v>1</v>
      </c>
      <c r="S137" s="1550">
        <v>4</v>
      </c>
    </row>
    <row r="138" spans="1:21" s="332" customFormat="1" ht="12" customHeight="1">
      <c r="A138" s="112" t="s">
        <v>1842</v>
      </c>
      <c r="B138" s="897" t="s">
        <v>3239</v>
      </c>
      <c r="C138" s="503"/>
      <c r="D138" s="503"/>
      <c r="F138" s="1902" t="s">
        <v>6669</v>
      </c>
      <c r="J138" s="4494" t="s">
        <v>3236</v>
      </c>
      <c r="K138" s="4495"/>
      <c r="L138" s="1837" t="s">
        <v>3237</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1843</v>
      </c>
      <c r="C139" s="3593" t="s">
        <v>6684</v>
      </c>
      <c r="D139" s="3593"/>
      <c r="E139" s="3593"/>
      <c r="F139" s="3593"/>
      <c r="G139" s="866"/>
      <c r="H139" s="3385" t="s">
        <v>6673</v>
      </c>
      <c r="I139" s="3385"/>
      <c r="J139" s="4496" t="s">
        <v>6689</v>
      </c>
      <c r="K139" s="4497"/>
      <c r="L139" s="4498"/>
      <c r="M139" s="458">
        <v>3</v>
      </c>
      <c r="N139" s="348" t="s">
        <v>1843</v>
      </c>
      <c r="O139" s="4732"/>
      <c r="P139" s="4735"/>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19" t="s">
        <v>6565</v>
      </c>
      <c r="K140" s="4720"/>
      <c r="L140" s="4721"/>
      <c r="M140" s="70"/>
      <c r="O140" s="4733"/>
      <c r="P140" s="4736"/>
      <c r="Q140" s="86"/>
      <c r="R140" s="1550">
        <v>1</v>
      </c>
      <c r="S140" s="1550">
        <v>1</v>
      </c>
      <c r="U140" s="332"/>
    </row>
    <row r="141" spans="1:21" s="36" customFormat="1" ht="11.25" customHeight="1">
      <c r="A141" s="456" t="s">
        <v>1275</v>
      </c>
      <c r="B141" s="1632" t="s">
        <v>1845</v>
      </c>
      <c r="C141" s="3593" t="s">
        <v>6676</v>
      </c>
      <c r="D141" s="3593"/>
      <c r="E141" s="3593"/>
      <c r="F141" s="3593"/>
      <c r="G141" s="3593"/>
      <c r="H141" s="3593"/>
      <c r="I141" s="1903"/>
      <c r="J141" s="4722"/>
      <c r="K141" s="4723"/>
      <c r="L141" s="4724"/>
      <c r="M141" s="458">
        <v>1</v>
      </c>
      <c r="N141" s="348" t="s">
        <v>1845</v>
      </c>
      <c r="O141" s="4519"/>
      <c r="P141" s="4696"/>
      <c r="U141" s="332"/>
    </row>
    <row r="142" spans="1:21" s="36" customFormat="1" ht="11.25" customHeight="1">
      <c r="B142" s="1906"/>
      <c r="C142" s="3593"/>
      <c r="D142" s="3593"/>
      <c r="E142" s="3593"/>
      <c r="F142" s="3593"/>
      <c r="G142" s="3593"/>
      <c r="H142" s="3593"/>
      <c r="I142" s="1903"/>
      <c r="J142" s="4725"/>
      <c r="K142" s="4726"/>
      <c r="L142" s="4727"/>
      <c r="O142" s="4519"/>
      <c r="P142" s="4696"/>
      <c r="T142" s="332"/>
      <c r="U142" s="332"/>
    </row>
    <row r="143" spans="1:21" s="332" customFormat="1" ht="12" customHeight="1">
      <c r="A143" s="1631" t="s">
        <v>1275</v>
      </c>
      <c r="B143" s="1632" t="s">
        <v>2331</v>
      </c>
      <c r="C143" s="3593" t="s">
        <v>6675</v>
      </c>
      <c r="D143" s="3593"/>
      <c r="E143" s="3593"/>
      <c r="F143" s="3593"/>
      <c r="G143" s="3593"/>
      <c r="H143" s="3593"/>
      <c r="I143" s="4731"/>
      <c r="J143" s="4719" t="s">
        <v>6566</v>
      </c>
      <c r="K143" s="4720"/>
      <c r="L143" s="4721"/>
      <c r="M143" s="1848">
        <v>2</v>
      </c>
      <c r="N143" s="374" t="s">
        <v>2331</v>
      </c>
      <c r="O143" s="4694"/>
      <c r="P143" s="4515"/>
      <c r="Q143" s="798"/>
      <c r="R143" s="795"/>
    </row>
    <row r="144" spans="1:21" s="36" customFormat="1" ht="36.75" customHeight="1">
      <c r="C144" s="3593"/>
      <c r="D144" s="3593"/>
      <c r="E144" s="3593"/>
      <c r="F144" s="3593"/>
      <c r="G144" s="3593"/>
      <c r="H144" s="3593"/>
      <c r="I144" s="4731"/>
      <c r="J144" s="4728"/>
      <c r="K144" s="4729"/>
      <c r="L144" s="4730"/>
      <c r="O144" s="4695"/>
      <c r="P144" s="4516"/>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1"/>
      <c r="B147" s="4462"/>
      <c r="C147" s="4462"/>
      <c r="D147" s="4462"/>
      <c r="E147" s="4462"/>
      <c r="F147" s="4462"/>
      <c r="G147" s="4462"/>
      <c r="H147" s="4462"/>
      <c r="I147" s="4462"/>
      <c r="J147" s="4462"/>
      <c r="K147" s="4462"/>
      <c r="L147" s="4462"/>
      <c r="M147" s="4462"/>
      <c r="N147" s="4462"/>
      <c r="O147" s="4462"/>
      <c r="P147" s="4463"/>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33"/>
      <c r="B149" s="4234"/>
      <c r="C149" s="4234"/>
      <c r="D149" s="4234"/>
      <c r="E149" s="4234"/>
      <c r="F149" s="4234"/>
      <c r="G149" s="4234"/>
      <c r="H149" s="4234"/>
      <c r="I149" s="4234"/>
      <c r="J149" s="4234"/>
      <c r="K149" s="4234"/>
      <c r="L149" s="4234"/>
      <c r="M149" s="4234"/>
      <c r="N149" s="4234"/>
      <c r="O149" s="4234"/>
      <c r="P149" s="423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716" t="s">
        <v>6889</v>
      </c>
      <c r="K154" s="4717"/>
      <c r="L154" s="4717"/>
      <c r="M154" s="4718"/>
      <c r="N154"/>
      <c r="O154"/>
      <c r="P154"/>
    </row>
    <row r="155" spans="1:19" ht="12.75" customHeight="1">
      <c r="B155" s="430"/>
      <c r="C155" s="430"/>
      <c r="D155" s="430"/>
      <c r="F155" s="4230" t="s">
        <v>6627</v>
      </c>
      <c r="G155" s="4230"/>
      <c r="H155" s="4230" t="s">
        <v>6269</v>
      </c>
      <c r="I155" s="4230"/>
      <c r="J155" s="4704" t="s">
        <v>6628</v>
      </c>
      <c r="K155" s="4705"/>
      <c r="L155" s="4707" t="s">
        <v>6888</v>
      </c>
      <c r="M155" s="4708"/>
      <c r="N155" s="44"/>
      <c r="O155" s="1866"/>
      <c r="P155" s="1867"/>
    </row>
    <row r="156" spans="1:19" ht="30.75" customHeight="1">
      <c r="B156" s="430"/>
      <c r="C156" s="430"/>
      <c r="D156" s="430"/>
      <c r="F156" s="4230"/>
      <c r="G156" s="4230"/>
      <c r="H156" s="4230"/>
      <c r="I156" s="4230"/>
      <c r="J156" s="4706"/>
      <c r="K156" s="4705"/>
      <c r="L156" s="4230"/>
      <c r="M156" s="4709"/>
      <c r="N156" s="44"/>
      <c r="O156" s="1868"/>
      <c r="P156" s="1867"/>
    </row>
    <row r="157" spans="1:19" ht="12" customHeight="1">
      <c r="B157" s="81" t="s">
        <v>6629</v>
      </c>
      <c r="C157" s="889"/>
      <c r="D157" s="36"/>
      <c r="F157" s="4352"/>
      <c r="G157" s="4352"/>
      <c r="H157" s="4352"/>
      <c r="I157" s="4352"/>
      <c r="J157" s="4706"/>
      <c r="K157" s="4705"/>
      <c r="L157" s="4352"/>
      <c r="M157" s="4710"/>
      <c r="N157" s="44"/>
      <c r="O157" s="1868"/>
      <c r="P157" s="1867"/>
    </row>
    <row r="158" spans="1:19">
      <c r="B158" s="4711"/>
      <c r="C158" s="4712"/>
      <c r="D158" s="4712"/>
      <c r="E158" s="4713"/>
      <c r="F158" s="4711"/>
      <c r="G158" s="4713"/>
      <c r="H158" s="4711"/>
      <c r="I158" s="4713"/>
      <c r="J158" s="4714"/>
      <c r="K158" s="4715"/>
      <c r="L158" s="4714"/>
      <c r="M158" s="4715"/>
      <c r="N158" s="4753"/>
      <c r="O158" s="4754"/>
    </row>
    <row r="159" spans="1:19">
      <c r="B159" s="4544"/>
      <c r="C159" s="4545"/>
      <c r="D159" s="4545"/>
      <c r="E159" s="4546"/>
      <c r="F159" s="4544"/>
      <c r="G159" s="4546"/>
      <c r="H159" s="4544"/>
      <c r="I159" s="4546"/>
      <c r="J159" s="4698"/>
      <c r="K159" s="4699"/>
      <c r="L159" s="4698"/>
      <c r="M159" s="4699"/>
      <c r="N159" s="4575"/>
      <c r="O159" s="4576"/>
    </row>
    <row r="160" spans="1:19">
      <c r="B160" s="4544"/>
      <c r="C160" s="4545"/>
      <c r="D160" s="4545"/>
      <c r="E160" s="4546"/>
      <c r="F160" s="4544"/>
      <c r="G160" s="4546"/>
      <c r="H160" s="4544"/>
      <c r="I160" s="4546"/>
      <c r="J160" s="4698"/>
      <c r="K160" s="4699"/>
      <c r="L160" s="4698"/>
      <c r="M160" s="4699"/>
      <c r="N160" s="4575"/>
      <c r="O160" s="4576"/>
    </row>
    <row r="161" spans="1:26">
      <c r="B161" s="4544"/>
      <c r="C161" s="4545"/>
      <c r="D161" s="4545"/>
      <c r="E161" s="4546"/>
      <c r="F161" s="4544"/>
      <c r="G161" s="4546"/>
      <c r="H161" s="4544"/>
      <c r="I161" s="4546"/>
      <c r="J161" s="4698"/>
      <c r="K161" s="4699"/>
      <c r="L161" s="4698"/>
      <c r="M161" s="4699"/>
      <c r="N161" s="4575"/>
      <c r="O161" s="4576"/>
    </row>
    <row r="162" spans="1:26">
      <c r="B162" s="4544"/>
      <c r="C162" s="4545"/>
      <c r="D162" s="4545"/>
      <c r="E162" s="4546"/>
      <c r="F162" s="4544"/>
      <c r="G162" s="4546"/>
      <c r="H162" s="4544"/>
      <c r="I162" s="4546"/>
      <c r="J162" s="4698"/>
      <c r="K162" s="4699"/>
      <c r="L162" s="4698"/>
      <c r="M162" s="4699"/>
      <c r="N162" s="4575"/>
      <c r="O162" s="4576"/>
    </row>
    <row r="163" spans="1:26">
      <c r="B163" s="4746"/>
      <c r="C163" s="4747"/>
      <c r="D163" s="4747"/>
      <c r="E163" s="4748"/>
      <c r="F163" s="4746"/>
      <c r="G163" s="4748"/>
      <c r="H163" s="4746"/>
      <c r="I163" s="4748"/>
      <c r="J163" s="4749"/>
      <c r="K163" s="4750"/>
      <c r="L163" s="4749"/>
      <c r="M163" s="4750"/>
      <c r="N163" s="4751"/>
      <c r="O163" s="475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1"/>
      <c r="B165" s="4462"/>
      <c r="C165" s="4462"/>
      <c r="D165" s="4462"/>
      <c r="E165" s="4462"/>
      <c r="F165" s="4462"/>
      <c r="G165" s="4462"/>
      <c r="H165" s="4462"/>
      <c r="I165" s="4462"/>
      <c r="J165" s="4462"/>
      <c r="K165" s="4462"/>
      <c r="L165" s="4462"/>
      <c r="M165" s="4462"/>
      <c r="N165" s="4462"/>
      <c r="O165" s="4462"/>
      <c r="P165" s="4463"/>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261"/>
      <c r="B167" s="4262"/>
      <c r="C167" s="4262"/>
      <c r="D167" s="4262"/>
      <c r="E167" s="4262"/>
      <c r="F167" s="4262"/>
      <c r="G167" s="4262"/>
      <c r="H167" s="4262"/>
      <c r="I167" s="4262"/>
      <c r="J167" s="4262"/>
      <c r="K167" s="4262"/>
      <c r="L167" s="4262"/>
      <c r="M167" s="4262"/>
      <c r="N167" s="4262"/>
      <c r="O167" s="4262"/>
      <c r="P167" s="426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22" t="s">
        <v>6680</v>
      </c>
      <c r="D173" s="4222"/>
      <c r="E173" s="4222"/>
      <c r="F173" s="4222"/>
      <c r="G173" s="4222"/>
      <c r="H173" s="4222"/>
      <c r="I173" s="4222"/>
      <c r="J173" s="4222"/>
      <c r="K173" s="4222"/>
      <c r="L173" s="128"/>
      <c r="M173" s="4688" t="s">
        <v>6090</v>
      </c>
      <c r="N173" s="4688"/>
      <c r="O173" s="4688"/>
      <c r="P173" s="4688"/>
      <c r="S173" s="1628"/>
      <c r="T173" s="1628"/>
      <c r="U173" s="1628"/>
      <c r="V173" s="334"/>
      <c r="W173" s="334"/>
      <c r="X173" s="334"/>
      <c r="Y173" s="334"/>
      <c r="Z173" s="334"/>
    </row>
    <row r="174" spans="1:26" s="36" customFormat="1" ht="12.75" customHeight="1">
      <c r="A174" s="305"/>
      <c r="B174" s="49"/>
      <c r="C174" s="4222"/>
      <c r="D174" s="4222"/>
      <c r="E174" s="4222"/>
      <c r="F174" s="4222"/>
      <c r="G174" s="4222"/>
      <c r="H174" s="4222"/>
      <c r="I174" s="4222"/>
      <c r="J174" s="4222"/>
      <c r="K174" s="4222"/>
      <c r="L174" s="128" t="s">
        <v>2239</v>
      </c>
      <c r="M174" s="4680" t="s">
        <v>3287</v>
      </c>
      <c r="N174" s="4681"/>
      <c r="O174" s="4681"/>
      <c r="P174" s="4682"/>
      <c r="S174" s="1628"/>
      <c r="T174" s="1628"/>
      <c r="U174" s="1628"/>
    </row>
    <row r="175" spans="1:26" s="26" customFormat="1" ht="12.75" customHeight="1">
      <c r="B175" s="49" t="s">
        <v>2240</v>
      </c>
      <c r="C175" s="29" t="s">
        <v>3956</v>
      </c>
      <c r="D175" s="29"/>
      <c r="E175" s="29"/>
      <c r="F175" s="29"/>
      <c r="G175" s="29"/>
      <c r="H175" s="29"/>
      <c r="L175" s="49" t="s">
        <v>2240</v>
      </c>
      <c r="M175" s="4496" t="s">
        <v>3287</v>
      </c>
      <c r="N175" s="4497"/>
      <c r="O175" s="4497"/>
      <c r="P175" s="4498"/>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496" t="s">
        <v>3287</v>
      </c>
      <c r="N176" s="4497"/>
      <c r="O176" s="4497"/>
      <c r="P176" s="4498"/>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635" t="s">
        <v>3287</v>
      </c>
      <c r="N177" s="4636"/>
      <c r="O177" s="4636"/>
      <c r="P177" s="463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6251</v>
      </c>
      <c r="D179" s="108"/>
      <c r="E179" s="108"/>
      <c r="F179" s="108"/>
      <c r="G179" s="108"/>
      <c r="H179" s="108"/>
      <c r="I179" s="108"/>
      <c r="K179" s="935"/>
      <c r="L179" s="935"/>
      <c r="R179" s="1628"/>
      <c r="S179" s="1628"/>
      <c r="T179" s="1628"/>
      <c r="U179" s="1628"/>
    </row>
    <row r="180" spans="1:26">
      <c r="A180" s="396"/>
      <c r="B180" s="128" t="s">
        <v>2239</v>
      </c>
      <c r="C180" s="4222" t="s">
        <v>6178</v>
      </c>
      <c r="D180" s="4222"/>
      <c r="E180" s="4222"/>
      <c r="F180" s="4222"/>
      <c r="G180" s="4222"/>
      <c r="H180" s="4222"/>
      <c r="I180" s="4222"/>
      <c r="J180" s="4222"/>
      <c r="K180" s="4222"/>
      <c r="L180" s="4222"/>
      <c r="M180" s="1848">
        <v>1</v>
      </c>
      <c r="N180" s="128" t="s">
        <v>4076</v>
      </c>
      <c r="O180" s="1636"/>
      <c r="P180" s="1640"/>
      <c r="Q180" s="1212" t="str">
        <f>IF(OR($O180=$M180,$O180=0,$O180=""),"","*CHECK!*")</f>
        <v/>
      </c>
      <c r="R180" s="795" t="s">
        <v>4058</v>
      </c>
    </row>
    <row r="181" spans="1:26" ht="36.75" customHeight="1">
      <c r="A181" s="396"/>
      <c r="B181" s="117" t="s">
        <v>2240</v>
      </c>
      <c r="C181" s="4222" t="s">
        <v>6179</v>
      </c>
      <c r="D181" s="4222"/>
      <c r="E181" s="4222"/>
      <c r="F181" s="4222"/>
      <c r="G181" s="4222"/>
      <c r="H181" s="4222"/>
      <c r="I181" s="4222"/>
      <c r="J181" s="4222"/>
      <c r="K181" s="4222"/>
      <c r="L181" s="4222"/>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3821</v>
      </c>
      <c r="D184" s="26"/>
      <c r="F184" s="1189"/>
      <c r="K184" s="915"/>
      <c r="L184" s="307" t="str">
        <f>IF(OR($O184=$M184,$O184=0,$O184=1,$O184=""),"","* * Check Score! * *")</f>
        <v/>
      </c>
      <c r="M184" s="458">
        <v>2</v>
      </c>
      <c r="N184" s="48" t="s">
        <v>1842</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1"/>
      <c r="B186" s="4462"/>
      <c r="C186" s="4462"/>
      <c r="D186" s="4462"/>
      <c r="E186" s="4462"/>
      <c r="F186" s="4462"/>
      <c r="G186" s="4462"/>
      <c r="H186" s="4462"/>
      <c r="I186" s="4462"/>
      <c r="J186" s="4462"/>
      <c r="K186" s="4462"/>
      <c r="L186" s="4462"/>
      <c r="M186" s="4462"/>
      <c r="N186" s="4462"/>
      <c r="O186" s="4462"/>
      <c r="P186" s="4463"/>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261"/>
      <c r="B188" s="4262"/>
      <c r="C188" s="4262"/>
      <c r="D188" s="4262"/>
      <c r="E188" s="4262"/>
      <c r="F188" s="4262"/>
      <c r="G188" s="4262"/>
      <c r="H188" s="4262"/>
      <c r="I188" s="4262"/>
      <c r="J188" s="4262"/>
      <c r="K188" s="4262"/>
      <c r="L188" s="4262"/>
      <c r="M188" s="4262"/>
      <c r="N188" s="4262"/>
      <c r="O188" s="4262"/>
      <c r="P188" s="426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1843</v>
      </c>
      <c r="C194" s="4222" t="s">
        <v>6207</v>
      </c>
      <c r="D194" s="4222"/>
      <c r="E194" s="4222"/>
      <c r="F194" s="4222"/>
      <c r="G194" s="4222"/>
      <c r="H194" s="4222"/>
      <c r="I194" s="4222"/>
      <c r="J194" s="4222"/>
      <c r="K194" s="4222"/>
      <c r="L194" s="4222"/>
      <c r="M194" s="884" t="s">
        <v>698</v>
      </c>
      <c r="N194" s="317" t="s">
        <v>1843</v>
      </c>
      <c r="O194" s="894"/>
      <c r="P194" s="893"/>
      <c r="Q194" s="947"/>
      <c r="V194" s="1599"/>
      <c r="W194" s="1599"/>
    </row>
    <row r="195" spans="1:24" s="26" customFormat="1" ht="12.75" customHeight="1">
      <c r="A195" s="396"/>
      <c r="B195" s="350" t="s">
        <v>1845</v>
      </c>
      <c r="C195" s="33" t="s">
        <v>6208</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222" t="s">
        <v>6211</v>
      </c>
      <c r="D196" s="4222"/>
      <c r="E196" s="4222"/>
      <c r="F196" s="4222"/>
      <c r="G196" s="4222"/>
      <c r="H196" s="4222"/>
      <c r="I196" s="4222"/>
      <c r="J196" s="4222"/>
      <c r="K196" s="4222"/>
      <c r="L196" s="4222"/>
      <c r="M196" s="457"/>
      <c r="N196" s="317" t="s">
        <v>2331</v>
      </c>
      <c r="O196" s="896"/>
      <c r="P196" s="895"/>
      <c r="Q196" s="800"/>
      <c r="V196" s="942"/>
      <c r="W196" s="942"/>
    </row>
    <row r="197" spans="1:24" ht="11.65" customHeight="1">
      <c r="A197" s="107" t="s">
        <v>1961</v>
      </c>
      <c r="B197" s="141" t="s">
        <v>6209</v>
      </c>
      <c r="D197" s="26"/>
      <c r="G197" s="370"/>
      <c r="N197"/>
      <c r="O197" s="31"/>
      <c r="P197" s="31"/>
      <c r="Q197" s="241"/>
    </row>
    <row r="198" spans="1:24" s="1323" customFormat="1" ht="23.25" customHeight="1">
      <c r="B198" s="350" t="s">
        <v>1843</v>
      </c>
      <c r="C198" s="4222" t="s">
        <v>6212</v>
      </c>
      <c r="D198" s="4222"/>
      <c r="E198" s="4222"/>
      <c r="F198" s="4222"/>
      <c r="G198" s="4222"/>
      <c r="H198" s="4222"/>
      <c r="I198" s="4222"/>
      <c r="J198" s="4222"/>
      <c r="K198" s="4222"/>
      <c r="L198" s="4222"/>
      <c r="M198" s="884" t="s">
        <v>1961</v>
      </c>
      <c r="N198" s="317" t="s">
        <v>1843</v>
      </c>
      <c r="O198" s="894"/>
      <c r="P198" s="893"/>
      <c r="Q198" s="947"/>
      <c r="V198" s="1599"/>
      <c r="W198" s="1599"/>
    </row>
    <row r="199" spans="1:24" s="26" customFormat="1" ht="23.25" customHeight="1">
      <c r="A199" s="396"/>
      <c r="B199" s="350" t="s">
        <v>1845</v>
      </c>
      <c r="C199" s="4222" t="s">
        <v>6253</v>
      </c>
      <c r="D199" s="4222"/>
      <c r="E199" s="4222"/>
      <c r="F199" s="4222"/>
      <c r="G199" s="4222"/>
      <c r="H199" s="4222"/>
      <c r="I199" s="4222"/>
      <c r="J199" s="4222"/>
      <c r="K199" s="4222"/>
      <c r="L199" s="4222"/>
      <c r="M199" s="103"/>
      <c r="N199" s="317" t="s">
        <v>1845</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520"/>
      <c r="B203" s="4521"/>
      <c r="C203" s="4521"/>
      <c r="D203" s="4521"/>
      <c r="E203" s="4521"/>
      <c r="F203" s="4521"/>
      <c r="G203" s="4521"/>
      <c r="H203" s="4521"/>
      <c r="I203" s="4521"/>
      <c r="J203" s="4521"/>
      <c r="K203" s="4521"/>
      <c r="L203" s="4521"/>
      <c r="M203" s="4521"/>
      <c r="N203" s="4521"/>
      <c r="O203" s="4521"/>
      <c r="P203" s="452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3822</v>
      </c>
      <c r="D207" s="38"/>
      <c r="E207" s="38"/>
      <c r="K207" s="1321"/>
      <c r="M207" s="458">
        <v>5</v>
      </c>
      <c r="N207" s="48" t="s">
        <v>1840</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59" t="s">
        <v>3205</v>
      </c>
      <c r="K208" s="4660"/>
      <c r="L208" s="4661"/>
      <c r="M208" s="4662"/>
      <c r="N208" s="53"/>
      <c r="R208" s="86"/>
      <c r="S208" s="70"/>
    </row>
    <row r="209" spans="1:27" ht="12.75" customHeight="1">
      <c r="C209" s="685" t="s">
        <v>6255</v>
      </c>
      <c r="D209" s="44"/>
      <c r="J209" s="4632"/>
      <c r="K209" s="4633"/>
      <c r="L209" s="4633"/>
      <c r="M209" s="463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6213</v>
      </c>
      <c r="C211" s="29"/>
      <c r="K211" s="48"/>
      <c r="L211" s="48"/>
      <c r="M211" s="458">
        <v>5</v>
      </c>
      <c r="N211" s="48" t="s">
        <v>1842</v>
      </c>
      <c r="O211" s="459"/>
      <c r="P211" s="664"/>
      <c r="Q211" s="1212" t="str">
        <f>IF(O211&lt;=M211,"","*CHECK!*")</f>
        <v/>
      </c>
      <c r="R211" s="795" t="s">
        <v>4058</v>
      </c>
      <c r="S211" s="1630"/>
      <c r="T211" s="1630"/>
      <c r="U211" s="1630"/>
    </row>
    <row r="212" spans="1:27">
      <c r="C212" s="1638" t="s">
        <v>6219</v>
      </c>
      <c r="E212" s="4464" t="s">
        <v>6218</v>
      </c>
      <c r="F212" s="4464"/>
      <c r="G212" s="4464"/>
      <c r="H212" s="4464"/>
      <c r="I212" s="1203" t="s">
        <v>6245</v>
      </c>
      <c r="J212" s="4464" t="s">
        <v>6218</v>
      </c>
      <c r="K212" s="4464"/>
      <c r="L212" s="4464"/>
      <c r="M212" s="4464"/>
      <c r="N212"/>
      <c r="O212"/>
      <c r="P212"/>
    </row>
    <row r="213" spans="1:27" ht="13.5" customHeight="1">
      <c r="B213" s="400"/>
      <c r="C213" s="29" t="s">
        <v>6216</v>
      </c>
      <c r="E213" s="4465"/>
      <c r="F213" s="4466"/>
      <c r="G213" s="4466"/>
      <c r="H213" s="4467"/>
      <c r="I213" s="1869" t="s">
        <v>906</v>
      </c>
      <c r="J213" s="4629"/>
      <c r="K213" s="4630"/>
      <c r="L213" s="4630"/>
      <c r="M213" s="4631"/>
      <c r="N213"/>
      <c r="Q213" s="24"/>
      <c r="R213" s="24"/>
      <c r="S213" s="24"/>
      <c r="T213" s="24"/>
      <c r="U213" s="24"/>
      <c r="V213" s="24"/>
      <c r="W213" s="24"/>
      <c r="X213" s="24"/>
      <c r="Y213" s="24"/>
      <c r="Z213" s="24"/>
      <c r="AA213" s="1870"/>
    </row>
    <row r="214" spans="1:27" ht="13.5" customHeight="1">
      <c r="C214" s="29" t="s">
        <v>6217</v>
      </c>
      <c r="E214" s="4577"/>
      <c r="F214" s="4578"/>
      <c r="G214" s="4578"/>
      <c r="H214" s="4579"/>
      <c r="I214" s="1908"/>
      <c r="J214" s="4458"/>
      <c r="K214" s="4459"/>
      <c r="L214" s="4459"/>
      <c r="M214" s="4460"/>
      <c r="N214" s="1212" t="str">
        <f>IF(P211&lt;=N211,"","*CHECK!*")</f>
        <v/>
      </c>
      <c r="Q214" s="24"/>
      <c r="R214" s="24"/>
      <c r="S214" s="24"/>
      <c r="T214" s="24"/>
      <c r="U214" s="24"/>
      <c r="V214" s="24"/>
      <c r="W214" s="24"/>
      <c r="X214" s="24"/>
      <c r="Y214" s="24"/>
      <c r="Z214" s="24"/>
      <c r="AA214" s="1870"/>
    </row>
    <row r="215" spans="1:27" ht="13.5" customHeight="1">
      <c r="B215" s="400"/>
      <c r="C215" s="29" t="s">
        <v>6214</v>
      </c>
      <c r="E215" s="4577"/>
      <c r="F215" s="4578"/>
      <c r="G215" s="4578"/>
      <c r="H215" s="4579"/>
      <c r="I215" s="1908"/>
      <c r="J215" s="4458"/>
      <c r="K215" s="4459"/>
      <c r="L215" s="4459"/>
      <c r="M215" s="4460"/>
      <c r="N215"/>
      <c r="Q215" s="24"/>
      <c r="R215" s="24"/>
      <c r="S215" s="24"/>
      <c r="T215" s="24"/>
      <c r="U215" s="24"/>
      <c r="V215" s="24"/>
      <c r="W215" s="24"/>
      <c r="X215" s="24"/>
      <c r="Y215" s="24"/>
      <c r="Z215" s="24"/>
      <c r="AA215" s="1870"/>
    </row>
    <row r="216" spans="1:27" ht="13.5" customHeight="1">
      <c r="B216" s="44"/>
      <c r="C216" s="29" t="s">
        <v>6215</v>
      </c>
      <c r="E216" s="4620"/>
      <c r="F216" s="4621"/>
      <c r="G216" s="4621"/>
      <c r="H216" s="4622"/>
      <c r="I216" s="1909"/>
      <c r="J216" s="4626"/>
      <c r="K216" s="4627"/>
      <c r="L216" s="4627"/>
      <c r="M216" s="462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1"/>
      <c r="B220" s="4462"/>
      <c r="C220" s="4462"/>
      <c r="D220" s="4462"/>
      <c r="E220" s="4462"/>
      <c r="F220" s="4462"/>
      <c r="G220" s="4462"/>
      <c r="H220" s="4462"/>
      <c r="I220" s="4462"/>
      <c r="J220" s="4462"/>
      <c r="K220" s="4462"/>
      <c r="L220" s="4462"/>
      <c r="M220" s="4462"/>
      <c r="N220" s="4462"/>
      <c r="O220" s="4462"/>
      <c r="P220" s="4463"/>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520"/>
      <c r="B223" s="4521"/>
      <c r="C223" s="4521"/>
      <c r="D223" s="4521"/>
      <c r="E223" s="4521"/>
      <c r="F223" s="4521"/>
      <c r="G223" s="4521"/>
      <c r="H223" s="4521"/>
      <c r="I223" s="4521"/>
      <c r="J223" s="4521"/>
      <c r="K223" s="4521"/>
      <c r="L223" s="4521"/>
      <c r="M223" s="4521"/>
      <c r="N223" s="4521"/>
      <c r="O223" s="4521"/>
      <c r="P223" s="452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54" t="str">
        <f>M55</f>
        <v>&lt;&lt; Select Activity Type &gt;&gt;</v>
      </c>
      <c r="L225" s="465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3153</v>
      </c>
      <c r="H226" s="1191">
        <f>IF('Part V-Revenues &amp; Expenses'!$P$67=0,0,'Part V-Revenues &amp; Expenses'!$P$64/'Part V-Revenues &amp; Expenses'!$P$67)</f>
        <v>0</v>
      </c>
      <c r="J226" s="370" t="s">
        <v>3959</v>
      </c>
      <c r="K226" s="4624" t="str">
        <f>'Part V-Revenues &amp; Expenses'!$O$53</f>
        <v>Income Averaging</v>
      </c>
      <c r="L226" s="4625"/>
      <c r="M226" s="31"/>
      <c r="N226" s="119"/>
      <c r="O226" s="24"/>
      <c r="P226" s="3"/>
    </row>
    <row r="227" spans="1:24" ht="12" customHeight="1">
      <c r="A227" s="686" t="s">
        <v>1840</v>
      </c>
      <c r="B227" s="67" t="s">
        <v>3957</v>
      </c>
      <c r="C227" s="44"/>
      <c r="E227" s="236" t="s">
        <v>3958</v>
      </c>
      <c r="M227" s="458">
        <v>1</v>
      </c>
      <c r="N227" s="48" t="s">
        <v>1840</v>
      </c>
      <c r="O227" s="1324"/>
      <c r="P227" s="1325"/>
      <c r="Q227" s="798" t="str">
        <f>IF(OR($O227=$M227,$O227=0,$O227=""),"","*CHECK!*")</f>
        <v/>
      </c>
      <c r="R227" s="795" t="s">
        <v>4058</v>
      </c>
    </row>
    <row r="228" spans="1:24" ht="12" customHeight="1">
      <c r="A228" s="686" t="s">
        <v>1842</v>
      </c>
      <c r="B228" s="67" t="s">
        <v>3812</v>
      </c>
      <c r="C228" s="44"/>
      <c r="E228" s="236" t="s">
        <v>4039</v>
      </c>
      <c r="M228" s="882">
        <v>1</v>
      </c>
      <c r="N228" s="48" t="s">
        <v>1842</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520"/>
      <c r="B231" s="4521"/>
      <c r="C231" s="4521"/>
      <c r="D231" s="4521"/>
      <c r="E231" s="4521"/>
      <c r="F231" s="4521"/>
      <c r="G231" s="4521"/>
      <c r="H231" s="4521"/>
      <c r="I231" s="4521"/>
      <c r="J231" s="4521"/>
      <c r="K231" s="4521"/>
      <c r="L231" s="4521"/>
      <c r="M231" s="4521"/>
      <c r="N231" s="4521"/>
      <c r="O231" s="4521"/>
      <c r="P231" s="452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3263</v>
      </c>
      <c r="D235" s="372"/>
      <c r="E235" s="372"/>
      <c r="F235" s="372"/>
      <c r="G235" s="372"/>
      <c r="H235" s="372"/>
      <c r="L235" s="372"/>
      <c r="M235" s="4618"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3264</v>
      </c>
      <c r="D236" s="372"/>
      <c r="L236" s="372"/>
      <c r="M236" s="4618"/>
      <c r="N236" s="48" t="s">
        <v>1842</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1"/>
      <c r="B238" s="4462"/>
      <c r="C238" s="4462"/>
      <c r="D238" s="4462"/>
      <c r="E238" s="4462"/>
      <c r="F238" s="4462"/>
      <c r="G238" s="4462"/>
      <c r="H238" s="4462"/>
      <c r="I238" s="4462"/>
      <c r="J238" s="4462"/>
      <c r="K238" s="4462"/>
      <c r="L238" s="4462"/>
      <c r="M238" s="4462"/>
      <c r="N238" s="4462"/>
      <c r="O238" s="4462"/>
      <c r="P238" s="4463"/>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520"/>
      <c r="B240" s="4521"/>
      <c r="C240" s="4521"/>
      <c r="D240" s="4521"/>
      <c r="E240" s="4521"/>
      <c r="F240" s="4521"/>
      <c r="G240" s="4521"/>
      <c r="H240" s="4521"/>
      <c r="I240" s="4521"/>
      <c r="J240" s="4521"/>
      <c r="K240" s="4521"/>
      <c r="L240" s="4521"/>
      <c r="M240" s="4521"/>
      <c r="N240" s="4521"/>
      <c r="O240" s="4521"/>
      <c r="P240" s="452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6257</v>
      </c>
      <c r="E244" s="33" t="s">
        <v>3309</v>
      </c>
      <c r="G244" s="1643"/>
      <c r="H244" s="48" t="s">
        <v>574</v>
      </c>
      <c r="I244" s="4489"/>
      <c r="J244" s="4489"/>
      <c r="L244" s="1662" t="s">
        <v>6259</v>
      </c>
      <c r="M244" s="4490"/>
      <c r="N244" s="4490"/>
    </row>
    <row r="245" spans="1:27" s="32" customFormat="1" ht="11.25" customHeight="1">
      <c r="A245" s="306"/>
      <c r="B245" s="350" t="s">
        <v>1845</v>
      </c>
      <c r="C245" s="29" t="s">
        <v>6258</v>
      </c>
      <c r="E245" s="33" t="s">
        <v>3309</v>
      </c>
      <c r="G245" s="1644"/>
      <c r="H245" s="48" t="s">
        <v>574</v>
      </c>
      <c r="I245" s="4619"/>
      <c r="J245" s="4619"/>
      <c r="L245" s="1662" t="s">
        <v>6259</v>
      </c>
      <c r="M245" s="4623"/>
      <c r="N245" s="462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1"/>
      <c r="B248" s="4462"/>
      <c r="C248" s="4462"/>
      <c r="D248" s="4462"/>
      <c r="E248" s="4462"/>
      <c r="F248" s="4462"/>
      <c r="G248" s="4462"/>
      <c r="H248" s="4462"/>
      <c r="I248" s="4462"/>
      <c r="J248" s="4462"/>
      <c r="K248" s="4462"/>
      <c r="L248" s="4462"/>
      <c r="M248" s="4462"/>
      <c r="N248" s="4462"/>
      <c r="O248" s="4462"/>
      <c r="P248" s="4463"/>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261"/>
      <c r="B250" s="4262"/>
      <c r="C250" s="4262"/>
      <c r="D250" s="4262"/>
      <c r="E250" s="4262"/>
      <c r="F250" s="4262"/>
      <c r="G250" s="4262"/>
      <c r="H250" s="4262"/>
      <c r="I250" s="4262"/>
      <c r="J250" s="4262"/>
      <c r="K250" s="4262"/>
      <c r="L250" s="4262"/>
      <c r="M250" s="4262"/>
      <c r="N250" s="4262"/>
      <c r="O250" s="4262"/>
      <c r="P250" s="426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1840</v>
      </c>
      <c r="B253" s="141" t="s">
        <v>6264</v>
      </c>
      <c r="M253" s="458">
        <v>5</v>
      </c>
      <c r="N253" s="48" t="s">
        <v>1840</v>
      </c>
      <c r="O253" s="1646"/>
      <c r="P253" s="901"/>
      <c r="Q253" s="798" t="str">
        <f>IF(OR($O253=$M253,$O253=$M253-1,$O253=0,$O253=""),"","*CHECK!*")</f>
        <v/>
      </c>
      <c r="R253" s="795" t="s">
        <v>4058</v>
      </c>
      <c r="S253" s="1645"/>
      <c r="T253" s="1645"/>
      <c r="U253" s="1645"/>
      <c r="V253" s="1645"/>
    </row>
    <row r="254" spans="1:27" s="26" customFormat="1" ht="11.25" customHeight="1">
      <c r="A254" s="107" t="s">
        <v>1842</v>
      </c>
      <c r="B254" s="141" t="s">
        <v>6266</v>
      </c>
      <c r="M254" s="458">
        <v>3</v>
      </c>
      <c r="N254" s="48" t="s">
        <v>1842</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1"/>
      <c r="B257" s="4462"/>
      <c r="C257" s="4462"/>
      <c r="D257" s="4462"/>
      <c r="E257" s="4462"/>
      <c r="F257" s="4462"/>
      <c r="G257" s="4462"/>
      <c r="H257" s="4462"/>
      <c r="I257" s="4462"/>
      <c r="J257" s="4462"/>
      <c r="K257" s="4462"/>
      <c r="L257" s="4462"/>
      <c r="M257" s="4462"/>
      <c r="N257" s="4462"/>
      <c r="O257" s="4462"/>
      <c r="P257" s="4463"/>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261"/>
      <c r="B259" s="4262"/>
      <c r="C259" s="4262"/>
      <c r="D259" s="4262"/>
      <c r="E259" s="4262"/>
      <c r="F259" s="4262"/>
      <c r="G259" s="4262"/>
      <c r="H259" s="4262"/>
      <c r="I259" s="4262"/>
      <c r="J259" s="4262"/>
      <c r="K259" s="4262"/>
      <c r="L259" s="4262"/>
      <c r="M259" s="4262"/>
      <c r="N259" s="4262"/>
      <c r="O259" s="4262"/>
      <c r="P259" s="4263"/>
      <c r="Q259" s="354"/>
    </row>
    <row r="260" spans="1:21" ht="6" customHeight="1" thickBot="1">
      <c r="T260" s="845"/>
      <c r="U260" s="845"/>
    </row>
    <row r="261" spans="1:21" s="36" customFormat="1" ht="13.5" customHeight="1" thickBot="1">
      <c r="A261" s="121" t="s">
        <v>2079</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6612</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6613</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1842</v>
      </c>
      <c r="B266" s="141" t="s">
        <v>3952</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244" t="s">
        <v>6615</v>
      </c>
      <c r="C267" s="4244"/>
      <c r="D267" s="4244"/>
      <c r="E267" s="4244"/>
      <c r="F267" s="4244"/>
      <c r="G267" s="4244"/>
      <c r="H267" s="4244"/>
      <c r="I267" s="4244"/>
      <c r="J267" s="4244"/>
      <c r="K267" s="4244"/>
      <c r="L267" s="4244"/>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2" t="s">
        <v>6616</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c r="B270" s="4222" t="s">
        <v>6230</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261"/>
      <c r="B272" s="4262"/>
      <c r="C272" s="4262"/>
      <c r="D272" s="4262"/>
      <c r="E272" s="4262"/>
      <c r="F272" s="4262"/>
      <c r="G272" s="4262"/>
      <c r="H272" s="4262"/>
      <c r="I272" s="4262"/>
      <c r="J272" s="4262"/>
      <c r="K272" s="4262"/>
      <c r="L272" s="4262"/>
      <c r="M272" s="4262"/>
      <c r="N272" s="4262"/>
      <c r="O272" s="4262"/>
      <c r="P272" s="426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6573</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6574</v>
      </c>
      <c r="D277" s="372"/>
      <c r="L277" s="372"/>
      <c r="M277" s="882">
        <v>2</v>
      </c>
      <c r="N277" s="48" t="s">
        <v>1842</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40"/>
      <c r="C279" s="4641"/>
      <c r="D279" s="4641"/>
      <c r="E279" s="4641"/>
      <c r="F279" s="4641"/>
      <c r="G279" s="4641"/>
      <c r="H279" s="4641"/>
      <c r="I279" s="4641"/>
      <c r="J279" s="4641"/>
      <c r="K279" s="4641"/>
      <c r="L279" s="4641"/>
      <c r="M279" s="4641"/>
      <c r="N279" s="4641"/>
      <c r="O279" s="4641"/>
      <c r="P279" s="464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1"/>
      <c r="B281" s="4462"/>
      <c r="C281" s="4462"/>
      <c r="D281" s="4462"/>
      <c r="E281" s="4462"/>
      <c r="F281" s="4462"/>
      <c r="G281" s="4462"/>
      <c r="H281" s="4462"/>
      <c r="I281" s="4462"/>
      <c r="J281" s="4462"/>
      <c r="K281" s="4462"/>
      <c r="L281" s="4462"/>
      <c r="M281" s="4462"/>
      <c r="N281" s="4462"/>
      <c r="O281" s="4462"/>
      <c r="P281" s="4463"/>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520"/>
      <c r="B283" s="4521"/>
      <c r="C283" s="4521"/>
      <c r="D283" s="4521"/>
      <c r="E283" s="4521"/>
      <c r="F283" s="4521"/>
      <c r="G283" s="4521"/>
      <c r="H283" s="4521"/>
      <c r="I283" s="4521"/>
      <c r="J283" s="4521"/>
      <c r="K283" s="4521"/>
      <c r="L283" s="4521"/>
      <c r="M283" s="4521"/>
      <c r="N283" s="4521"/>
      <c r="O283" s="4521"/>
      <c r="P283" s="452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68"/>
      <c r="J287" s="4669"/>
      <c r="K287" s="4670"/>
      <c r="L287" s="4671"/>
      <c r="M287" s="456"/>
      <c r="O287" s="1919"/>
      <c r="P287" s="1920"/>
      <c r="Q287" s="86"/>
      <c r="R287" s="1630"/>
      <c r="S287" s="1630"/>
      <c r="T287" s="1630"/>
      <c r="U287" s="1630"/>
      <c r="V287" s="1630"/>
      <c r="W287" s="36"/>
      <c r="X287" s="36"/>
    </row>
    <row r="288" spans="1:24" s="70" customFormat="1" ht="11.25" customHeight="1">
      <c r="A288" s="120"/>
      <c r="C288" s="29" t="s">
        <v>6691</v>
      </c>
      <c r="G288" s="147"/>
      <c r="I288" s="4672"/>
      <c r="J288" s="4673"/>
      <c r="M288" s="456"/>
      <c r="O288" s="1919"/>
      <c r="P288" s="1920"/>
      <c r="Q288" s="86"/>
      <c r="R288" s="1630"/>
      <c r="S288" s="1630"/>
      <c r="T288" s="1630"/>
      <c r="U288" s="1630"/>
      <c r="V288" s="1630"/>
      <c r="W288" s="36"/>
      <c r="X288" s="36"/>
    </row>
    <row r="289" spans="1:24" s="70" customFormat="1" ht="11.25" customHeight="1">
      <c r="A289" s="120"/>
      <c r="C289" s="29" t="s">
        <v>6693</v>
      </c>
      <c r="G289" s="147"/>
      <c r="I289" s="4674" t="s">
        <v>6694</v>
      </c>
      <c r="J289" s="4675"/>
      <c r="K289" s="4676"/>
      <c r="L289" s="4677"/>
      <c r="M289" s="456"/>
      <c r="O289" s="4678" t="s">
        <v>3150</v>
      </c>
      <c r="P289" s="4678" t="s">
        <v>3151</v>
      </c>
      <c r="Q289" s="86"/>
      <c r="R289" s="1630"/>
      <c r="S289" s="1630"/>
      <c r="T289" s="1630"/>
      <c r="U289" s="1630"/>
      <c r="V289" s="1630"/>
      <c r="W289" s="36"/>
      <c r="X289" s="36"/>
    </row>
    <row r="290" spans="1:24" s="36" customFormat="1" ht="11.25" customHeight="1">
      <c r="A290" s="120"/>
      <c r="B290" s="29" t="s">
        <v>6581</v>
      </c>
      <c r="D290" s="34"/>
      <c r="H290" s="141"/>
      <c r="M290" s="119"/>
      <c r="N290" s="48"/>
      <c r="O290" s="4679"/>
      <c r="P290" s="4679"/>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6578</v>
      </c>
      <c r="D295" s="372"/>
      <c r="E295" s="372"/>
      <c r="G295" s="372" t="s">
        <v>6586</v>
      </c>
      <c r="H295" s="372"/>
      <c r="L295" s="372"/>
      <c r="M295" s="882">
        <v>2</v>
      </c>
      <c r="N295" s="48" t="s">
        <v>1840</v>
      </c>
      <c r="O295" s="899"/>
      <c r="P295" s="883"/>
      <c r="Q295" s="1841" t="str">
        <f>IF(OR(O295=0,O295="",O295=$M295),"","Check!")</f>
        <v/>
      </c>
      <c r="R295" s="867" t="s">
        <v>2459</v>
      </c>
      <c r="S295" s="1630"/>
      <c r="T295" s="1630"/>
      <c r="U295" s="1630"/>
      <c r="V295" s="1630"/>
    </row>
    <row r="296" spans="1:24" s="332" customFormat="1" ht="21.75" customHeight="1">
      <c r="A296" s="1608"/>
      <c r="B296" s="350" t="s">
        <v>1843</v>
      </c>
      <c r="C296" s="4222" t="s">
        <v>6587</v>
      </c>
      <c r="D296" s="4222"/>
      <c r="E296" s="4222"/>
      <c r="F296" s="4222"/>
      <c r="G296" s="4222"/>
      <c r="H296" s="4222"/>
      <c r="I296" s="4222"/>
      <c r="J296" s="4222"/>
      <c r="K296" s="4222"/>
      <c r="L296" s="4222"/>
      <c r="M296" s="4222"/>
      <c r="N296" s="150" t="s">
        <v>1843</v>
      </c>
      <c r="O296" s="1287"/>
      <c r="P296" s="1288"/>
      <c r="Q296" s="331"/>
      <c r="R296" s="1840"/>
      <c r="S296" s="1840"/>
      <c r="T296" s="1840"/>
      <c r="U296" s="1840"/>
    </row>
    <row r="297" spans="1:24" s="332" customFormat="1" ht="21.75" customHeight="1" thickBot="1">
      <c r="A297" s="1608"/>
      <c r="B297" s="350" t="s">
        <v>1845</v>
      </c>
      <c r="C297" s="4222" t="s">
        <v>6588</v>
      </c>
      <c r="D297" s="4222"/>
      <c r="E297" s="4222"/>
      <c r="F297" s="4222"/>
      <c r="G297" s="4222"/>
      <c r="H297" s="4222"/>
      <c r="I297" s="4222"/>
      <c r="J297" s="4222"/>
      <c r="K297" s="4222"/>
      <c r="L297" s="4222"/>
      <c r="M297" s="4222"/>
      <c r="N297" s="150" t="s">
        <v>1845</v>
      </c>
      <c r="O297" s="896"/>
      <c r="P297" s="895"/>
      <c r="Q297" s="331"/>
      <c r="R297" s="1840"/>
      <c r="S297" s="1840"/>
      <c r="T297" s="1840"/>
      <c r="U297" s="1840"/>
    </row>
    <row r="298" spans="1:24" ht="11.25" customHeight="1" thickBot="1">
      <c r="A298" s="686" t="s">
        <v>1842</v>
      </c>
      <c r="B298" s="885" t="s">
        <v>6579</v>
      </c>
      <c r="D298" s="372"/>
      <c r="G298" s="44" t="s">
        <v>6589</v>
      </c>
      <c r="L298" s="372"/>
      <c r="M298" s="882">
        <v>2</v>
      </c>
      <c r="N298" s="48" t="s">
        <v>1842</v>
      </c>
      <c r="O298" s="899"/>
      <c r="P298" s="883"/>
      <c r="Q298" s="1841" t="str">
        <f>IF(OR(O298=0,O298="",O298=$M298),"","Check!")</f>
        <v/>
      </c>
      <c r="R298" s="867" t="s">
        <v>2459</v>
      </c>
      <c r="S298" s="1630"/>
      <c r="T298" s="1630"/>
      <c r="U298" s="1630"/>
      <c r="V298" s="1630"/>
    </row>
    <row r="299" spans="1:24" s="332" customFormat="1" ht="10.5" customHeight="1">
      <c r="A299" s="1608"/>
      <c r="B299" s="350" t="s">
        <v>1843</v>
      </c>
      <c r="C299" s="4222" t="s">
        <v>6590</v>
      </c>
      <c r="D299" s="4222"/>
      <c r="E299" s="4222"/>
      <c r="F299" s="4222"/>
      <c r="G299" s="4222"/>
      <c r="H299" s="4222"/>
      <c r="I299" s="4222"/>
      <c r="J299" s="4222"/>
      <c r="K299" s="4222"/>
      <c r="L299" s="4222"/>
      <c r="M299" s="4222"/>
      <c r="N299" s="150" t="s">
        <v>1843</v>
      </c>
      <c r="O299" s="1287"/>
      <c r="P299" s="1288"/>
      <c r="Q299" s="331"/>
      <c r="R299" s="1840"/>
      <c r="S299" s="1840"/>
      <c r="T299" s="1840"/>
      <c r="U299" s="1840"/>
    </row>
    <row r="300" spans="1:24" s="332" customFormat="1" ht="10.5" customHeight="1">
      <c r="A300" s="1608"/>
      <c r="B300" s="350" t="s">
        <v>1845</v>
      </c>
      <c r="C300" s="4222" t="s">
        <v>6591</v>
      </c>
      <c r="D300" s="4222"/>
      <c r="E300" s="4222"/>
      <c r="F300" s="4222"/>
      <c r="G300" s="4222"/>
      <c r="H300" s="4222"/>
      <c r="I300" s="4222"/>
      <c r="J300" s="4222"/>
      <c r="K300" s="4222"/>
      <c r="L300" s="4222"/>
      <c r="M300" s="4222"/>
      <c r="N300" s="150" t="s">
        <v>1845</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22" t="s">
        <v>6594</v>
      </c>
      <c r="D304" s="4222"/>
      <c r="E304" s="4222"/>
      <c r="F304" s="4222"/>
      <c r="G304" s="4222"/>
      <c r="H304" s="4222"/>
      <c r="I304" s="4222"/>
      <c r="J304" s="4222"/>
      <c r="K304" s="4222"/>
      <c r="L304" s="4222"/>
      <c r="M304" s="4222"/>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1"/>
      <c r="B306" s="4462"/>
      <c r="C306" s="4462"/>
      <c r="D306" s="4462"/>
      <c r="E306" s="4462"/>
      <c r="F306" s="4462"/>
      <c r="G306" s="4462"/>
      <c r="H306" s="4462"/>
      <c r="I306" s="4462"/>
      <c r="J306" s="4462"/>
      <c r="K306" s="4462"/>
      <c r="L306" s="4462"/>
      <c r="M306" s="4462"/>
      <c r="N306" s="4462"/>
      <c r="O306" s="4462"/>
      <c r="P306" s="4463"/>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520"/>
      <c r="B308" s="4521"/>
      <c r="C308" s="4521"/>
      <c r="D308" s="4521"/>
      <c r="E308" s="4521"/>
      <c r="F308" s="4521"/>
      <c r="G308" s="4521"/>
      <c r="H308" s="4521"/>
      <c r="I308" s="4521"/>
      <c r="J308" s="4521"/>
      <c r="K308" s="4521"/>
      <c r="L308" s="4521"/>
      <c r="M308" s="4521"/>
      <c r="N308" s="4521"/>
      <c r="O308" s="4521"/>
      <c r="P308" s="452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6584</v>
      </c>
      <c r="D311" s="372"/>
      <c r="E311" s="372" t="s">
        <v>6595</v>
      </c>
      <c r="F311" s="372"/>
      <c r="G311" s="372"/>
      <c r="H311" s="372"/>
      <c r="I311" s="4486"/>
      <c r="J311" s="4487"/>
      <c r="K311" s="4487"/>
      <c r="L311" s="4488"/>
      <c r="M311" s="882">
        <v>2</v>
      </c>
      <c r="N311" s="48" t="s">
        <v>1840</v>
      </c>
      <c r="O311" s="1324"/>
      <c r="P311" s="1325"/>
      <c r="Q311" s="1841" t="str">
        <f>IF(OR(O311=0,O311="",O311=$M311),"","Check!")</f>
        <v/>
      </c>
      <c r="R311" s="867" t="s">
        <v>2459</v>
      </c>
      <c r="S311" s="1630"/>
      <c r="T311" s="1630"/>
      <c r="U311" s="1630"/>
      <c r="V311" s="1630"/>
    </row>
    <row r="312" spans="1:22" ht="11.25" customHeight="1">
      <c r="A312" s="686" t="s">
        <v>1842</v>
      </c>
      <c r="B312" s="885" t="s">
        <v>6585</v>
      </c>
      <c r="D312" s="372"/>
      <c r="L312" s="372"/>
      <c r="M312" s="882">
        <v>2</v>
      </c>
      <c r="N312" s="48" t="s">
        <v>1842</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1"/>
      <c r="B314" s="4462"/>
      <c r="C314" s="4462"/>
      <c r="D314" s="4462"/>
      <c r="E314" s="4462"/>
      <c r="F314" s="4462"/>
      <c r="G314" s="4462"/>
      <c r="H314" s="4462"/>
      <c r="I314" s="4462"/>
      <c r="J314" s="4462"/>
      <c r="K314" s="4462"/>
      <c r="L314" s="4462"/>
      <c r="M314" s="4462"/>
      <c r="N314" s="4462"/>
      <c r="O314" s="4462"/>
      <c r="P314" s="4463"/>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520"/>
      <c r="B316" s="4521"/>
      <c r="C316" s="4521"/>
      <c r="D316" s="4521"/>
      <c r="E316" s="4521"/>
      <c r="F316" s="4521"/>
      <c r="G316" s="4521"/>
      <c r="H316" s="4521"/>
      <c r="I316" s="4521"/>
      <c r="J316" s="4521"/>
      <c r="K316" s="4521"/>
      <c r="L316" s="4521"/>
      <c r="M316" s="4521"/>
      <c r="N316" s="4521"/>
      <c r="O316" s="4521"/>
      <c r="P316" s="452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3343</v>
      </c>
      <c r="C320" s="67"/>
      <c r="D320" s="44"/>
      <c r="E320" s="29"/>
      <c r="G320" s="1446"/>
      <c r="I320" s="33" t="s">
        <v>4077</v>
      </c>
      <c r="K320" s="1605">
        <f>'Part VIII Scoring Criteria OLD'!P42</f>
        <v>0</v>
      </c>
      <c r="M320" s="458">
        <v>2</v>
      </c>
      <c r="N320" s="48" t="s">
        <v>1840</v>
      </c>
      <c r="P320" s="416"/>
      <c r="Q320" s="86"/>
      <c r="R320" s="867" t="s">
        <v>2459</v>
      </c>
    </row>
    <row r="321" spans="1:19" s="70" customFormat="1" ht="10.5" customHeight="1">
      <c r="A321" s="686"/>
      <c r="B321" s="306" t="s">
        <v>1843</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1845</v>
      </c>
      <c r="C323" s="29" t="s">
        <v>3348</v>
      </c>
      <c r="D323" s="26"/>
      <c r="N323" s="348" t="s">
        <v>1845</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1842</v>
      </c>
      <c r="B326" s="141" t="s">
        <v>3344</v>
      </c>
      <c r="C326" s="67"/>
      <c r="D326" s="44"/>
      <c r="E326" s="29"/>
      <c r="G326" s="1446"/>
      <c r="I326" s="380"/>
      <c r="L326" s="920"/>
      <c r="M326" s="458">
        <v>2</v>
      </c>
      <c r="N326" s="48" t="s">
        <v>1842</v>
      </c>
      <c r="P326" s="416"/>
      <c r="Q326" s="86"/>
      <c r="R326" s="867" t="s">
        <v>2459</v>
      </c>
    </row>
    <row r="327" spans="1:19" s="70" customFormat="1" ht="10.5" customHeight="1">
      <c r="A327" s="121"/>
      <c r="B327" s="306" t="s">
        <v>1843</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1845</v>
      </c>
      <c r="C329" s="29" t="s">
        <v>3360</v>
      </c>
      <c r="D329" s="26"/>
      <c r="N329" s="348" t="s">
        <v>1845</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261"/>
      <c r="B332" s="4262"/>
      <c r="C332" s="4262"/>
      <c r="D332" s="4262"/>
      <c r="E332" s="4262"/>
      <c r="F332" s="4262"/>
      <c r="G332" s="4262"/>
      <c r="H332" s="4262"/>
      <c r="I332" s="4262"/>
      <c r="J332" s="4262"/>
      <c r="K332" s="4262"/>
      <c r="L332" s="4262"/>
      <c r="M332" s="4262"/>
      <c r="N332" s="4262"/>
      <c r="O332" s="4262"/>
      <c r="P332" s="4263"/>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3154</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1"/>
      <c r="B338" s="4462"/>
      <c r="C338" s="4462"/>
      <c r="D338" s="4462"/>
      <c r="E338" s="4462"/>
      <c r="F338" s="4462"/>
      <c r="G338" s="4462"/>
      <c r="H338" s="4462"/>
      <c r="I338" s="4462"/>
      <c r="J338" s="4462"/>
      <c r="K338" s="4462"/>
      <c r="L338" s="4462"/>
      <c r="M338" s="4462"/>
      <c r="N338" s="4462"/>
      <c r="O338" s="4462"/>
      <c r="P338" s="4463"/>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261"/>
      <c r="B340" s="4262"/>
      <c r="C340" s="4262"/>
      <c r="D340" s="4262"/>
      <c r="E340" s="4262"/>
      <c r="F340" s="4262"/>
      <c r="G340" s="4262"/>
      <c r="H340" s="4262"/>
      <c r="I340" s="4262"/>
      <c r="J340" s="4262"/>
      <c r="K340" s="4262"/>
      <c r="L340" s="4262"/>
      <c r="M340" s="4262"/>
      <c r="N340" s="4262"/>
      <c r="O340" s="4262"/>
      <c r="P340" s="4263"/>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2516</v>
      </c>
      <c r="E344" s="67"/>
      <c r="F344" s="29"/>
      <c r="G344" s="29"/>
      <c r="H344" s="29"/>
      <c r="I344" s="29"/>
      <c r="J344" s="36"/>
      <c r="K344" s="31"/>
      <c r="L344" s="4617" t="str">
        <f>IF(OR(O344="No",O344="",O345="No",O345="",O346="No",O346="",O347="No",O347=""),"Unmet criterion results in no points!","")</f>
        <v>Unmet criterion results in no points!</v>
      </c>
      <c r="M344" s="4617"/>
      <c r="N344" s="49" t="s">
        <v>2239</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c r="B345" s="49" t="s">
        <v>2240</v>
      </c>
      <c r="C345" s="29" t="s">
        <v>3275</v>
      </c>
      <c r="L345" s="4617"/>
      <c r="M345" s="4617"/>
      <c r="N345" s="49" t="s">
        <v>2240</v>
      </c>
      <c r="O345" s="299"/>
      <c r="P345" s="420"/>
      <c r="R345" s="4613"/>
      <c r="S345" s="4613"/>
    </row>
    <row r="346" spans="1:20" s="79" customFormat="1" ht="12.75" customHeight="1">
      <c r="B346" s="49" t="s">
        <v>2241</v>
      </c>
      <c r="C346" s="29" t="s">
        <v>3274</v>
      </c>
      <c r="L346" s="4617"/>
      <c r="M346" s="4617"/>
      <c r="N346" s="49" t="s">
        <v>2241</v>
      </c>
      <c r="O346" s="299"/>
      <c r="P346" s="420"/>
      <c r="R346" s="4613"/>
      <c r="S346" s="4613"/>
    </row>
    <row r="347" spans="1:20" s="79" customFormat="1" ht="33.75" customHeight="1">
      <c r="B347" s="117" t="s">
        <v>2242</v>
      </c>
      <c r="C347" s="4222" t="s">
        <v>6596</v>
      </c>
      <c r="D347" s="4222"/>
      <c r="E347" s="4222"/>
      <c r="F347" s="4222"/>
      <c r="G347" s="4222"/>
      <c r="H347" s="4222"/>
      <c r="I347" s="4222"/>
      <c r="J347" s="4222"/>
      <c r="K347" s="4222"/>
      <c r="L347" s="4222"/>
      <c r="M347" s="4222"/>
      <c r="N347" s="117" t="s">
        <v>2242</v>
      </c>
      <c r="O347" s="896"/>
      <c r="P347" s="895"/>
    </row>
    <row r="348" spans="1:20" ht="3" customHeight="1" thickBot="1">
      <c r="C348" s="4222"/>
      <c r="D348" s="4222"/>
      <c r="E348" s="4222"/>
      <c r="F348" s="4222"/>
      <c r="G348" s="4222"/>
      <c r="H348" s="4222"/>
      <c r="I348" s="4222"/>
      <c r="J348" s="4222"/>
      <c r="K348" s="4222"/>
      <c r="L348" s="4222"/>
      <c r="M348" s="4222"/>
    </row>
    <row r="349" spans="1:20" ht="12.75" customHeight="1" thickBot="1">
      <c r="A349" s="806" t="s">
        <v>1840</v>
      </c>
      <c r="B349" s="141" t="s">
        <v>3347</v>
      </c>
      <c r="L349" s="307" t="str">
        <f>IF(O349&lt;=M349,"","* * Check Score! * *")</f>
        <v/>
      </c>
      <c r="M349" s="458">
        <v>3</v>
      </c>
      <c r="N349" s="48" t="s">
        <v>1840</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62" t="s">
        <v>1847</v>
      </c>
      <c r="K351" s="4562"/>
      <c r="M351" s="4562" t="s">
        <v>1847</v>
      </c>
      <c r="N351" s="4562"/>
      <c r="O351" s="4562"/>
      <c r="P351" s="4562"/>
      <c r="R351" s="1836"/>
      <c r="S351" s="1836"/>
      <c r="T351" s="1426"/>
    </row>
    <row r="352" spans="1:20" s="36" customFormat="1" ht="12.75" customHeight="1">
      <c r="A352" s="151"/>
      <c r="B352" s="150" t="s">
        <v>6598</v>
      </c>
      <c r="C352" s="29" t="s">
        <v>1388</v>
      </c>
      <c r="I352" s="49" t="s">
        <v>2239</v>
      </c>
      <c r="J352" s="4552"/>
      <c r="K352" s="4553"/>
      <c r="L352" s="49" t="s">
        <v>2239</v>
      </c>
      <c r="M352" s="4656"/>
      <c r="N352" s="4657"/>
      <c r="O352" s="4657"/>
      <c r="P352" s="4658"/>
      <c r="R352" s="307"/>
    </row>
    <row r="353" spans="1:18" ht="12.75" customHeight="1">
      <c r="A353" s="152"/>
      <c r="B353" s="117" t="s">
        <v>2240</v>
      </c>
      <c r="C353" s="29" t="s">
        <v>3156</v>
      </c>
      <c r="I353" s="117" t="s">
        <v>2240</v>
      </c>
      <c r="J353" s="4557"/>
      <c r="K353" s="4558"/>
      <c r="L353" s="117" t="s">
        <v>2240</v>
      </c>
      <c r="M353" s="4559"/>
      <c r="N353" s="4560"/>
      <c r="O353" s="4560"/>
      <c r="P353" s="4561"/>
      <c r="R353" s="307"/>
    </row>
    <row r="354" spans="1:18" ht="12.75" customHeight="1">
      <c r="B354" s="49" t="s">
        <v>2241</v>
      </c>
      <c r="C354" s="29" t="s">
        <v>3953</v>
      </c>
      <c r="I354" s="49" t="s">
        <v>2241</v>
      </c>
      <c r="J354" s="4557"/>
      <c r="K354" s="4558"/>
      <c r="L354" s="49" t="s">
        <v>2241</v>
      </c>
      <c r="M354" s="4559"/>
      <c r="N354" s="4560"/>
      <c r="O354" s="4560"/>
      <c r="P354" s="4561"/>
      <c r="R354" s="307"/>
    </row>
    <row r="355" spans="1:18" ht="12.75" customHeight="1">
      <c r="A355" s="152"/>
      <c r="B355" s="49" t="s">
        <v>2242</v>
      </c>
      <c r="C355" s="29" t="s">
        <v>3071</v>
      </c>
      <c r="I355" s="49" t="s">
        <v>2242</v>
      </c>
      <c r="J355" s="4557"/>
      <c r="K355" s="4558"/>
      <c r="L355" s="49" t="s">
        <v>2242</v>
      </c>
      <c r="M355" s="4559"/>
      <c r="N355" s="4560"/>
      <c r="O355" s="4560"/>
      <c r="P355" s="4561"/>
      <c r="R355" s="307"/>
    </row>
    <row r="356" spans="1:18" s="36" customFormat="1" ht="12.75" customHeight="1">
      <c r="A356" s="151"/>
      <c r="B356" s="117" t="s">
        <v>2243</v>
      </c>
      <c r="C356" s="29" t="s">
        <v>2473</v>
      </c>
      <c r="I356" s="117" t="s">
        <v>2243</v>
      </c>
      <c r="J356" s="4557"/>
      <c r="K356" s="4558"/>
      <c r="L356" s="117" t="s">
        <v>2243</v>
      </c>
      <c r="M356" s="4559"/>
      <c r="N356" s="4560"/>
      <c r="O356" s="4560"/>
      <c r="P356" s="4561"/>
      <c r="R356" s="307"/>
    </row>
    <row r="357" spans="1:18" ht="12.75" customHeight="1">
      <c r="B357" s="49" t="s">
        <v>2259</v>
      </c>
      <c r="C357" s="29" t="s">
        <v>1387</v>
      </c>
      <c r="I357" s="49" t="s">
        <v>2259</v>
      </c>
      <c r="J357" s="4557"/>
      <c r="K357" s="4558"/>
      <c r="L357" s="49" t="s">
        <v>2259</v>
      </c>
      <c r="M357" s="4559"/>
      <c r="N357" s="4560"/>
      <c r="O357" s="4560"/>
      <c r="P357" s="4561"/>
      <c r="R357" s="307"/>
    </row>
    <row r="358" spans="1:18" ht="12.75" customHeight="1">
      <c r="B358" s="49" t="s">
        <v>2260</v>
      </c>
      <c r="C358" s="29" t="s">
        <v>6232</v>
      </c>
      <c r="I358" s="49" t="s">
        <v>2260</v>
      </c>
      <c r="J358" s="4557"/>
      <c r="K358" s="4558"/>
      <c r="L358" s="49" t="s">
        <v>2260</v>
      </c>
      <c r="M358" s="1601"/>
      <c r="N358" s="1602"/>
      <c r="O358" s="1602"/>
      <c r="P358" s="1603"/>
      <c r="R358" s="307"/>
    </row>
    <row r="359" spans="1:18" ht="12.75" customHeight="1">
      <c r="A359" s="152"/>
      <c r="B359" s="48" t="s">
        <v>2261</v>
      </c>
      <c r="C359" s="29" t="s">
        <v>3155</v>
      </c>
      <c r="I359" s="48" t="s">
        <v>2261</v>
      </c>
      <c r="J359" s="4557"/>
      <c r="K359" s="4558"/>
      <c r="L359" s="48" t="s">
        <v>2261</v>
      </c>
      <c r="M359" s="4559"/>
      <c r="N359" s="4560"/>
      <c r="O359" s="4560"/>
      <c r="P359" s="4561"/>
      <c r="R359" s="307"/>
    </row>
    <row r="360" spans="1:18" ht="12.75" customHeight="1">
      <c r="B360" s="48" t="s">
        <v>2262</v>
      </c>
      <c r="C360" s="29" t="s">
        <v>6599</v>
      </c>
      <c r="I360" s="48" t="s">
        <v>2262</v>
      </c>
      <c r="J360" s="4557"/>
      <c r="K360" s="4558"/>
      <c r="L360" s="48" t="s">
        <v>2262</v>
      </c>
      <c r="M360" s="4559"/>
      <c r="N360" s="4560"/>
      <c r="O360" s="4560"/>
      <c r="P360" s="4561"/>
      <c r="R360" s="307"/>
    </row>
    <row r="361" spans="1:18" ht="12.75" customHeight="1">
      <c r="B361" s="48" t="s">
        <v>3157</v>
      </c>
      <c r="C361" s="29" t="s">
        <v>3825</v>
      </c>
      <c r="I361" s="48" t="s">
        <v>3157</v>
      </c>
      <c r="J361" s="4557"/>
      <c r="K361" s="4558"/>
      <c r="L361" s="48" t="s">
        <v>3157</v>
      </c>
      <c r="M361" s="4559"/>
      <c r="N361" s="4560"/>
      <c r="O361" s="4560"/>
      <c r="P361" s="4561"/>
      <c r="R361" s="307"/>
    </row>
    <row r="362" spans="1:18" ht="12.75" customHeight="1" thickBot="1">
      <c r="B362" s="48" t="s">
        <v>6233</v>
      </c>
      <c r="C362" s="29" t="s">
        <v>6234</v>
      </c>
      <c r="I362" s="48" t="s">
        <v>6233</v>
      </c>
      <c r="J362" s="4557"/>
      <c r="K362" s="4558"/>
      <c r="L362" s="48" t="s">
        <v>6233</v>
      </c>
      <c r="M362" s="4647"/>
      <c r="N362" s="4648"/>
      <c r="O362" s="4648"/>
      <c r="P362" s="4649"/>
      <c r="R362" s="307"/>
    </row>
    <row r="363" spans="1:18" ht="12.75" customHeight="1" thickBot="1">
      <c r="B363" s="919" t="s">
        <v>6600</v>
      </c>
      <c r="H363" s="89" t="s">
        <v>2412</v>
      </c>
      <c r="J363" s="4548">
        <f>SUM(J352:K362)</f>
        <v>0</v>
      </c>
      <c r="K363" s="4549"/>
      <c r="M363" s="4548">
        <f>SUM($M352:$M362)</f>
        <v>0</v>
      </c>
      <c r="N363" s="4551"/>
      <c r="O363" s="4551"/>
      <c r="P363" s="4549"/>
      <c r="R363" s="307"/>
    </row>
    <row r="364" spans="1:18" ht="6" customHeight="1">
      <c r="M364" s="393"/>
      <c r="N364" s="393"/>
      <c r="O364" s="115"/>
      <c r="P364" s="393"/>
    </row>
    <row r="365" spans="1:18" s="36" customFormat="1" ht="12" customHeight="1">
      <c r="A365" s="35"/>
      <c r="B365" s="1193" t="s">
        <v>1845</v>
      </c>
      <c r="C365" s="400" t="s">
        <v>2411</v>
      </c>
      <c r="D365" s="230"/>
      <c r="E365" s="230"/>
      <c r="F365" s="33" t="s">
        <v>6235</v>
      </c>
      <c r="H365"/>
      <c r="I365"/>
      <c r="J365" s="4666">
        <f>'Part V-Revenues &amp; Expenses'!$P$67</f>
        <v>210</v>
      </c>
      <c r="K365" s="4667"/>
      <c r="L365" s="430"/>
      <c r="M365" s="393"/>
      <c r="N365" s="393"/>
      <c r="O365" s="881"/>
      <c r="P365" s="393"/>
    </row>
    <row r="366" spans="1:18" ht="13.5" customHeight="1">
      <c r="C366" s="230"/>
      <c r="D366" s="230"/>
      <c r="E366" s="230"/>
      <c r="F366" s="349" t="s">
        <v>6236</v>
      </c>
      <c r="J366" s="4664">
        <f>IF(J365=0,0,J363/J365)</f>
        <v>0</v>
      </c>
      <c r="K366" s="4665"/>
      <c r="M366" s="4554">
        <f>IF($J365=0,0,$M363/$J365)</f>
        <v>0</v>
      </c>
      <c r="N366" s="4555"/>
      <c r="O366" s="4555"/>
      <c r="P366" s="4556"/>
    </row>
    <row r="367" spans="1:18" s="36" customFormat="1" ht="12.75" customHeight="1">
      <c r="C367" s="230"/>
      <c r="D367" s="230"/>
      <c r="E367" s="230"/>
      <c r="F367" s="44" t="s">
        <v>6237</v>
      </c>
      <c r="I367"/>
      <c r="J367" s="4638">
        <f>IF(L344="", IF($J366&gt;=30000, 3,IF($J366&gt;=20000, 2,IF($J366&gt;=10000,1,0))),0)</f>
        <v>0</v>
      </c>
      <c r="K367" s="4639"/>
      <c r="L367" s="398"/>
      <c r="M367" s="4638">
        <f>IF(R344="", IF($M366&gt;=30000, 3,IF($M366&gt;=20000, 2,IF($M366&gt;=10000,1,0))),0)</f>
        <v>0</v>
      </c>
      <c r="N367" s="4663"/>
      <c r="O367" s="4663"/>
      <c r="P367" s="4639"/>
    </row>
    <row r="368" spans="1:18" ht="9" customHeight="1" thickBot="1"/>
    <row r="369" spans="1:22" s="70" customFormat="1" ht="12.75" customHeight="1" thickBot="1">
      <c r="A369" s="686" t="s">
        <v>1842</v>
      </c>
      <c r="B369" s="153" t="s">
        <v>3158</v>
      </c>
      <c r="D369" s="32"/>
      <c r="E369" s="29"/>
      <c r="F369" s="119"/>
      <c r="H369" s="29"/>
      <c r="I369" s="119"/>
      <c r="J369" s="33"/>
      <c r="K369" s="33"/>
      <c r="L369" s="307" t="str">
        <f>IF(OR($O369=$M369,$O369=0,$O369=""),"","* * Check Score! * *")</f>
        <v/>
      </c>
      <c r="M369" s="458">
        <v>1</v>
      </c>
      <c r="N369" s="48" t="s">
        <v>1842</v>
      </c>
      <c r="O369" s="899"/>
      <c r="P369" s="883"/>
      <c r="Q369" s="795" t="s">
        <v>4058</v>
      </c>
      <c r="V369" s="845"/>
    </row>
    <row r="370" spans="1:22" s="36" customFormat="1" ht="22.5" customHeight="1">
      <c r="A370" s="107"/>
      <c r="B370" s="350" t="s">
        <v>1843</v>
      </c>
      <c r="C370" s="4222" t="s">
        <v>6601</v>
      </c>
      <c r="D370" s="4222"/>
      <c r="E370" s="4222"/>
      <c r="F370" s="4222"/>
      <c r="G370" s="4222"/>
      <c r="H370" s="4222"/>
      <c r="I370" s="4222"/>
      <c r="J370" s="4222"/>
      <c r="K370" s="4222"/>
      <c r="L370" s="4222"/>
      <c r="M370" s="4222"/>
      <c r="N370" s="374" t="s">
        <v>1843</v>
      </c>
      <c r="O370" s="838"/>
      <c r="P370" s="1590"/>
      <c r="V370" s="845"/>
    </row>
    <row r="371" spans="1:22" s="36" customFormat="1" ht="12.75" customHeight="1">
      <c r="A371" s="107"/>
      <c r="B371" s="306" t="s">
        <v>1845</v>
      </c>
      <c r="C371" s="29" t="s">
        <v>3269</v>
      </c>
      <c r="D371" s="29"/>
      <c r="E371" s="29"/>
      <c r="F371" s="29"/>
      <c r="G371" s="29"/>
      <c r="H371" s="29"/>
      <c r="I371" s="29"/>
      <c r="J371" s="29"/>
      <c r="K371" s="29"/>
      <c r="M371" s="29"/>
      <c r="N371" s="348" t="s">
        <v>1845</v>
      </c>
      <c r="O371" s="299"/>
      <c r="P371" s="420"/>
      <c r="V371" s="845"/>
    </row>
    <row r="372" spans="1:22" ht="12.75" customHeight="1">
      <c r="B372" s="306" t="s">
        <v>2331</v>
      </c>
      <c r="C372" s="44" t="s">
        <v>3826</v>
      </c>
      <c r="N372" s="348" t="s">
        <v>2331</v>
      </c>
      <c r="O372" s="176"/>
      <c r="P372" s="421"/>
    </row>
    <row r="373" spans="1:22" ht="12" customHeight="1" thickBot="1">
      <c r="B373" s="937" t="s">
        <v>3241</v>
      </c>
    </row>
    <row r="374" spans="1:22" s="36" customFormat="1" ht="21.75" customHeight="1" thickTop="1" thickBot="1">
      <c r="A374" s="4461"/>
      <c r="B374" s="4462"/>
      <c r="C374" s="4462"/>
      <c r="D374" s="4462"/>
      <c r="E374" s="4462"/>
      <c r="F374" s="4462"/>
      <c r="G374" s="4462"/>
      <c r="H374" s="4462"/>
      <c r="I374" s="4462"/>
      <c r="J374" s="4462"/>
      <c r="K374" s="4462"/>
      <c r="L374" s="4462"/>
      <c r="M374" s="4462"/>
      <c r="N374" s="4462"/>
      <c r="O374" s="4462"/>
      <c r="P374" s="4463"/>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261"/>
      <c r="B376" s="4262"/>
      <c r="C376" s="4262"/>
      <c r="D376" s="4262"/>
      <c r="E376" s="4262"/>
      <c r="F376" s="4262"/>
      <c r="G376" s="4262"/>
      <c r="H376" s="4262"/>
      <c r="I376" s="4262"/>
      <c r="J376" s="4262"/>
      <c r="K376" s="4262"/>
      <c r="L376" s="4262"/>
      <c r="M376" s="4262"/>
      <c r="N376" s="4262"/>
      <c r="O376" s="4262"/>
      <c r="P376" s="426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6" t="s">
        <v>3885</v>
      </c>
      <c r="E380" s="3567"/>
      <c r="F380" s="3567"/>
      <c r="G380" s="3567"/>
      <c r="H380" s="3567"/>
      <c r="I380" s="356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3954</v>
      </c>
      <c r="C382" s="108"/>
      <c r="D382" s="108"/>
      <c r="E382" s="108"/>
      <c r="F382" s="108"/>
      <c r="G382" s="108"/>
      <c r="H382" s="108"/>
      <c r="I382" s="108"/>
      <c r="M382" s="1848">
        <v>2</v>
      </c>
      <c r="N382" s="128" t="s">
        <v>1840</v>
      </c>
      <c r="O382" s="459"/>
      <c r="P382" s="1078"/>
      <c r="Q382" s="798" t="str">
        <f>IF(OR($O382=$M382,$O382=0,$O382=""),"","*CHECK!*")</f>
        <v/>
      </c>
      <c r="R382" s="795" t="s">
        <v>4058</v>
      </c>
    </row>
    <row r="383" spans="1:22" s="332" customFormat="1" ht="12" customHeight="1">
      <c r="A383" s="331"/>
      <c r="B383" s="4244" t="s">
        <v>6602</v>
      </c>
      <c r="C383" s="4244"/>
      <c r="D383" s="4244"/>
      <c r="E383" s="4244"/>
      <c r="F383" s="4244"/>
      <c r="G383" s="4244"/>
      <c r="H383" s="4244"/>
      <c r="I383" s="4244"/>
      <c r="J383" s="4244"/>
      <c r="K383" s="4244"/>
      <c r="L383" s="4244"/>
      <c r="M383" s="4646" t="s">
        <v>3886</v>
      </c>
      <c r="N383" s="4646"/>
      <c r="Q383" s="147"/>
    </row>
    <row r="384" spans="1:22" s="332" customFormat="1" ht="12" customHeight="1">
      <c r="B384" s="4244"/>
      <c r="C384" s="4244"/>
      <c r="D384" s="4244"/>
      <c r="E384" s="4244"/>
      <c r="F384" s="4244"/>
      <c r="G384" s="4244"/>
      <c r="H384" s="4244"/>
      <c r="I384" s="4244"/>
      <c r="J384" s="4244"/>
      <c r="K384" s="4244"/>
      <c r="L384" s="4244"/>
      <c r="M384" s="4646"/>
      <c r="N384" s="4646"/>
      <c r="O384" s="4652">
        <f>'Part V-Revenues &amp; Expenses'!$P$123</f>
        <v>0</v>
      </c>
      <c r="P384" s="4653"/>
      <c r="Q384" s="147"/>
    </row>
    <row r="385" spans="1:19" s="332" customFormat="1" ht="12" customHeight="1">
      <c r="B385" s="4244"/>
      <c r="C385" s="4244"/>
      <c r="D385" s="4244"/>
      <c r="E385" s="4244"/>
      <c r="F385" s="4244"/>
      <c r="G385" s="4244"/>
      <c r="H385" s="4244"/>
      <c r="I385" s="4244"/>
      <c r="J385" s="4244"/>
      <c r="K385" s="4244"/>
      <c r="L385" s="4244"/>
      <c r="M385" s="241" t="s">
        <v>2517</v>
      </c>
      <c r="N385" s="333"/>
      <c r="O385" s="4650">
        <f>'Part V-Revenues &amp; Expenses'!$P$67</f>
        <v>210</v>
      </c>
      <c r="P385" s="4651"/>
      <c r="Q385" s="147"/>
    </row>
    <row r="386" spans="1:19" s="332" customFormat="1" ht="12" customHeight="1">
      <c r="B386" s="4643"/>
      <c r="C386" s="4643"/>
      <c r="D386" s="4643"/>
      <c r="E386" s="4643"/>
      <c r="F386" s="4643"/>
      <c r="G386" s="4643"/>
      <c r="H386" s="4643"/>
      <c r="I386" s="4643"/>
      <c r="J386" s="4643"/>
      <c r="K386" s="4643"/>
      <c r="L386" s="4643"/>
      <c r="M386" s="1194" t="s">
        <v>2518</v>
      </c>
      <c r="N386" s="333"/>
      <c r="O386" s="4644">
        <f>IF(O385=0,0,O384/O385)</f>
        <v>0</v>
      </c>
      <c r="P386" s="4645"/>
      <c r="Q386" s="147"/>
    </row>
    <row r="387" spans="1:19" s="36" customFormat="1" ht="105.75" customHeight="1">
      <c r="A387" s="411"/>
      <c r="B387" s="4273" t="s">
        <v>3414</v>
      </c>
      <c r="C387" s="4274"/>
      <c r="D387" s="4274"/>
      <c r="E387" s="4274"/>
      <c r="F387" s="4274"/>
      <c r="G387" s="4274"/>
      <c r="H387" s="4274"/>
      <c r="I387" s="4274"/>
      <c r="J387" s="4274"/>
      <c r="K387" s="4274"/>
      <c r="L387" s="4274"/>
      <c r="M387" s="4274"/>
      <c r="N387" s="4274"/>
      <c r="O387" s="4274"/>
      <c r="P387" s="42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1842</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210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1"/>
      <c r="B393" s="4462"/>
      <c r="C393" s="4462"/>
      <c r="D393" s="4462"/>
      <c r="E393" s="4462"/>
      <c r="F393" s="4462"/>
      <c r="G393" s="4462"/>
      <c r="H393" s="4462"/>
      <c r="I393" s="4462"/>
      <c r="J393" s="4462"/>
      <c r="K393" s="4462"/>
      <c r="L393" s="4462"/>
      <c r="M393" s="4462"/>
      <c r="N393" s="4462"/>
      <c r="O393" s="4462"/>
      <c r="P393" s="4463"/>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261"/>
      <c r="B395" s="4262"/>
      <c r="C395" s="4262"/>
      <c r="D395" s="4262"/>
      <c r="E395" s="4262"/>
      <c r="F395" s="4262"/>
      <c r="G395" s="4262"/>
      <c r="H395" s="4262"/>
      <c r="I395" s="4262"/>
      <c r="J395" s="4262"/>
      <c r="K395" s="4262"/>
      <c r="L395" s="4262"/>
      <c r="M395" s="4262"/>
      <c r="N395" s="4262"/>
      <c r="O395" s="4262"/>
      <c r="P395" s="426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261"/>
      <c r="B403" s="4262"/>
      <c r="C403" s="4262"/>
      <c r="D403" s="4262"/>
      <c r="E403" s="4262"/>
      <c r="F403" s="4262"/>
      <c r="G403" s="4262"/>
      <c r="H403" s="4262"/>
      <c r="I403" s="4262"/>
      <c r="J403" s="4262"/>
      <c r="K403" s="4262"/>
      <c r="L403" s="4262"/>
      <c r="M403" s="4262"/>
      <c r="N403" s="4262"/>
      <c r="O403" s="4262"/>
      <c r="P403" s="426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6606</v>
      </c>
      <c r="C407" s="26"/>
      <c r="D407" s="70"/>
      <c r="E407" s="66"/>
      <c r="F407" s="29"/>
      <c r="G407" s="29"/>
      <c r="H407" s="29"/>
      <c r="I407" s="70"/>
      <c r="J407" s="70"/>
      <c r="K407" s="31"/>
      <c r="L407" s="1971"/>
      <c r="M407" s="458">
        <v>1</v>
      </c>
      <c r="N407" s="1661" t="s">
        <v>1840</v>
      </c>
      <c r="O407" s="1324"/>
      <c r="P407" s="1325"/>
      <c r="Q407" s="798" t="str">
        <f>IF(OR($O407=$M407,$O407=0,$O407=""),"","*CHECK!*")</f>
        <v/>
      </c>
      <c r="R407" s="795" t="s">
        <v>2459</v>
      </c>
    </row>
    <row r="408" spans="1:21" s="108" customFormat="1" ht="12" customHeight="1">
      <c r="A408" s="686" t="s">
        <v>1842</v>
      </c>
      <c r="B408" s="141" t="s">
        <v>6607</v>
      </c>
      <c r="C408" s="103"/>
      <c r="D408" s="103"/>
      <c r="E408" s="103"/>
      <c r="F408" s="103"/>
      <c r="G408" s="29"/>
      <c r="H408" s="103"/>
      <c r="I408" s="103"/>
      <c r="J408" s="103"/>
      <c r="K408" s="103"/>
      <c r="L408" s="103"/>
      <c r="M408" s="458">
        <v>1</v>
      </c>
      <c r="N408" s="1661" t="s">
        <v>1842</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1961</v>
      </c>
      <c r="B410" s="141" t="s">
        <v>6608</v>
      </c>
      <c r="H410" s="29"/>
      <c r="M410" s="458">
        <v>2</v>
      </c>
      <c r="N410" s="1661" t="s">
        <v>1961</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1"/>
      <c r="B414" s="4462"/>
      <c r="C414" s="4462"/>
      <c r="D414" s="4462"/>
      <c r="E414" s="4462"/>
      <c r="F414" s="4462"/>
      <c r="G414" s="4462"/>
      <c r="H414" s="4462"/>
      <c r="I414" s="4462"/>
      <c r="J414" s="4462"/>
      <c r="K414" s="4462"/>
      <c r="L414" s="4462"/>
      <c r="M414" s="4462"/>
      <c r="N414" s="4462"/>
      <c r="O414" s="4462"/>
      <c r="P414" s="4463"/>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261"/>
      <c r="B416" s="4262"/>
      <c r="C416" s="4262"/>
      <c r="D416" s="4262"/>
      <c r="E416" s="4262"/>
      <c r="F416" s="4262"/>
      <c r="G416" s="4262"/>
      <c r="H416" s="4262"/>
      <c r="I416" s="4262"/>
      <c r="J416" s="4262"/>
      <c r="K416" s="4262"/>
      <c r="L416" s="4262"/>
      <c r="M416" s="4262"/>
      <c r="N416" s="4262"/>
      <c r="O416" s="4262"/>
      <c r="P416" s="426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1"/>
      <c r="B420" s="4462"/>
      <c r="C420" s="4462"/>
      <c r="D420" s="4462"/>
      <c r="E420" s="4462"/>
      <c r="F420" s="4462"/>
      <c r="G420" s="4462"/>
      <c r="H420" s="4462"/>
      <c r="I420" s="4462"/>
      <c r="J420" s="4462"/>
      <c r="K420" s="4462"/>
      <c r="L420" s="4462"/>
      <c r="M420" s="4462"/>
      <c r="N420" s="4462"/>
      <c r="O420" s="4462"/>
      <c r="P420" s="4463"/>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261"/>
      <c r="B422" s="4262"/>
      <c r="C422" s="4262"/>
      <c r="D422" s="4262"/>
      <c r="E422" s="4262"/>
      <c r="F422" s="4262"/>
      <c r="G422" s="4262"/>
      <c r="H422" s="4262"/>
      <c r="I422" s="4262"/>
      <c r="J422" s="4262"/>
      <c r="K422" s="4262"/>
      <c r="L422" s="4262"/>
      <c r="M422" s="4262"/>
      <c r="N422" s="4262"/>
      <c r="O422" s="4262"/>
      <c r="P422" s="426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261"/>
      <c r="B426" s="4262"/>
      <c r="C426" s="4262"/>
      <c r="D426" s="4262"/>
      <c r="E426" s="4262"/>
      <c r="F426" s="4262"/>
      <c r="G426" s="4262"/>
      <c r="H426" s="4262"/>
      <c r="I426" s="4262"/>
      <c r="J426" s="4262"/>
      <c r="K426" s="4262"/>
      <c r="L426" s="4262"/>
      <c r="M426" s="4262"/>
      <c r="N426" s="4262"/>
      <c r="O426" s="4262"/>
      <c r="P426" s="426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1"/>
      <c r="B430" s="4462"/>
      <c r="C430" s="4462"/>
      <c r="D430" s="4462"/>
      <c r="E430" s="4462"/>
      <c r="F430" s="4462"/>
      <c r="G430" s="4462"/>
      <c r="H430" s="4462"/>
      <c r="I430" s="4462"/>
      <c r="J430" s="4462"/>
      <c r="K430" s="4462"/>
      <c r="L430" s="4462"/>
      <c r="M430" s="4462"/>
      <c r="N430" s="4462"/>
      <c r="O430" s="4462"/>
      <c r="P430" s="4463"/>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261"/>
      <c r="B432" s="4262"/>
      <c r="C432" s="4262"/>
      <c r="D432" s="4262"/>
      <c r="E432" s="4262"/>
      <c r="F432" s="4262"/>
      <c r="G432" s="4262"/>
      <c r="H432" s="4262"/>
      <c r="I432" s="4262"/>
      <c r="J432" s="4262"/>
      <c r="K432" s="4262"/>
      <c r="L432" s="4262"/>
      <c r="M432" s="4262"/>
      <c r="N432" s="4262"/>
      <c r="O432" s="4262"/>
      <c r="P432" s="426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1840</v>
      </c>
      <c r="B435" s="141" t="s">
        <v>6132</v>
      </c>
      <c r="C435"/>
      <c r="E435" s="67"/>
      <c r="F435" s="29"/>
      <c r="G435" s="29"/>
      <c r="H435" s="29"/>
      <c r="K435" s="31"/>
      <c r="L435" s="45"/>
      <c r="M435" s="458">
        <v>6</v>
      </c>
      <c r="N435" s="1661" t="s">
        <v>1840</v>
      </c>
      <c r="O435" s="1849"/>
      <c r="P435" s="1850"/>
      <c r="Q435" s="798" t="str">
        <f>IF(OR($O435&lt;=$M435,$O435=0,$O435=""),"","*CHECK!*")</f>
        <v/>
      </c>
      <c r="R435" s="795" t="s">
        <v>2459</v>
      </c>
    </row>
    <row r="436" spans="1:27" s="108" customFormat="1" ht="12" customHeight="1">
      <c r="A436" s="1847" t="s">
        <v>1842</v>
      </c>
      <c r="B436" s="897" t="s">
        <v>6133</v>
      </c>
      <c r="C436" s="457"/>
      <c r="D436" s="457"/>
      <c r="E436" s="457"/>
      <c r="F436" s="457"/>
      <c r="H436" s="457"/>
      <c r="I436" s="457"/>
      <c r="J436" s="103"/>
      <c r="K436" s="103"/>
      <c r="L436" s="103"/>
      <c r="M436" s="458">
        <v>4</v>
      </c>
      <c r="N436" s="1661" t="s">
        <v>1842</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1"/>
      <c r="B438" s="4462"/>
      <c r="C438" s="4462"/>
      <c r="D438" s="4462"/>
      <c r="E438" s="4462"/>
      <c r="F438" s="4462"/>
      <c r="G438" s="4462"/>
      <c r="H438" s="4462"/>
      <c r="I438" s="4462"/>
      <c r="J438" s="4462"/>
      <c r="K438" s="4462"/>
      <c r="L438" s="4462"/>
      <c r="M438" s="4462"/>
      <c r="N438" s="4462"/>
      <c r="O438" s="4462"/>
      <c r="P438" s="4463"/>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261"/>
      <c r="B440" s="4262"/>
      <c r="C440" s="4262"/>
      <c r="D440" s="4262"/>
      <c r="E440" s="4262"/>
      <c r="F440" s="4262"/>
      <c r="G440" s="4262"/>
      <c r="H440" s="4262"/>
      <c r="I440" s="4262"/>
      <c r="J440" s="4262"/>
      <c r="K440" s="4262"/>
      <c r="L440" s="4262"/>
      <c r="M440" s="4262"/>
      <c r="N440" s="4262"/>
      <c r="O440" s="4262"/>
      <c r="P440" s="4263"/>
      <c r="Q440" s="355"/>
      <c r="R440" s="355"/>
    </row>
    <row r="441" spans="1:27" ht="13.5" customHeight="1" thickBot="1">
      <c r="Q441" s="4745" t="s">
        <v>6744</v>
      </c>
      <c r="R441" s="4745"/>
      <c r="S441" s="4745"/>
      <c r="T441" s="4745"/>
      <c r="U441" s="4745"/>
      <c r="V441" s="4745"/>
      <c r="W441" s="4745"/>
      <c r="X441" s="4745"/>
      <c r="Y441" s="4745"/>
      <c r="Z441" s="4745"/>
      <c r="AA441" s="47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5"/>
      <c r="R442" s="4745"/>
      <c r="S442" s="4745"/>
      <c r="T442" s="4745"/>
      <c r="U442" s="4745"/>
      <c r="V442" s="4745"/>
      <c r="W442" s="4745"/>
      <c r="X442" s="4745"/>
      <c r="Y442" s="4745"/>
      <c r="Z442" s="4745"/>
      <c r="AA442" s="4745"/>
    </row>
    <row r="443" spans="1:27" s="36" customFormat="1" ht="15.75" thickTop="1">
      <c r="A443" s="35"/>
      <c r="C443" s="887"/>
      <c r="D443" s="887"/>
      <c r="E443" s="887"/>
      <c r="F443" s="887"/>
      <c r="G443" s="887"/>
      <c r="H443" s="887"/>
      <c r="I443" s="887"/>
      <c r="J443" s="887"/>
      <c r="K443" s="887"/>
      <c r="L443" s="887"/>
      <c r="M443" s="887"/>
      <c r="N443" s="887"/>
      <c r="O443" s="887"/>
      <c r="P443" s="887"/>
      <c r="Q443" s="4745"/>
      <c r="R443" s="4745"/>
      <c r="S443" s="4745"/>
      <c r="T443" s="4745"/>
      <c r="U443" s="4745"/>
      <c r="V443" s="4745"/>
      <c r="W443" s="4745"/>
      <c r="X443" s="4745"/>
      <c r="Y443" s="4745"/>
      <c r="Z443" s="4745"/>
      <c r="AA443" s="4745"/>
    </row>
    <row r="444" spans="1:27" s="115" customFormat="1" ht="6.75" customHeight="1">
      <c r="A444" s="36"/>
      <c r="B444" s="50"/>
      <c r="C444" s="36"/>
      <c r="F444" s="33"/>
      <c r="G444" s="33"/>
      <c r="H444" s="51"/>
      <c r="I444" s="51"/>
      <c r="L444" s="36"/>
      <c r="N444" s="119"/>
      <c r="O444" s="119"/>
      <c r="P444" s="3"/>
      <c r="Q444" s="4745"/>
      <c r="R444" s="4745"/>
      <c r="S444" s="4745"/>
      <c r="T444" s="4745"/>
      <c r="U444" s="4745"/>
      <c r="V444" s="4745"/>
      <c r="W444" s="4745"/>
      <c r="X444" s="4745"/>
      <c r="Y444" s="4745"/>
      <c r="Z444" s="4745"/>
      <c r="AA444" s="4745"/>
    </row>
    <row r="445" spans="1:27" s="36" customFormat="1" ht="22.5" customHeight="1">
      <c r="A445" s="4550" t="s">
        <v>6698</v>
      </c>
      <c r="B445" s="4550"/>
      <c r="C445" s="4550"/>
      <c r="D445" s="4550"/>
      <c r="E445" s="4550"/>
      <c r="F445" s="4550"/>
      <c r="G445" s="4550"/>
      <c r="H445" s="4550"/>
      <c r="I445" s="4550"/>
      <c r="J445" s="4550"/>
      <c r="K445" s="4550"/>
      <c r="L445" s="4550"/>
      <c r="M445" s="4550"/>
      <c r="N445" s="4550"/>
      <c r="O445" s="4550"/>
      <c r="P445" s="4550"/>
      <c r="Q445" s="4745"/>
      <c r="R445" s="4745"/>
      <c r="S445" s="4745"/>
      <c r="T445" s="4745"/>
      <c r="U445" s="4745"/>
      <c r="V445" s="4745"/>
      <c r="W445" s="4745"/>
      <c r="X445" s="4745"/>
      <c r="Y445" s="4745"/>
      <c r="Z445" s="4745"/>
      <c r="AA445" s="4745"/>
    </row>
    <row r="446" spans="1:27" s="36" customFormat="1" ht="409.15" customHeight="1">
      <c r="A446" s="4236"/>
      <c r="B446" s="4237"/>
      <c r="C446" s="4237"/>
      <c r="D446" s="4237"/>
      <c r="E446" s="4237"/>
      <c r="F446" s="4237"/>
      <c r="G446" s="4237"/>
      <c r="H446" s="4237"/>
      <c r="I446" s="4237"/>
      <c r="J446" s="4237"/>
      <c r="K446" s="4237"/>
      <c r="L446" s="4237"/>
      <c r="M446" s="4237"/>
      <c r="N446" s="4237"/>
      <c r="O446" s="4237"/>
      <c r="P446" s="4238"/>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0"/>
      <c r="P448" s="2400"/>
      <c r="Q448" s="68"/>
    </row>
    <row r="449" spans="3:17" s="115" customFormat="1">
      <c r="C449" s="68" t="s">
        <v>1940</v>
      </c>
      <c r="D449" s="68"/>
      <c r="E449" s="68"/>
      <c r="F449" s="68"/>
      <c r="G449" s="68"/>
      <c r="H449" s="68"/>
      <c r="I449" s="68"/>
      <c r="J449" s="380" t="s">
        <v>2305</v>
      </c>
      <c r="K449" s="68"/>
      <c r="L449" s="68"/>
      <c r="M449" s="68"/>
      <c r="N449" s="882"/>
      <c r="O449" s="2400"/>
      <c r="P449" s="2400"/>
      <c r="Q449" s="68"/>
    </row>
    <row r="450" spans="3:17" s="115" customFormat="1">
      <c r="C450" s="68" t="s">
        <v>1941</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1979</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1974</v>
      </c>
      <c r="D458" s="68"/>
      <c r="E458" s="68"/>
      <c r="F458" s="68"/>
      <c r="G458" s="68"/>
      <c r="H458" s="68"/>
      <c r="I458" s="68"/>
      <c r="J458" s="380" t="s">
        <v>1546</v>
      </c>
      <c r="K458" s="68"/>
      <c r="L458" s="68"/>
      <c r="M458" s="68"/>
      <c r="N458" s="882"/>
      <c r="O458" s="2400"/>
      <c r="P458" s="2400"/>
      <c r="Q458" s="68"/>
    </row>
    <row r="459" spans="3:17" s="115" customFormat="1">
      <c r="C459" s="1406" t="s">
        <v>1975</v>
      </c>
      <c r="D459" s="68"/>
      <c r="E459" s="68"/>
      <c r="F459" s="68"/>
      <c r="G459" s="68"/>
      <c r="H459" s="68"/>
      <c r="I459" s="68"/>
      <c r="J459" s="380" t="s">
        <v>1547</v>
      </c>
      <c r="K459" s="68"/>
      <c r="L459" s="68"/>
      <c r="M459" s="68"/>
      <c r="N459" s="882"/>
      <c r="O459" s="2400"/>
      <c r="P459" s="2400"/>
      <c r="Q459" s="68"/>
    </row>
    <row r="460" spans="3:17" s="115" customFormat="1">
      <c r="C460" s="1406" t="s">
        <v>1976</v>
      </c>
      <c r="D460" s="68"/>
      <c r="E460" s="68"/>
      <c r="F460" s="68"/>
      <c r="G460" s="68"/>
      <c r="H460" s="68"/>
      <c r="I460" s="68"/>
      <c r="J460" s="380" t="s">
        <v>32</v>
      </c>
      <c r="K460" s="68"/>
      <c r="L460" s="68"/>
      <c r="M460" s="68"/>
      <c r="N460" s="882"/>
      <c r="O460" s="2400"/>
      <c r="P460" s="2400"/>
      <c r="Q460" s="68"/>
    </row>
    <row r="461" spans="3:17" s="115" customFormat="1">
      <c r="C461" s="1406" t="s">
        <v>1977</v>
      </c>
      <c r="D461" s="68"/>
      <c r="E461" s="68"/>
      <c r="F461" s="68"/>
      <c r="G461" s="68"/>
      <c r="H461" s="68"/>
      <c r="I461" s="68"/>
      <c r="J461" s="68"/>
      <c r="K461" s="68"/>
      <c r="L461" s="68"/>
      <c r="M461" s="68"/>
      <c r="N461" s="882"/>
      <c r="O461" s="2400"/>
      <c r="P461" s="2400"/>
      <c r="Q461" s="68"/>
    </row>
    <row r="462" spans="3:17" s="115" customFormat="1">
      <c r="C462" s="1406" t="s">
        <v>1978</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2107</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547" t="s">
        <v>1407</v>
      </c>
      <c r="H466" s="4547"/>
      <c r="I466" s="4547"/>
      <c r="J466" s="68" t="s">
        <v>3024</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3025</v>
      </c>
      <c r="K467" s="68"/>
      <c r="L467" s="1848"/>
      <c r="M467" s="68"/>
      <c r="N467" s="882"/>
      <c r="O467" s="2400">
        <v>2</v>
      </c>
      <c r="P467" s="2400"/>
      <c r="Q467" s="68"/>
    </row>
    <row r="468" spans="1:17" s="115" customFormat="1">
      <c r="C468" s="503"/>
      <c r="D468" s="68"/>
      <c r="E468" s="68"/>
      <c r="F468" s="68"/>
      <c r="G468" s="1508" t="s">
        <v>2319</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4066</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3027</v>
      </c>
      <c r="K470" s="68"/>
      <c r="L470" s="503"/>
      <c r="M470" s="68"/>
      <c r="N470" s="882"/>
      <c r="O470" s="2400">
        <v>1</v>
      </c>
      <c r="P470" s="2400"/>
      <c r="Q470" s="68"/>
    </row>
    <row r="471" spans="1:17" s="115" customFormat="1">
      <c r="C471" s="503"/>
      <c r="D471" s="68"/>
      <c r="E471" s="68"/>
      <c r="F471" s="68"/>
      <c r="G471" s="1508" t="s">
        <v>2350</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4065</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3030</v>
      </c>
      <c r="K475" s="68"/>
      <c r="L475" s="503"/>
      <c r="M475" s="68"/>
      <c r="N475" s="882"/>
      <c r="O475" s="2400">
        <v>1</v>
      </c>
      <c r="P475" s="2400"/>
      <c r="Q475" s="68"/>
    </row>
    <row r="476" spans="1:17" s="115" customFormat="1">
      <c r="C476" s="503"/>
      <c r="D476" s="68"/>
      <c r="E476" s="68"/>
      <c r="F476" s="68"/>
      <c r="G476" s="1508" t="s">
        <v>1908</v>
      </c>
      <c r="H476" s="882" t="s">
        <v>4066</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4066</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3035</v>
      </c>
      <c r="K478" s="68"/>
      <c r="L478" s="503"/>
      <c r="M478" s="68"/>
      <c r="N478" s="882"/>
      <c r="O478" s="2400">
        <v>1</v>
      </c>
      <c r="P478" s="2400"/>
      <c r="Q478" s="68"/>
    </row>
    <row r="479" spans="1:17" s="115" customFormat="1">
      <c r="A479" s="44" t="s">
        <v>2498</v>
      </c>
      <c r="C479" s="68"/>
      <c r="D479" s="68"/>
      <c r="E479" s="68"/>
      <c r="F479" s="68"/>
      <c r="G479" s="1508" t="s">
        <v>1985</v>
      </c>
      <c r="H479" s="882" t="s">
        <v>4066</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1906</v>
      </c>
      <c r="H480" s="882">
        <v>2019</v>
      </c>
      <c r="I480" s="882" t="s">
        <v>4065</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3007</v>
      </c>
      <c r="C483" s="68"/>
      <c r="D483" s="503"/>
      <c r="E483" s="503">
        <v>10</v>
      </c>
      <c r="F483" s="68"/>
      <c r="G483" s="1508" t="s">
        <v>1788</v>
      </c>
      <c r="H483" s="882">
        <v>2019</v>
      </c>
      <c r="I483" s="882" t="s">
        <v>4065</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3254</v>
      </c>
      <c r="K486" s="68"/>
      <c r="L486" s="503"/>
      <c r="M486" s="68"/>
      <c r="N486" s="882"/>
      <c r="O486" s="2400"/>
      <c r="P486" s="2400"/>
      <c r="Q486" s="68"/>
    </row>
    <row r="487" spans="1:17" s="115" customFormat="1">
      <c r="C487" s="503"/>
      <c r="D487" s="68"/>
      <c r="E487" s="68"/>
      <c r="F487" s="68"/>
      <c r="G487" s="1508" t="s">
        <v>809</v>
      </c>
      <c r="H487" s="882" t="s">
        <v>4066</v>
      </c>
      <c r="I487" s="1848" t="s">
        <v>2453</v>
      </c>
      <c r="J487" s="68" t="s">
        <v>3327</v>
      </c>
      <c r="K487" s="68"/>
      <c r="L487" s="503"/>
      <c r="M487" s="68"/>
      <c r="N487" s="882"/>
      <c r="O487" s="2400"/>
      <c r="P487" s="2400"/>
      <c r="Q487" s="68"/>
    </row>
    <row r="488" spans="1:17" s="115" customFormat="1">
      <c r="C488" s="503"/>
      <c r="D488" s="68"/>
      <c r="E488" s="68"/>
      <c r="F488" s="68"/>
      <c r="G488" s="1508" t="s">
        <v>3019</v>
      </c>
      <c r="H488" s="882">
        <v>2019</v>
      </c>
      <c r="I488" s="882" t="s">
        <v>4065</v>
      </c>
      <c r="J488" s="68" t="s">
        <v>3255</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3256</v>
      </c>
      <c r="K490" s="68"/>
      <c r="L490" s="68"/>
      <c r="M490" s="68"/>
      <c r="N490" s="882"/>
      <c r="O490" s="2400"/>
      <c r="P490" s="2400"/>
      <c r="Q490" s="68"/>
    </row>
    <row r="491" spans="1:17" s="115" customFormat="1">
      <c r="C491" s="68"/>
      <c r="D491" s="68"/>
      <c r="E491" s="68"/>
      <c r="F491" s="68"/>
      <c r="G491" s="1508" t="s">
        <v>3345</v>
      </c>
      <c r="H491" s="882" t="s">
        <v>4066</v>
      </c>
      <c r="I491" s="1848" t="s">
        <v>2453</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2453</v>
      </c>
      <c r="J494" s="68" t="s">
        <v>3257</v>
      </c>
      <c r="K494" s="68"/>
      <c r="L494" s="503"/>
      <c r="M494" s="68"/>
      <c r="N494" s="882"/>
      <c r="O494" s="2400"/>
      <c r="P494" s="2400"/>
      <c r="Q494" s="68"/>
    </row>
    <row r="495" spans="1:17" s="115" customFormat="1">
      <c r="C495" s="68"/>
      <c r="D495" s="697"/>
      <c r="E495" s="68"/>
      <c r="F495" s="68"/>
      <c r="G495" s="1508" t="s">
        <v>1706</v>
      </c>
      <c r="H495" s="882" t="s">
        <v>4066</v>
      </c>
      <c r="I495" s="1848" t="s">
        <v>2453</v>
      </c>
      <c r="J495" s="68" t="s">
        <v>3258</v>
      </c>
      <c r="K495" s="68"/>
      <c r="L495" s="503"/>
      <c r="M495" s="68"/>
      <c r="N495" s="882"/>
      <c r="O495" s="2400"/>
      <c r="P495" s="2400"/>
      <c r="Q495" s="68"/>
    </row>
    <row r="496" spans="1:17" s="115" customFormat="1">
      <c r="C496" s="68"/>
      <c r="D496" s="68"/>
      <c r="E496" s="68"/>
      <c r="F496" s="68"/>
      <c r="G496" s="1508" t="s">
        <v>1968</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3259</v>
      </c>
      <c r="K499" s="68"/>
      <c r="L499" s="503"/>
      <c r="M499" s="68"/>
      <c r="N499" s="882"/>
      <c r="O499" s="2400"/>
      <c r="P499" s="2400"/>
      <c r="Q499" s="68"/>
    </row>
    <row r="500" spans="3:17" s="115" customFormat="1">
      <c r="C500" s="697"/>
      <c r="D500" s="68"/>
      <c r="E500" s="68"/>
      <c r="F500" s="68"/>
      <c r="G500" s="1508" t="s">
        <v>2095</v>
      </c>
      <c r="H500" s="882">
        <v>2020</v>
      </c>
      <c r="I500" s="882" t="s">
        <v>4065</v>
      </c>
      <c r="J500" s="68" t="s">
        <v>3260</v>
      </c>
      <c r="K500" s="68"/>
      <c r="L500" s="503"/>
      <c r="M500" s="68"/>
      <c r="N500" s="882"/>
      <c r="O500" s="2400"/>
      <c r="P500" s="2400"/>
      <c r="Q500" s="68"/>
    </row>
    <row r="501" spans="3:17" s="115" customFormat="1">
      <c r="C501" s="697"/>
      <c r="D501" s="68"/>
      <c r="E501" s="68"/>
      <c r="F501" s="68"/>
      <c r="G501" s="1508" t="s">
        <v>4060</v>
      </c>
      <c r="H501" s="882" t="s">
        <v>4066</v>
      </c>
      <c r="I501" s="1848" t="s">
        <v>2453</v>
      </c>
      <c r="J501" s="68"/>
      <c r="K501" s="68"/>
      <c r="L501" s="503"/>
      <c r="M501" s="68"/>
      <c r="N501" s="882"/>
      <c r="O501" s="2400"/>
      <c r="P501" s="2400"/>
      <c r="Q501" s="68"/>
    </row>
    <row r="502" spans="3:17" s="115" customFormat="1">
      <c r="C502" s="697"/>
      <c r="D502" s="68"/>
      <c r="E502" s="68"/>
      <c r="F502" s="68"/>
      <c r="G502" s="1508" t="s">
        <v>1748</v>
      </c>
      <c r="H502" s="882" t="s">
        <v>4066</v>
      </c>
      <c r="I502" s="1848" t="s">
        <v>2453</v>
      </c>
      <c r="J502" s="68"/>
      <c r="K502" s="68"/>
      <c r="L502" s="503"/>
      <c r="M502" s="68"/>
      <c r="N502" s="882"/>
      <c r="O502" s="2400"/>
      <c r="P502" s="2400"/>
      <c r="Q502" s="68"/>
    </row>
    <row r="503" spans="3:17" s="115" customFormat="1">
      <c r="C503" s="697"/>
      <c r="D503" s="68"/>
      <c r="E503" s="68"/>
      <c r="F503" s="68"/>
      <c r="G503" s="1508" t="s">
        <v>472</v>
      </c>
      <c r="H503" s="882" t="s">
        <v>4066</v>
      </c>
      <c r="I503" s="1848" t="s">
        <v>2453</v>
      </c>
      <c r="J503" s="68"/>
      <c r="K503" s="68"/>
      <c r="L503" s="503"/>
      <c r="M503" s="68"/>
      <c r="N503" s="882"/>
      <c r="O503" s="2400"/>
      <c r="P503" s="2400"/>
      <c r="Q503" s="68"/>
    </row>
    <row r="504" spans="3:17" s="115" customFormat="1">
      <c r="C504" s="697"/>
      <c r="D504" s="68"/>
      <c r="E504" s="68"/>
      <c r="F504" s="68"/>
      <c r="G504" s="1508" t="s">
        <v>1950</v>
      </c>
      <c r="H504" s="882" t="s">
        <v>4066</v>
      </c>
      <c r="I504" s="1848" t="s">
        <v>2453</v>
      </c>
      <c r="J504" s="68"/>
      <c r="K504" s="68"/>
      <c r="L504" s="503"/>
      <c r="M504" s="68"/>
      <c r="N504" s="882"/>
      <c r="O504" s="2400"/>
      <c r="P504" s="2400"/>
      <c r="Q504" s="68"/>
    </row>
    <row r="505" spans="3:17" s="115" customFormat="1">
      <c r="C505" s="697"/>
      <c r="D505" s="68"/>
      <c r="E505" s="68"/>
      <c r="F505" s="68"/>
      <c r="G505" s="1508" t="s">
        <v>2087</v>
      </c>
      <c r="H505" s="882">
        <v>2020</v>
      </c>
      <c r="I505" s="882" t="s">
        <v>4065</v>
      </c>
      <c r="J505" s="68"/>
      <c r="K505" s="68"/>
      <c r="L505" s="503"/>
      <c r="M505" s="68"/>
      <c r="N505" s="882"/>
      <c r="O505" s="2400"/>
      <c r="P505" s="2400"/>
      <c r="Q505" s="68"/>
    </row>
    <row r="506" spans="3:17" s="115" customFormat="1">
      <c r="C506" s="697"/>
      <c r="D506" s="68"/>
      <c r="E506" s="68"/>
      <c r="F506" s="68"/>
      <c r="G506" s="1508" t="s">
        <v>1973</v>
      </c>
      <c r="H506" s="882">
        <v>2020</v>
      </c>
      <c r="I506" s="882" t="s">
        <v>4065</v>
      </c>
      <c r="J506" s="68"/>
      <c r="K506" s="68"/>
      <c r="L506" s="68"/>
      <c r="M506" s="68"/>
      <c r="N506" s="882"/>
      <c r="O506" s="2400"/>
      <c r="P506" s="2400"/>
      <c r="Q506" s="68"/>
    </row>
    <row r="507" spans="3:17" s="115" customFormat="1">
      <c r="C507" s="68"/>
      <c r="D507" s="68"/>
      <c r="E507" s="68"/>
      <c r="F507" s="68"/>
      <c r="G507" s="1508" t="s">
        <v>2153</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5" t="s">
        <v>2581</v>
      </c>
      <c r="B1" s="4755"/>
      <c r="C1" s="4755"/>
      <c r="D1" s="4755"/>
      <c r="E1" s="4755"/>
      <c r="F1" s="4755"/>
      <c r="G1" s="4755"/>
      <c r="H1" s="4755"/>
      <c r="I1" s="4755"/>
      <c r="J1" s="4755"/>
    </row>
    <row r="2" spans="1:16" ht="15.75">
      <c r="A2" s="4755" t="str">
        <f>'Sensitivity Analysis'!C8</f>
        <v>Westbury</v>
      </c>
      <c r="B2" s="4755"/>
      <c r="C2" s="4755"/>
      <c r="D2" s="4755"/>
      <c r="E2" s="4755"/>
      <c r="F2" s="4755"/>
      <c r="G2" s="4755"/>
      <c r="H2" s="4755"/>
      <c r="I2" s="4755"/>
      <c r="J2" s="4755"/>
    </row>
    <row r="3" spans="1:16" ht="15.75">
      <c r="A3" s="4755" t="str">
        <f>'Subsidy Layering Memo'!F14</f>
        <v>Decatur, DeKalb</v>
      </c>
      <c r="B3" s="4755"/>
      <c r="C3" s="4755"/>
      <c r="D3" s="4755"/>
      <c r="E3" s="4755"/>
      <c r="F3" s="4755"/>
      <c r="G3" s="4755"/>
      <c r="H3" s="4755"/>
      <c r="I3" s="4755"/>
      <c r="J3" s="4755"/>
    </row>
    <row r="4" spans="1:16" ht="15.75">
      <c r="A4" s="4756" t="s">
        <v>2582</v>
      </c>
      <c r="B4" s="4755"/>
      <c r="C4" s="4755"/>
      <c r="D4" s="4755"/>
      <c r="E4" s="4755"/>
      <c r="F4" s="4755"/>
      <c r="G4" s="4755"/>
      <c r="H4" s="4755"/>
      <c r="I4" s="4755"/>
      <c r="J4" s="4755"/>
    </row>
    <row r="5" spans="1:16" ht="5.25" customHeight="1"/>
    <row r="6" spans="1:16" ht="5.25" customHeight="1"/>
    <row r="7" spans="1:16" ht="15.75">
      <c r="A7" s="4757" t="s">
        <v>2583</v>
      </c>
      <c r="B7" s="4757"/>
      <c r="C7" s="4758"/>
      <c r="M7" s="4759"/>
      <c r="N7" s="4759"/>
      <c r="O7" s="4759"/>
      <c r="P7" s="4759"/>
    </row>
    <row r="8" spans="1:16" ht="57" customHeight="1">
      <c r="A8" s="4760" t="s">
        <v>6151</v>
      </c>
      <c r="B8" s="4760"/>
      <c r="C8" s="4760"/>
      <c r="D8" s="4760"/>
      <c r="E8" s="4760"/>
      <c r="F8" s="4760"/>
      <c r="G8" s="4760"/>
      <c r="H8" s="4760"/>
      <c r="I8" s="4760"/>
      <c r="J8" s="4760"/>
      <c r="K8" s="508"/>
    </row>
    <row r="9" spans="1:16" ht="45.75" customHeight="1">
      <c r="A9" s="4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210 units set aside for &lt;&lt; Select PROPOSED Tenancy &gt;&gt;.</v>
      </c>
      <c r="B9" s="4760"/>
      <c r="C9" s="4760"/>
      <c r="D9" s="4760"/>
      <c r="E9" s="4760"/>
      <c r="F9" s="4760"/>
      <c r="G9" s="4760"/>
      <c r="H9" s="4760"/>
      <c r="I9" s="4760"/>
      <c r="J9" s="4760"/>
      <c r="K9" s="508"/>
    </row>
    <row r="10" spans="1:16" ht="15.75">
      <c r="A10" s="509" t="s">
        <v>2584</v>
      </c>
    </row>
    <row r="11" spans="1:16" ht="16.5" customHeight="1">
      <c r="A11" s="4760" t="str">
        <f>'Subsidy Layering Memo'!A50</f>
        <v xml:space="preserve">Ownership entity:  (NAME) LP, a Georgia Limited Partnership, will be the ownership entity for the proposed project. </v>
      </c>
      <c r="B11" s="4762"/>
      <c r="C11" s="4762"/>
      <c r="D11" s="4762"/>
      <c r="E11" s="4762"/>
      <c r="F11" s="4762"/>
      <c r="G11" s="4762"/>
      <c r="H11" s="4762"/>
      <c r="I11" s="4762"/>
      <c r="J11" s="4760"/>
    </row>
    <row r="12" spans="1:16" ht="63.75" customHeight="1">
      <c r="A12" s="4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0"/>
      <c r="C12" s="4760"/>
      <c r="D12" s="4760"/>
      <c r="E12" s="4760"/>
      <c r="F12" s="4760"/>
      <c r="G12" s="4760"/>
      <c r="H12" s="4760"/>
      <c r="I12" s="4760"/>
      <c r="J12" s="4760"/>
    </row>
    <row r="13" spans="1:16" ht="48.75" customHeight="1">
      <c r="A13" s="4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0"/>
      <c r="C13" s="4760"/>
      <c r="D13" s="4760"/>
      <c r="E13" s="4760"/>
      <c r="F13" s="4760"/>
      <c r="G13" s="4760"/>
      <c r="H13" s="4760"/>
      <c r="I13" s="4760"/>
      <c r="J13" s="4760"/>
    </row>
    <row r="14" spans="1:16" ht="15.75">
      <c r="A14" s="509" t="s">
        <v>2585</v>
      </c>
      <c r="B14" s="510"/>
    </row>
    <row r="15" spans="1:16">
      <c r="A15" s="507" t="s">
        <v>2586</v>
      </c>
      <c r="D15" s="1020" t="s">
        <v>2587</v>
      </c>
    </row>
    <row r="16" spans="1:16">
      <c r="A16" s="507" t="s">
        <v>2588</v>
      </c>
      <c r="D16" s="1254">
        <f>'Sensitivity Analysis'!C25</f>
        <v>19613853</v>
      </c>
    </row>
    <row r="17" spans="1:11">
      <c r="A17" s="511" t="s">
        <v>2589</v>
      </c>
      <c r="D17" s="1255">
        <f>'Sensitivity Analysis'!C13</f>
        <v>210</v>
      </c>
    </row>
    <row r="18" spans="1:11" ht="14.25" customHeight="1"/>
    <row r="19" spans="1:11" ht="15.75">
      <c r="A19" s="509" t="s">
        <v>2590</v>
      </c>
      <c r="B19" s="510"/>
      <c r="C19" s="510"/>
    </row>
    <row r="20" spans="1:11" ht="48.75" customHeight="1">
      <c r="A20" s="4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3"/>
      <c r="C20" s="4763"/>
      <c r="D20" s="4763"/>
      <c r="E20" s="4763"/>
      <c r="F20" s="4763"/>
      <c r="G20" s="4763"/>
      <c r="H20" s="4763"/>
      <c r="I20" s="4763"/>
      <c r="J20" s="4763"/>
    </row>
    <row r="21" spans="1:11" ht="72.75" customHeight="1">
      <c r="A21" s="4760" t="str">
        <f>'Subsidy Layering Memo'!A67</f>
        <v xml:space="preserve"> will make a capital contribution totaling 24137798.3964262 via the syndication of the 2021 Federal LIHTC allocation of 2652770 per annum. will make a capital contribution totaling 15386069.4530191 via the syndication of the 2021 State LIHTC allocation of 2652770 per annum.</v>
      </c>
      <c r="B21" s="4760"/>
      <c r="C21" s="4760"/>
      <c r="D21" s="4760"/>
      <c r="E21" s="4760"/>
      <c r="F21" s="4760"/>
      <c r="G21" s="4760"/>
      <c r="H21" s="4760"/>
      <c r="I21" s="4760"/>
      <c r="J21" s="4760"/>
    </row>
    <row r="22" spans="1:11" ht="43.5" customHeight="1">
      <c r="A22" s="4764" t="str">
        <f>'Subsidy Layering Memo'!A68</f>
        <v xml:space="preserve">The total equity price per credit will be 1.49 (0.91 Federal tax credit and 0.58 State tax credit) for a (X%) ownership interest of the Federal Credits and a (X%) ownership interest of the State Credits. </v>
      </c>
      <c r="B22" s="4764"/>
      <c r="C22" s="4764"/>
      <c r="D22" s="4764"/>
      <c r="E22" s="4764"/>
      <c r="F22" s="4764"/>
      <c r="G22" s="4764"/>
      <c r="H22" s="4764"/>
      <c r="I22" s="4764"/>
      <c r="J22" s="4764"/>
    </row>
    <row r="23" spans="1:11" ht="15.75">
      <c r="A23" s="509" t="s">
        <v>6152</v>
      </c>
      <c r="B23" s="510"/>
      <c r="C23" s="510"/>
      <c r="D23" s="510"/>
      <c r="E23" s="510"/>
      <c r="F23" s="510"/>
    </row>
    <row r="24" spans="1:11" ht="102.75" customHeight="1">
      <c r="A24"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0"/>
      <c r="C24" s="4760"/>
      <c r="D24" s="4760"/>
      <c r="E24" s="4760"/>
      <c r="F24" s="4760"/>
      <c r="G24" s="4760"/>
      <c r="H24" s="4760"/>
      <c r="I24" s="4760"/>
      <c r="J24" s="4760"/>
    </row>
    <row r="25" spans="1:11" ht="15" customHeight="1">
      <c r="A25" s="4761"/>
      <c r="B25" s="4761"/>
      <c r="C25" s="4761"/>
      <c r="D25" s="4761"/>
      <c r="E25" s="4761"/>
      <c r="F25" s="4761"/>
      <c r="G25" s="4761"/>
      <c r="H25" s="4761"/>
      <c r="I25" s="4761"/>
      <c r="J25" s="4761"/>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R4" sqref="R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Westbury, Decatur, DeKalb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6745</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7034</v>
      </c>
      <c r="B6" s="3063"/>
      <c r="C6" s="3063"/>
      <c r="D6" s="3063"/>
      <c r="F6" s="242"/>
      <c r="G6" s="224" t="s">
        <v>3823</v>
      </c>
      <c r="L6" s="375"/>
      <c r="P6" s="1788" t="s">
        <v>3290</v>
      </c>
      <c r="Z6" s="1706">
        <v>6</v>
      </c>
    </row>
    <row r="7" spans="1:26" s="144" customFormat="1" ht="12" customHeight="1" thickBot="1">
      <c r="A7" s="3063"/>
      <c r="B7" s="3063"/>
      <c r="C7" s="3063"/>
      <c r="D7" s="3063"/>
      <c r="E7" s="999"/>
      <c r="F7" s="244"/>
      <c r="G7" s="224" t="s">
        <v>6083</v>
      </c>
      <c r="H7" s="248"/>
      <c r="I7" s="248"/>
      <c r="J7" s="248"/>
      <c r="O7" s="3051" t="s">
        <v>7033</v>
      </c>
      <c r="P7" s="3052"/>
      <c r="Q7" s="3065" t="s">
        <v>6634</v>
      </c>
      <c r="R7" s="3065"/>
      <c r="S7" s="3066"/>
      <c r="Z7" s="1706">
        <v>7</v>
      </c>
    </row>
    <row r="8" spans="1:26" s="144" customFormat="1" ht="12" customHeight="1">
      <c r="A8" s="3063"/>
      <c r="B8" s="3063"/>
      <c r="C8" s="3063"/>
      <c r="D8" s="3063"/>
      <c r="E8" s="999"/>
      <c r="F8" s="408"/>
      <c r="G8" s="147" t="s">
        <v>2959</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2191</v>
      </c>
      <c r="D10" s="145"/>
      <c r="E10" s="245"/>
      <c r="F10" s="246" t="s">
        <v>3267</v>
      </c>
      <c r="I10" s="3053">
        <f>'Part III-A-Uses of Funds'!$J$191</f>
        <v>2652770</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ht="13.5">
      <c r="A12" s="222" t="s">
        <v>689</v>
      </c>
      <c r="B12" s="243" t="s">
        <v>1890</v>
      </c>
      <c r="F12" s="3057" t="s">
        <v>7036</v>
      </c>
      <c r="G12" s="3058"/>
      <c r="H12" s="3059"/>
      <c r="I12" s="1789" t="s">
        <v>6517</v>
      </c>
      <c r="J12" s="393" t="s">
        <v>6942</v>
      </c>
      <c r="K12" s="243"/>
      <c r="L12" s="248"/>
      <c r="O12" s="3060" t="s">
        <v>2452</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3672</v>
      </c>
      <c r="D14" s="246"/>
      <c r="E14" s="245"/>
      <c r="G14" s="245"/>
      <c r="H14" s="245"/>
      <c r="I14" s="751" t="s">
        <v>3294</v>
      </c>
      <c r="L14" s="247"/>
      <c r="Q14" s="3067"/>
      <c r="R14" s="3068"/>
      <c r="S14" s="3069"/>
      <c r="Z14" s="1706">
        <v>14</v>
      </c>
    </row>
    <row r="15" spans="1:26" s="144" customFormat="1">
      <c r="B15" s="144" t="s">
        <v>3295</v>
      </c>
      <c r="F15" s="3033" t="s">
        <v>7037</v>
      </c>
      <c r="G15" s="3034"/>
      <c r="H15" s="3035"/>
      <c r="I15" s="2437" t="s">
        <v>1670</v>
      </c>
      <c r="J15" s="3036" t="s">
        <v>7038</v>
      </c>
      <c r="K15" s="3037"/>
      <c r="L15" s="3038"/>
      <c r="M15" s="1898" t="s">
        <v>1838</v>
      </c>
      <c r="N15" s="3033" t="s">
        <v>7039</v>
      </c>
      <c r="O15" s="3034"/>
      <c r="P15" s="3035"/>
      <c r="Q15" s="3067"/>
      <c r="R15" s="3068"/>
      <c r="S15" s="3069"/>
      <c r="Z15" s="1706">
        <v>15</v>
      </c>
    </row>
    <row r="16" spans="1:26" s="144" customFormat="1" ht="12.75" customHeight="1">
      <c r="B16" s="246" t="s">
        <v>1599</v>
      </c>
      <c r="F16" s="3030">
        <v>4049493871</v>
      </c>
      <c r="G16" s="3031"/>
      <c r="H16" s="3032"/>
      <c r="I16" s="2438" t="s">
        <v>1598</v>
      </c>
      <c r="J16" s="823"/>
      <c r="M16" s="246" t="s">
        <v>1600</v>
      </c>
      <c r="N16" s="3030">
        <v>4049493871</v>
      </c>
      <c r="O16" s="3031"/>
      <c r="P16" s="3032"/>
      <c r="Q16" s="3067"/>
      <c r="R16" s="3068"/>
      <c r="S16" s="3069"/>
      <c r="V16" s="751"/>
      <c r="W16" s="751"/>
      <c r="X16" s="751"/>
      <c r="Z16" s="1706">
        <v>18</v>
      </c>
    </row>
    <row r="17" spans="1:26" s="144" customFormat="1">
      <c r="B17" s="246" t="s">
        <v>1841</v>
      </c>
      <c r="F17" s="3039" t="s">
        <v>7040</v>
      </c>
      <c r="G17" s="3040"/>
      <c r="H17" s="3040"/>
      <c r="I17" s="3037"/>
      <c r="J17" s="3040"/>
      <c r="K17" s="3037"/>
      <c r="L17" s="3038"/>
      <c r="M17" s="246" t="s">
        <v>1837</v>
      </c>
      <c r="N17" s="3041">
        <v>4049663824</v>
      </c>
      <c r="O17" s="3042"/>
      <c r="P17" s="3043"/>
      <c r="Q17" s="3067"/>
      <c r="R17" s="3068"/>
      <c r="S17" s="3069"/>
      <c r="U17" s="751"/>
      <c r="V17" s="751"/>
      <c r="W17" s="751"/>
      <c r="X17" s="751"/>
      <c r="Z17" s="1706">
        <v>19</v>
      </c>
    </row>
    <row r="18" spans="1:26" s="144" customFormat="1">
      <c r="A18" s="375"/>
      <c r="B18" s="243" t="s">
        <v>3671</v>
      </c>
      <c r="C18" s="145"/>
      <c r="H18" s="248"/>
      <c r="J18" s="145"/>
      <c r="P18" s="248"/>
      <c r="Q18" s="3067"/>
      <c r="R18" s="3068"/>
      <c r="S18" s="3069"/>
      <c r="Z18" s="1706">
        <v>20</v>
      </c>
    </row>
    <row r="19" spans="1:26" s="144" customFormat="1">
      <c r="B19" s="144" t="s">
        <v>3295</v>
      </c>
      <c r="F19" s="3033" t="s">
        <v>7037</v>
      </c>
      <c r="G19" s="3034"/>
      <c r="H19" s="3035"/>
      <c r="I19" s="2437" t="s">
        <v>1670</v>
      </c>
      <c r="J19" s="3036" t="s">
        <v>7041</v>
      </c>
      <c r="K19" s="3037"/>
      <c r="L19" s="3038"/>
      <c r="M19" s="1898" t="s">
        <v>1838</v>
      </c>
      <c r="N19" s="3033" t="s">
        <v>7042</v>
      </c>
      <c r="O19" s="3034"/>
      <c r="P19" s="3035"/>
      <c r="Q19" s="3067"/>
      <c r="R19" s="3068"/>
      <c r="S19" s="3069"/>
      <c r="Z19" s="1706">
        <v>21</v>
      </c>
    </row>
    <row r="20" spans="1:26" s="144" customFormat="1">
      <c r="B20" s="246" t="s">
        <v>1599</v>
      </c>
      <c r="F20" s="3030">
        <v>6787050738</v>
      </c>
      <c r="G20" s="3031"/>
      <c r="H20" s="3032"/>
      <c r="I20" s="2438" t="s">
        <v>1598</v>
      </c>
      <c r="J20" s="823"/>
      <c r="M20" s="246" t="s">
        <v>1600</v>
      </c>
      <c r="N20" s="3030">
        <v>6787050738</v>
      </c>
      <c r="O20" s="3031"/>
      <c r="P20" s="3032"/>
      <c r="Q20" s="3067"/>
      <c r="R20" s="3068"/>
      <c r="S20" s="3069"/>
      <c r="U20" s="230"/>
      <c r="V20" s="230"/>
      <c r="W20" s="230"/>
      <c r="X20" s="230"/>
      <c r="Z20" s="1706">
        <v>24</v>
      </c>
    </row>
    <row r="21" spans="1:26" s="144" customFormat="1">
      <c r="B21" s="246" t="s">
        <v>1841</v>
      </c>
      <c r="F21" s="3039" t="s">
        <v>7043</v>
      </c>
      <c r="G21" s="3040"/>
      <c r="H21" s="3040"/>
      <c r="I21" s="3037"/>
      <c r="J21" s="3040"/>
      <c r="K21" s="3037"/>
      <c r="L21" s="3038"/>
      <c r="M21" s="246" t="s">
        <v>1837</v>
      </c>
      <c r="N21" s="3041">
        <v>4043177597</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7044</v>
      </c>
      <c r="G25" s="3044"/>
      <c r="H25" s="3044"/>
      <c r="I25" s="3037"/>
      <c r="J25" s="3044"/>
      <c r="K25" s="3045"/>
      <c r="M25" s="246" t="s">
        <v>425</v>
      </c>
      <c r="P25" s="1899" t="s">
        <v>2649</v>
      </c>
      <c r="Q25" s="3067"/>
      <c r="R25" s="3068"/>
      <c r="S25" s="3069"/>
      <c r="Z25" s="1706">
        <v>29</v>
      </c>
    </row>
    <row r="26" spans="1:26" s="144" customFormat="1">
      <c r="A26" s="375"/>
      <c r="B26" s="144" t="s">
        <v>575</v>
      </c>
      <c r="F26" s="3075" t="s">
        <v>189</v>
      </c>
      <c r="G26" s="3088"/>
      <c r="H26" s="3089"/>
      <c r="I26" s="257" t="s">
        <v>576</v>
      </c>
      <c r="J26" s="3046" t="str">
        <f>IF(F26="","",VLOOKUP(F26,'DCA Underwriting Assumptions'!$T$141:$U$770,2,FALSE))</f>
        <v>DeKalb</v>
      </c>
      <c r="K26" s="3047"/>
      <c r="M26" s="246" t="s">
        <v>426</v>
      </c>
      <c r="P26" s="1956" t="s">
        <v>2652</v>
      </c>
      <c r="Q26" s="3067"/>
      <c r="R26" s="3068"/>
      <c r="S26" s="3069"/>
      <c r="U26" s="375"/>
      <c r="Z26" s="1706">
        <v>30</v>
      </c>
    </row>
    <row r="27" spans="1:26" s="144" customFormat="1" ht="13.5">
      <c r="A27" s="375"/>
      <c r="B27" s="144" t="s">
        <v>3906</v>
      </c>
      <c r="C27" s="251"/>
      <c r="D27" s="252"/>
      <c r="E27" s="252"/>
      <c r="F27" s="3075" t="s">
        <v>7045</v>
      </c>
      <c r="G27" s="3076"/>
      <c r="H27" s="3077"/>
      <c r="I27" s="248"/>
      <c r="J27" s="392" t="s">
        <v>6723</v>
      </c>
      <c r="K27" s="248"/>
      <c r="M27" s="246" t="s">
        <v>6666</v>
      </c>
      <c r="O27" s="3028">
        <v>8.0399999999999991</v>
      </c>
      <c r="P27" s="3029"/>
      <c r="Q27" s="3067"/>
      <c r="R27" s="3068"/>
      <c r="S27" s="3069"/>
      <c r="Z27" s="1706">
        <v>31</v>
      </c>
    </row>
    <row r="28" spans="1:26" s="144" customFormat="1">
      <c r="A28" s="375"/>
      <c r="B28" s="144" t="s">
        <v>1455</v>
      </c>
      <c r="F28" s="1261" t="s">
        <v>2652</v>
      </c>
      <c r="G28" s="820"/>
      <c r="I28" s="1955"/>
      <c r="J28" s="248" t="s">
        <v>2499</v>
      </c>
      <c r="K28" s="1957" t="str">
        <f>IF(F28="Yes","Rural","Urban")</f>
        <v>Urban</v>
      </c>
      <c r="M28" s="246" t="s">
        <v>2398</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3086</v>
      </c>
      <c r="P34" s="1892"/>
      <c r="Q34" s="3067"/>
      <c r="R34" s="3068"/>
      <c r="S34" s="3069"/>
      <c r="Z34" s="1706">
        <v>38</v>
      </c>
    </row>
    <row r="35" spans="1:26" s="144" customFormat="1" ht="12.75" hidden="1" customHeight="1">
      <c r="A35" s="375"/>
      <c r="B35" s="243"/>
      <c r="C35" s="144" t="s">
        <v>3932</v>
      </c>
      <c r="I35" s="1886"/>
      <c r="J35" s="257" t="s">
        <v>2483</v>
      </c>
      <c r="O35" s="3073"/>
      <c r="P35" s="3074"/>
      <c r="Q35" s="3067"/>
      <c r="R35" s="3068"/>
      <c r="S35" s="3069"/>
      <c r="Z35" s="1706">
        <v>39</v>
      </c>
    </row>
    <row r="36" spans="1:26" s="144" customFormat="1" ht="12.75" customHeight="1">
      <c r="A36" s="375"/>
      <c r="B36" s="243"/>
      <c r="C36" s="144" t="s">
        <v>1676</v>
      </c>
      <c r="I36" s="1248" t="s">
        <v>2652</v>
      </c>
      <c r="J36" s="257" t="s">
        <v>2483</v>
      </c>
      <c r="O36" s="3084"/>
      <c r="P36" s="3085"/>
      <c r="Q36" s="3067"/>
      <c r="R36" s="3068"/>
      <c r="S36" s="3069"/>
      <c r="Z36" s="1706">
        <v>40</v>
      </c>
    </row>
    <row r="37" spans="1:26" s="144" customFormat="1" ht="12.6" customHeight="1">
      <c r="A37" s="375"/>
      <c r="B37" s="375"/>
      <c r="C37" s="144" t="s">
        <v>2574</v>
      </c>
      <c r="I37" s="862" t="s">
        <v>2652</v>
      </c>
      <c r="J37" s="257" t="s">
        <v>2483</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t="s">
        <v>7046</v>
      </c>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Westbury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75">
      <c r="A8" s="576" t="s">
        <v>2647</v>
      </c>
      <c r="B8" s="576"/>
      <c r="C8" s="4766" t="str">
        <f>'Part I-Project Identification'!$F$25</f>
        <v>Westbury</v>
      </c>
      <c r="D8" s="4766"/>
      <c r="E8" s="1978" t="str">
        <f>'Part I-Project Identification'!$O$7</f>
        <v>2023-5</v>
      </c>
      <c r="F8" s="576" t="s">
        <v>2648</v>
      </c>
      <c r="G8" s="567"/>
      <c r="H8" s="4766" t="str">
        <f>CONCATENATE('Part I-Project Identification'!$F$26,", ",'Part I-Project Identification'!$J$26)</f>
        <v>Decatur, DeKalb</v>
      </c>
      <c r="I8" s="4766"/>
      <c r="J8" s="4766"/>
      <c r="K8" s="4766"/>
      <c r="L8" s="567"/>
      <c r="M8" s="545"/>
    </row>
    <row r="9" spans="1:14" ht="15.75">
      <c r="A9" s="576" t="s">
        <v>2650</v>
      </c>
      <c r="B9" s="576"/>
      <c r="C9" s="4766" t="s">
        <v>1646</v>
      </c>
      <c r="D9" s="4766"/>
      <c r="E9" s="567"/>
      <c r="F9" s="576" t="s">
        <v>2651</v>
      </c>
      <c r="G9" s="567"/>
      <c r="H9" s="4767"/>
      <c r="I9" s="4767"/>
      <c r="J9" s="4767"/>
      <c r="K9" s="4767"/>
      <c r="L9" s="4767"/>
      <c r="M9" s="545"/>
    </row>
    <row r="10" spans="1:14" ht="15.75">
      <c r="A10" s="576" t="s">
        <v>2653</v>
      </c>
      <c r="B10" s="567"/>
      <c r="C10" s="4768"/>
      <c r="D10" s="4768"/>
      <c r="E10" s="567"/>
      <c r="F10" s="576" t="s">
        <v>3132</v>
      </c>
      <c r="G10" s="567"/>
      <c r="H10" s="4765"/>
      <c r="I10" s="4765"/>
      <c r="J10" s="4765"/>
      <c r="K10" s="4765"/>
      <c r="L10" s="4765"/>
    </row>
    <row r="11" spans="1:14" ht="15.75">
      <c r="A11" s="576" t="s">
        <v>2654</v>
      </c>
      <c r="B11" s="567"/>
      <c r="C11" s="4769"/>
      <c r="D11" s="4769"/>
      <c r="E11" s="1992"/>
      <c r="F11" s="576" t="s">
        <v>606</v>
      </c>
      <c r="G11" s="567"/>
      <c r="H11" s="4765"/>
      <c r="I11" s="4765"/>
      <c r="J11" s="4765"/>
      <c r="K11" s="4765"/>
      <c r="L11" s="4765"/>
      <c r="M11" s="4770"/>
      <c r="N11" s="4771"/>
    </row>
    <row r="12" spans="1:14" ht="15.75">
      <c r="A12" s="576" t="s">
        <v>2655</v>
      </c>
      <c r="B12" s="567"/>
      <c r="C12" s="4769"/>
      <c r="D12" s="4769"/>
      <c r="E12" s="567"/>
      <c r="F12" s="576" t="s">
        <v>2656</v>
      </c>
      <c r="G12" s="567"/>
      <c r="H12" s="4769"/>
      <c r="I12" s="4769"/>
      <c r="J12" s="4769"/>
      <c r="K12" s="4769"/>
      <c r="L12" s="4769"/>
      <c r="M12" s="507"/>
    </row>
    <row r="13" spans="1:14" ht="15.75">
      <c r="A13" s="576" t="s">
        <v>2657</v>
      </c>
      <c r="B13" s="576"/>
      <c r="C13" s="1979">
        <f>'Part V-Revenues &amp; Expenses'!$P$67</f>
        <v>210</v>
      </c>
      <c r="D13" s="26"/>
      <c r="E13" s="1980">
        <f>'Part V-Revenues &amp; Expenses'!$P$63</f>
        <v>210</v>
      </c>
      <c r="F13" s="576" t="s">
        <v>3451</v>
      </c>
      <c r="G13" s="567"/>
      <c r="H13" s="1990"/>
      <c r="I13" s="1982"/>
      <c r="J13" s="1982"/>
      <c r="K13" s="1981">
        <f>'Part V-Revenues &amp; Expenses'!$K$175</f>
        <v>201480</v>
      </c>
      <c r="L13" s="567"/>
      <c r="M13" s="507"/>
    </row>
    <row r="14" spans="1:14" ht="15.75">
      <c r="A14" s="576" t="s">
        <v>2949</v>
      </c>
      <c r="B14" s="567"/>
      <c r="C14" s="1981" t="str">
        <f>'Part VII-Threshold Criteria OLD'!J35</f>
        <v>&lt;&lt; Select PROPOSED Tenancy &gt;&gt;</v>
      </c>
      <c r="D14" s="4766" t="str">
        <f>IF('Part VII-Threshold Criteria OLD'!$N$35=0,"",'Part VII-Threshold Criteria OLD'!$N$35)</f>
        <v/>
      </c>
      <c r="E14" s="4766"/>
      <c r="F14" s="576" t="s">
        <v>2658</v>
      </c>
      <c r="G14" s="567"/>
      <c r="H14" s="4772" t="s">
        <v>3100</v>
      </c>
      <c r="I14" s="4772"/>
      <c r="J14" s="4772"/>
      <c r="K14" s="4772" t="s">
        <v>3100</v>
      </c>
      <c r="L14" s="4772"/>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60559835.021915421</v>
      </c>
      <c r="D18" s="1986">
        <f>IF(C18=0,"",$C$29/C18)</f>
        <v>0.32387560159141998</v>
      </c>
      <c r="E18" s="567" t="s">
        <v>2953</v>
      </c>
      <c r="F18" s="576" t="s">
        <v>6749</v>
      </c>
      <c r="G18" s="567"/>
      <c r="H18" s="4773">
        <f>'Part III-A-Uses of Funds'!$C$49</f>
        <v>40450983</v>
      </c>
      <c r="I18" s="4773"/>
      <c r="J18" s="1987">
        <f>IF(H18=0,"",$C$29/H18)</f>
        <v>0.48487951454727318</v>
      </c>
      <c r="K18" s="4766" t="s">
        <v>2955</v>
      </c>
      <c r="L18" s="4766"/>
      <c r="M18" s="507"/>
    </row>
    <row r="19" spans="1:13" ht="15.75">
      <c r="A19" s="576" t="s">
        <v>2660</v>
      </c>
      <c r="B19" s="567"/>
      <c r="C19" s="1988">
        <f>C18/C13</f>
        <v>288380.1667710258</v>
      </c>
      <c r="D19" s="567"/>
      <c r="E19" s="567"/>
      <c r="F19" s="576" t="s">
        <v>2660</v>
      </c>
      <c r="G19" s="567"/>
      <c r="H19" s="4774">
        <f>H18/C13</f>
        <v>192623.72857142857</v>
      </c>
      <c r="I19" s="4774"/>
      <c r="J19" s="567"/>
      <c r="K19" s="567"/>
      <c r="L19" s="567"/>
      <c r="M19" s="507"/>
    </row>
    <row r="20" spans="1:13" ht="15.75">
      <c r="A20" s="576" t="s">
        <v>2661</v>
      </c>
      <c r="B20" s="567"/>
      <c r="C20" s="1978">
        <f>C18/K13</f>
        <v>300.57492069642359</v>
      </c>
      <c r="D20" s="1989"/>
      <c r="E20" s="1989"/>
      <c r="F20" s="576" t="s">
        <v>2661</v>
      </c>
      <c r="G20" s="567"/>
      <c r="H20" s="4766">
        <f>H18/K13</f>
        <v>200.76922275163787</v>
      </c>
      <c r="I20" s="477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Truist Bank</v>
      </c>
      <c r="C25" s="553">
        <f>'Part II-Sources of Funds'!I40</f>
        <v>19613853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19613853</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39523867.849445313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19613853</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0.32387560159141998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0.48487951454727318</v>
      </c>
      <c r="D40" s="507"/>
      <c r="E40" s="507"/>
      <c r="F40" s="510"/>
      <c r="G40" s="510" t="s">
        <v>2681</v>
      </c>
      <c r="H40" s="507"/>
      <c r="I40" s="507"/>
      <c r="K40" s="555">
        <f>C30/C18</f>
        <v>0.65264160371543944</v>
      </c>
      <c r="L40" s="507"/>
      <c r="M40" s="507"/>
    </row>
    <row r="46" spans="1:13" ht="15.75">
      <c r="A46" s="550" t="s">
        <v>2682</v>
      </c>
      <c r="B46" s="540"/>
      <c r="C46" s="540"/>
      <c r="D46" s="540"/>
      <c r="E46" s="540"/>
      <c r="F46" s="540"/>
      <c r="G46" s="540"/>
      <c r="H46" s="540"/>
      <c r="I46" s="540"/>
      <c r="J46" s="540"/>
      <c r="K46" s="540"/>
      <c r="L46" s="540"/>
      <c r="M46" s="507"/>
    </row>
    <row r="47" spans="1:13" ht="15.75">
      <c r="A47" s="550" t="str">
        <f>C8</f>
        <v>Westbury</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75" t="s">
        <v>2685</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2801340</v>
      </c>
      <c r="D52" s="568"/>
      <c r="E52" s="568">
        <f>$C$52</f>
        <v>2801340</v>
      </c>
      <c r="F52" s="568"/>
      <c r="G52" s="568">
        <f>$C$52</f>
        <v>2801340</v>
      </c>
      <c r="H52" s="568"/>
      <c r="I52" s="568">
        <f>$C$52</f>
        <v>2801340</v>
      </c>
      <c r="J52" s="568"/>
      <c r="K52" s="568">
        <f>$C$52</f>
        <v>2801340</v>
      </c>
      <c r="L52" s="569"/>
      <c r="M52"/>
      <c r="N52"/>
    </row>
    <row r="53" spans="1:14" s="507" customFormat="1" ht="18.75" customHeight="1">
      <c r="B53" s="567" t="s">
        <v>2689</v>
      </c>
      <c r="C53" s="568">
        <f>'Part VI-Pro Forma'!B16</f>
        <v>56026.8</v>
      </c>
      <c r="D53" s="568"/>
      <c r="E53" s="568">
        <f>$C$53</f>
        <v>56026.8</v>
      </c>
      <c r="F53" s="568"/>
      <c r="G53" s="568">
        <f>$C$53</f>
        <v>56026.8</v>
      </c>
      <c r="H53" s="568"/>
      <c r="I53" s="568">
        <f>$C$53</f>
        <v>56026.8</v>
      </c>
      <c r="J53" s="568"/>
      <c r="K53" s="568">
        <f>$C$53</f>
        <v>56026.8</v>
      </c>
      <c r="L53" s="569"/>
      <c r="M53"/>
      <c r="N53"/>
    </row>
    <row r="54" spans="1:14" s="507" customFormat="1" ht="18.75" customHeight="1">
      <c r="B54" s="567" t="s">
        <v>2687</v>
      </c>
      <c r="C54" s="568">
        <f>'Part VI-Pro Forma'!B17</f>
        <v>-200015.67600000001</v>
      </c>
      <c r="D54" s="568"/>
      <c r="E54" s="568">
        <f>-($C$52+E53)*F50</f>
        <v>-285736.68</v>
      </c>
      <c r="F54" s="570"/>
      <c r="G54" s="568">
        <f>-($C$52+G53)*0.07</f>
        <v>-200015.67600000001</v>
      </c>
      <c r="H54" s="568"/>
      <c r="I54" s="568">
        <f>-($C$52+I53)*0.07</f>
        <v>-200015.67600000001</v>
      </c>
      <c r="J54" s="568"/>
      <c r="K54" s="568">
        <f>-($C$52+K53)*L54</f>
        <v>-285736.68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2657351.1239999998</v>
      </c>
      <c r="D56" s="568"/>
      <c r="E56" s="574">
        <f>SUM(E52:E55)</f>
        <v>2571630.1199999996</v>
      </c>
      <c r="F56" s="568"/>
      <c r="G56" s="574">
        <f>SUM(G52:G55)</f>
        <v>2657351.1239999998</v>
      </c>
      <c r="H56" s="568"/>
      <c r="I56" s="574">
        <f>SUM(I52:I55)</f>
        <v>2657351.1239999998</v>
      </c>
      <c r="J56" s="568"/>
      <c r="K56" s="574">
        <f>SUM(K52:K55)</f>
        <v>2571630.1199999996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12150</v>
      </c>
      <c r="D58" s="568"/>
      <c r="E58" s="568">
        <f>$C$58</f>
        <v>12150</v>
      </c>
      <c r="F58" s="568"/>
      <c r="G58" s="568">
        <f>$C$58</f>
        <v>12150</v>
      </c>
      <c r="H58" s="568"/>
      <c r="I58" s="568">
        <f>$C$58</f>
        <v>12150</v>
      </c>
      <c r="J58" s="568"/>
      <c r="K58" s="568">
        <f>$C$58</f>
        <v>12150</v>
      </c>
      <c r="L58" s="569"/>
      <c r="M58"/>
      <c r="N58"/>
    </row>
    <row r="59" spans="1:14" s="507" customFormat="1" ht="18.75" customHeight="1">
      <c r="B59" s="567" t="s">
        <v>2692</v>
      </c>
      <c r="C59" s="568">
        <f>+'Part V-Revenues &amp; Expenses'!F244</f>
        <v>15000</v>
      </c>
      <c r="D59" s="568"/>
      <c r="E59" s="568">
        <f>$C$59</f>
        <v>15000</v>
      </c>
      <c r="F59" s="568"/>
      <c r="G59" s="568">
        <f>$C$59</f>
        <v>15000</v>
      </c>
      <c r="H59" s="568"/>
      <c r="I59" s="568">
        <f>$C$59</f>
        <v>15000</v>
      </c>
      <c r="J59" s="568"/>
      <c r="K59" s="568">
        <f>$C$59*(1+$L$59)</f>
        <v>15600</v>
      </c>
      <c r="L59" s="575">
        <v>0.04</v>
      </c>
      <c r="M59"/>
      <c r="N59"/>
    </row>
    <row r="60" spans="1:14" s="507" customFormat="1" ht="18.75" customHeight="1">
      <c r="B60" s="567" t="s">
        <v>1297</v>
      </c>
      <c r="C60" s="568">
        <f>+'Part V-Revenues &amp; Expenses'!L237</f>
        <v>190000</v>
      </c>
      <c r="D60" s="568"/>
      <c r="E60" s="568">
        <f>$C$60</f>
        <v>190000</v>
      </c>
      <c r="F60" s="568"/>
      <c r="G60" s="568">
        <f>$C$60</f>
        <v>190000</v>
      </c>
      <c r="H60" s="568"/>
      <c r="I60" s="568">
        <f>$C$60*(1+$J$50)</f>
        <v>195700</v>
      </c>
      <c r="J60" s="570"/>
      <c r="K60" s="568">
        <f>$C$60*(1+$J$50)</f>
        <v>195700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217150</v>
      </c>
      <c r="D62" s="568"/>
      <c r="E62" s="574">
        <f>SUM(E58:E61)</f>
        <v>217150</v>
      </c>
      <c r="F62" s="568"/>
      <c r="G62" s="574">
        <f>SUM(G58:G61)</f>
        <v>217150</v>
      </c>
      <c r="H62" s="568"/>
      <c r="I62" s="574">
        <f>SUM(I58:I61)</f>
        <v>222850</v>
      </c>
      <c r="J62" s="568"/>
      <c r="K62" s="574">
        <f>SUM(K58:K61)</f>
        <v>223450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2440201.1239999998</v>
      </c>
      <c r="D64" s="577"/>
      <c r="E64" s="577">
        <f>E56-E62</f>
        <v>2354480.1199999996</v>
      </c>
      <c r="F64" s="577"/>
      <c r="G64" s="577">
        <f>G56-G62</f>
        <v>2440201.1239999998</v>
      </c>
      <c r="H64" s="577"/>
      <c r="I64" s="577">
        <f>I56-I62</f>
        <v>2434501.1239999998</v>
      </c>
      <c r="J64" s="577"/>
      <c r="K64" s="577">
        <f>K56-K62</f>
        <v>2348180.1199999996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2440201.1239999998</v>
      </c>
      <c r="D70" s="577"/>
      <c r="E70" s="580">
        <f>E64-E66-E68</f>
        <v>2354480.1199999996</v>
      </c>
      <c r="F70" s="577"/>
      <c r="G70" s="580">
        <f>G64-G66-G68</f>
        <v>2440201.1239999998</v>
      </c>
      <c r="H70" s="577"/>
      <c r="I70" s="580">
        <f>I64-I66-I68</f>
        <v>2434501.1239999998</v>
      </c>
      <c r="J70" s="577"/>
      <c r="K70" s="580">
        <f>K64-K66-K68</f>
        <v>2348180.1199999996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1.8148534880797274</v>
      </c>
      <c r="D72" s="581"/>
      <c r="E72" s="1004">
        <f>-E70/E75</f>
        <v>1.7511001107121753</v>
      </c>
      <c r="F72" s="581"/>
      <c r="G72" s="1004">
        <f>-G70/G75</f>
        <v>1.8148534880797274</v>
      </c>
      <c r="H72" s="581"/>
      <c r="I72" s="1004">
        <f>-I70/I75</f>
        <v>1.8106142207585578</v>
      </c>
      <c r="J72" s="581"/>
      <c r="K72" s="1004">
        <f>-K70/K75</f>
        <v>1.7464146047256195</v>
      </c>
      <c r="L72" s="4"/>
      <c r="M72" s="10"/>
      <c r="N72" s="10"/>
    </row>
    <row r="73" spans="1:14" s="507" customFormat="1" ht="18.75" customHeight="1">
      <c r="A73"/>
      <c r="B73" s="567" t="s">
        <v>2699</v>
      </c>
      <c r="C73" s="1005">
        <f>C76/C62</f>
        <v>5.0454946219506338</v>
      </c>
      <c r="D73" s="582"/>
      <c r="E73" s="1005">
        <f>E76/E62</f>
        <v>4.6507398257268244</v>
      </c>
      <c r="F73" s="582"/>
      <c r="G73" s="1005">
        <f>G76/G62</f>
        <v>5.0454946219506338</v>
      </c>
      <c r="H73" s="582"/>
      <c r="I73" s="1005">
        <f>I76/I62</f>
        <v>4.8908645149498771</v>
      </c>
      <c r="J73" s="582"/>
      <c r="K73" s="1005">
        <f>K76/K62</f>
        <v>4.4914215849477737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-1344571.9668434197</v>
      </c>
      <c r="D75" s="568"/>
      <c r="E75" s="568">
        <f>$C$75</f>
        <v>-1344571.9668434197</v>
      </c>
      <c r="F75" s="568"/>
      <c r="G75" s="568">
        <f>$C$75</f>
        <v>-1344571.9668434197</v>
      </c>
      <c r="H75" s="568"/>
      <c r="I75" s="568">
        <f>$C$75</f>
        <v>-1344571.9668434197</v>
      </c>
      <c r="J75" s="568"/>
      <c r="K75" s="568">
        <f>$C$75</f>
        <v>-1344571.9668434197</v>
      </c>
      <c r="L75" s="26"/>
      <c r="M75"/>
      <c r="N75"/>
    </row>
    <row r="76" spans="1:14" s="507" customFormat="1" ht="18.75" customHeight="1">
      <c r="A76"/>
      <c r="B76" s="567" t="s">
        <v>1096</v>
      </c>
      <c r="C76" s="568">
        <f>C70+C75</f>
        <v>1095629.1571565801</v>
      </c>
      <c r="D76" s="568"/>
      <c r="E76" s="568">
        <f>E70+E75</f>
        <v>1009908.1531565799</v>
      </c>
      <c r="F76" s="568"/>
      <c r="G76" s="568">
        <f>G70+G75</f>
        <v>1095629.1571565801</v>
      </c>
      <c r="H76" s="568"/>
      <c r="I76" s="568">
        <f>I70+I75</f>
        <v>1089929.1571565801</v>
      </c>
      <c r="J76" s="568"/>
      <c r="K76" s="568">
        <f>K70+K75</f>
        <v>1003608.1531565799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Westbury</v>
      </c>
    </row>
    <row r="13" spans="1:10" ht="15">
      <c r="A13" s="517"/>
      <c r="D13" s="516" t="s">
        <v>2604</v>
      </c>
      <c r="F13" s="1024" t="str">
        <f>'Sensitivity Analysis'!E8</f>
        <v>2023-5</v>
      </c>
    </row>
    <row r="14" spans="1:10" ht="15">
      <c r="A14" s="517"/>
      <c r="D14" s="516" t="s">
        <v>2605</v>
      </c>
      <c r="F14" s="1024" t="str">
        <f>'Sensitivity Analysis'!H8</f>
        <v>Decatur, DeKalb</v>
      </c>
    </row>
    <row r="15" spans="1:10" ht="15">
      <c r="A15" s="517"/>
      <c r="D15" s="516" t="s">
        <v>2946</v>
      </c>
      <c r="F15" s="4786">
        <f>'Sensitivity Analysis'!$C$25</f>
        <v>19613853</v>
      </c>
      <c r="G15" s="4786"/>
      <c r="H15" s="4786"/>
    </row>
    <row r="16" spans="1:10" ht="15">
      <c r="A16" s="517"/>
      <c r="D16" s="519" t="s">
        <v>2606</v>
      </c>
      <c r="F16" s="520">
        <f>'Sensitivity Analysis'!C13</f>
        <v>210</v>
      </c>
      <c r="G16" s="521" t="s">
        <v>2947</v>
      </c>
      <c r="H16" s="972">
        <f>'Sensitivity Analysis'!E13</f>
        <v>210</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78" t="s">
        <v>3099</v>
      </c>
      <c r="B22" s="4778"/>
      <c r="C22" s="4778"/>
      <c r="D22" s="4778"/>
      <c r="E22" s="4778"/>
      <c r="F22" s="4778"/>
      <c r="G22" s="4778"/>
      <c r="H22" s="4778"/>
      <c r="I22" s="4778"/>
      <c r="J22" s="4778"/>
      <c r="K22" s="4777" t="s">
        <v>3897</v>
      </c>
      <c r="L22" s="4777"/>
      <c r="M22" s="4777"/>
      <c r="N22" s="477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9"/>
      <c r="B24" s="4779"/>
      <c r="C24" s="4779"/>
      <c r="D24" s="4779"/>
      <c r="E24" s="4779"/>
      <c r="F24" s="4779"/>
      <c r="G24" s="4779"/>
      <c r="H24" s="4779"/>
      <c r="I24" s="4779"/>
      <c r="J24" s="4779"/>
    </row>
    <row r="25" spans="1:18" ht="10.5" hidden="1" customHeight="1">
      <c r="A25" s="4764"/>
      <c r="B25" s="4764"/>
      <c r="C25" s="4764"/>
      <c r="D25" s="4764"/>
      <c r="E25" s="4764"/>
      <c r="F25" s="4764"/>
      <c r="G25" s="4764"/>
      <c r="H25" s="4764"/>
      <c r="I25" s="4764"/>
      <c r="J25" s="4764"/>
    </row>
    <row r="26" spans="1:18" ht="15">
      <c r="A26" s="522" t="s">
        <v>6153</v>
      </c>
    </row>
    <row r="27" spans="1:18" ht="14.25" customHeight="1">
      <c r="A27" s="4780" t="s">
        <v>6155</v>
      </c>
      <c r="B27" s="4780"/>
      <c r="C27" s="4780"/>
      <c r="D27" s="4780"/>
      <c r="E27" s="4780"/>
      <c r="F27" s="4780"/>
      <c r="G27" s="4780"/>
      <c r="H27" s="4780"/>
      <c r="I27" s="4780"/>
      <c r="J27" s="4780"/>
    </row>
    <row r="28" spans="1:18" ht="14.25" customHeight="1">
      <c r="A28" s="4780"/>
      <c r="B28" s="4780"/>
      <c r="C28" s="4780"/>
      <c r="D28" s="4780"/>
      <c r="E28" s="4780"/>
      <c r="F28" s="4780"/>
      <c r="G28" s="4780"/>
      <c r="H28" s="4780"/>
      <c r="I28" s="4780"/>
      <c r="J28" s="4780"/>
    </row>
    <row r="29" spans="1:18" ht="6.75" customHeight="1">
      <c r="A29" s="4780"/>
      <c r="B29" s="4780"/>
      <c r="C29" s="4780"/>
      <c r="D29" s="4780"/>
      <c r="E29" s="4780"/>
      <c r="F29" s="4780"/>
      <c r="G29" s="4780"/>
      <c r="H29" s="4780"/>
      <c r="I29" s="4780"/>
      <c r="J29" s="4780"/>
    </row>
    <row r="30" spans="1:18" ht="21.75" customHeight="1">
      <c r="A30" s="4780"/>
      <c r="B30" s="4780"/>
      <c r="C30" s="4780"/>
      <c r="D30" s="4780"/>
      <c r="E30" s="4780"/>
      <c r="F30" s="4780"/>
      <c r="G30" s="4780"/>
      <c r="H30" s="4780"/>
      <c r="I30" s="4780"/>
      <c r="J30" s="4780"/>
    </row>
    <row r="31" spans="1:18" ht="20.25" customHeight="1">
      <c r="A31" s="4780"/>
      <c r="B31" s="4780"/>
      <c r="C31" s="4780"/>
      <c r="D31" s="4780"/>
      <c r="E31" s="4780"/>
      <c r="F31" s="4780"/>
      <c r="G31" s="4780"/>
      <c r="H31" s="4780"/>
      <c r="I31" s="4780"/>
      <c r="J31" s="4780"/>
    </row>
    <row r="32" spans="1:18" ht="54.75" customHeight="1">
      <c r="A32" s="4780"/>
      <c r="B32" s="4780"/>
      <c r="C32" s="4780"/>
      <c r="D32" s="4780"/>
      <c r="E32" s="4780"/>
      <c r="F32" s="4780"/>
      <c r="G32" s="4780"/>
      <c r="H32" s="4780"/>
      <c r="I32" s="4780"/>
      <c r="J32" s="4780"/>
    </row>
    <row r="33" spans="1:10" ht="0.75" hidden="1" customHeight="1">
      <c r="A33" s="4780"/>
      <c r="B33" s="4780"/>
      <c r="C33" s="4780"/>
      <c r="D33" s="4780"/>
      <c r="E33" s="4780"/>
      <c r="F33" s="4780"/>
      <c r="G33" s="4780"/>
      <c r="H33" s="4780"/>
      <c r="I33" s="4780"/>
      <c r="J33" s="4780"/>
    </row>
    <row r="34" spans="1:10" ht="3.75" hidden="1" customHeight="1">
      <c r="A34" s="4780"/>
      <c r="B34" s="4780"/>
      <c r="C34" s="4780"/>
      <c r="D34" s="4780"/>
      <c r="E34" s="4780"/>
      <c r="F34" s="4780"/>
      <c r="G34" s="4780"/>
      <c r="H34" s="4780"/>
      <c r="I34" s="4780"/>
      <c r="J34" s="4780"/>
    </row>
    <row r="35" spans="1:10" ht="5.25" customHeight="1">
      <c r="A35" s="1251"/>
      <c r="B35" s="1251"/>
      <c r="C35" s="1251"/>
      <c r="D35" s="1251"/>
      <c r="E35" s="1251"/>
      <c r="F35" s="1251"/>
      <c r="G35" s="1251"/>
      <c r="H35" s="1251"/>
      <c r="I35" s="1251"/>
      <c r="J35" s="1251"/>
    </row>
    <row r="36" spans="1:10" ht="19.5" customHeight="1">
      <c r="A36" s="4779" t="s">
        <v>6156</v>
      </c>
      <c r="B36" s="4779"/>
      <c r="C36" s="4779"/>
      <c r="D36" s="1249"/>
      <c r="E36" s="1249"/>
      <c r="F36" s="1249"/>
      <c r="G36" s="1249"/>
      <c r="H36" s="1249"/>
      <c r="I36" s="1249"/>
      <c r="J36" s="1249"/>
    </row>
    <row r="37" spans="1:10" ht="22.5" customHeight="1">
      <c r="A37" s="4764" t="s">
        <v>1614</v>
      </c>
      <c r="B37" s="4764"/>
      <c r="C37" s="4764"/>
      <c r="D37" s="4764"/>
      <c r="E37" s="4764"/>
      <c r="F37" s="4764"/>
      <c r="G37" s="4764"/>
      <c r="H37" s="4764"/>
      <c r="I37" s="4764"/>
      <c r="J37" s="4764"/>
    </row>
    <row r="38" spans="1:10" ht="22.5" customHeight="1">
      <c r="A38" s="4764" t="s">
        <v>1615</v>
      </c>
      <c r="B38" s="4764"/>
      <c r="C38" s="4764"/>
      <c r="D38" s="4764"/>
      <c r="E38" s="4764"/>
      <c r="F38" s="4764"/>
      <c r="G38" s="4764"/>
      <c r="H38" s="4764"/>
      <c r="I38" s="4764"/>
      <c r="J38" s="4764"/>
    </row>
    <row r="39" spans="1:10" ht="22.5" customHeight="1">
      <c r="A39" s="4764" t="s">
        <v>1616</v>
      </c>
      <c r="B39" s="4764"/>
      <c r="C39" s="4764"/>
      <c r="D39" s="4764"/>
      <c r="E39" s="4764"/>
      <c r="F39" s="4764"/>
      <c r="G39" s="4764"/>
      <c r="H39" s="4764"/>
      <c r="I39" s="4764"/>
      <c r="J39" s="4764"/>
    </row>
    <row r="40" spans="1:10" ht="22.5" customHeight="1">
      <c r="A40" s="4764" t="s">
        <v>2181</v>
      </c>
      <c r="B40" s="4764"/>
      <c r="C40" s="4764"/>
      <c r="D40" s="4764"/>
      <c r="E40" s="4764"/>
      <c r="F40" s="4764"/>
      <c r="G40" s="4764"/>
      <c r="H40" s="4764"/>
      <c r="I40" s="4764"/>
      <c r="J40" s="4764"/>
    </row>
    <row r="41" spans="1:10" ht="22.5" customHeight="1">
      <c r="A41" s="4764" t="s">
        <v>1448</v>
      </c>
      <c r="B41" s="4764"/>
      <c r="C41" s="4764"/>
      <c r="D41" s="4764"/>
      <c r="E41" s="4764"/>
      <c r="F41" s="4764"/>
      <c r="G41" s="4764"/>
      <c r="H41" s="4764"/>
      <c r="I41" s="4764"/>
      <c r="J41" s="4764"/>
    </row>
    <row r="42" spans="1:10" ht="22.5" customHeight="1">
      <c r="A42" s="4764" t="s">
        <v>1449</v>
      </c>
      <c r="B42" s="4764"/>
      <c r="C42" s="4764"/>
      <c r="D42" s="4764"/>
      <c r="E42" s="4764"/>
      <c r="F42" s="4764"/>
      <c r="G42" s="4764"/>
      <c r="H42" s="4764"/>
      <c r="I42" s="4764"/>
      <c r="J42" s="4764"/>
    </row>
    <row r="43" spans="1:10" ht="22.5" customHeight="1">
      <c r="A43" s="4764" t="s">
        <v>93</v>
      </c>
      <c r="B43" s="4764"/>
      <c r="C43" s="4764"/>
      <c r="D43" s="4764"/>
      <c r="E43" s="4764"/>
      <c r="F43" s="4764"/>
      <c r="G43" s="4764"/>
      <c r="H43" s="4764"/>
      <c r="I43" s="4764"/>
      <c r="J43" s="4764"/>
    </row>
    <row r="44" spans="1:10" ht="22.5" customHeight="1">
      <c r="A44" s="4764" t="s">
        <v>481</v>
      </c>
      <c r="B44" s="4764"/>
      <c r="C44" s="4764"/>
      <c r="D44" s="4764"/>
      <c r="E44" s="4764"/>
      <c r="F44" s="4764"/>
      <c r="G44" s="4764"/>
      <c r="H44" s="4764"/>
      <c r="I44" s="4764"/>
      <c r="J44" s="4764"/>
    </row>
    <row r="45" spans="1:10" ht="2.25" customHeight="1">
      <c r="A45" s="1249"/>
      <c r="B45" s="1249"/>
      <c r="C45" s="1249"/>
      <c r="D45" s="1249"/>
      <c r="E45" s="1249"/>
      <c r="F45" s="1249"/>
      <c r="G45" s="1249"/>
      <c r="H45" s="1249"/>
      <c r="I45" s="1249"/>
      <c r="J45" s="1249"/>
    </row>
    <row r="46" spans="1:10" ht="15">
      <c r="A46" s="522" t="s">
        <v>2607</v>
      </c>
    </row>
    <row r="47" spans="1:10" ht="135" customHeight="1">
      <c r="A47" s="4764" t="s">
        <v>6157</v>
      </c>
      <c r="B47" s="4764"/>
      <c r="C47" s="4764"/>
      <c r="D47" s="4764"/>
      <c r="E47" s="4764"/>
      <c r="F47" s="4764"/>
      <c r="G47" s="4764"/>
      <c r="H47" s="4764"/>
      <c r="I47" s="4764"/>
      <c r="J47" s="4764"/>
    </row>
    <row r="48" spans="1:10" ht="6" customHeight="1">
      <c r="A48" s="1250"/>
      <c r="B48" s="1250"/>
      <c r="C48" s="1250"/>
      <c r="D48" s="1250"/>
      <c r="E48" s="1250"/>
      <c r="F48" s="1250"/>
      <c r="G48" s="1250"/>
      <c r="H48" s="1250"/>
      <c r="I48" s="1250"/>
      <c r="J48" s="1250"/>
    </row>
    <row r="49" spans="1:12" ht="15">
      <c r="A49" s="522" t="s">
        <v>2608</v>
      </c>
    </row>
    <row r="50" spans="1:12" ht="33" customHeight="1">
      <c r="A50" s="4760" t="s">
        <v>3452</v>
      </c>
      <c r="B50" s="4762"/>
      <c r="C50" s="4762"/>
      <c r="D50" s="4762"/>
      <c r="E50" s="4762"/>
      <c r="F50" s="4762"/>
      <c r="G50" s="4762"/>
      <c r="H50" s="4762"/>
      <c r="I50" s="4762"/>
      <c r="J50" s="4760"/>
    </row>
    <row r="51" spans="1:12" ht="3" customHeight="1"/>
    <row r="52" spans="1:12" ht="72.75" customHeight="1">
      <c r="A52" s="4760" t="s">
        <v>3453</v>
      </c>
      <c r="B52" s="4760"/>
      <c r="C52" s="4760"/>
      <c r="D52" s="4760"/>
      <c r="E52" s="4760"/>
      <c r="F52" s="4760"/>
      <c r="G52" s="4760"/>
      <c r="H52" s="4760"/>
      <c r="I52" s="4760"/>
      <c r="J52" s="4760"/>
    </row>
    <row r="53" spans="1:12" ht="3" customHeight="1">
      <c r="A53" s="1249"/>
      <c r="B53" s="1249"/>
      <c r="C53" s="1249"/>
      <c r="D53" s="1249"/>
      <c r="E53" s="1249"/>
      <c r="F53" s="1249"/>
      <c r="G53" s="1249"/>
      <c r="H53" s="1249"/>
      <c r="I53" s="1249"/>
      <c r="J53" s="1249"/>
    </row>
    <row r="54" spans="1:12" ht="56.25" customHeight="1">
      <c r="A54" s="4760" t="s">
        <v>3454</v>
      </c>
      <c r="B54" s="4760"/>
      <c r="C54" s="4760"/>
      <c r="D54" s="4760"/>
      <c r="E54" s="4760"/>
      <c r="F54" s="4760"/>
      <c r="G54" s="4760"/>
      <c r="H54" s="4760"/>
      <c r="I54" s="4760"/>
      <c r="J54" s="4760"/>
    </row>
    <row r="55" spans="1:12" ht="3" customHeight="1">
      <c r="A55" s="1249"/>
      <c r="B55" s="1249"/>
      <c r="C55" s="1249"/>
      <c r="D55" s="1249"/>
      <c r="E55" s="1249"/>
      <c r="F55" s="1249"/>
      <c r="G55" s="1249"/>
      <c r="H55" s="1249"/>
      <c r="I55" s="1249"/>
      <c r="J55" s="1249"/>
    </row>
    <row r="56" spans="1:12" ht="49.5" customHeight="1">
      <c r="A56" s="4760" t="s">
        <v>3455</v>
      </c>
      <c r="B56" s="4760"/>
      <c r="C56" s="4760"/>
      <c r="D56" s="4760"/>
      <c r="E56" s="4760"/>
      <c r="F56" s="4760"/>
      <c r="G56" s="4760"/>
      <c r="H56" s="4760"/>
      <c r="I56" s="4760"/>
      <c r="J56" s="1249"/>
    </row>
    <row r="57" spans="1:12" ht="3" customHeight="1">
      <c r="A57" s="1249"/>
      <c r="B57" s="1249"/>
      <c r="C57" s="1249"/>
      <c r="D57" s="1249"/>
      <c r="E57" s="1249"/>
      <c r="F57" s="1249"/>
      <c r="G57" s="1249"/>
      <c r="H57" s="1249"/>
      <c r="I57" s="1249"/>
      <c r="J57" s="1249"/>
    </row>
    <row r="58" spans="1:12" ht="54.75" customHeight="1">
      <c r="A58" s="4791" t="s">
        <v>2956</v>
      </c>
      <c r="B58" s="4760"/>
      <c r="C58" s="4760"/>
      <c r="D58" s="4760"/>
      <c r="E58" s="4760"/>
      <c r="F58" s="4760"/>
      <c r="G58" s="4760"/>
      <c r="H58" s="4760"/>
      <c r="I58" s="4760"/>
      <c r="J58" s="1249"/>
    </row>
    <row r="59" spans="1:12" ht="3" customHeight="1">
      <c r="A59" s="1249"/>
      <c r="B59" s="1249"/>
      <c r="C59" s="1249"/>
      <c r="D59" s="1249"/>
      <c r="E59" s="1249"/>
      <c r="F59" s="1249"/>
      <c r="G59" s="1249"/>
      <c r="H59" s="1249"/>
      <c r="I59" s="1249"/>
      <c r="J59" s="1249"/>
    </row>
    <row r="60" spans="1:12" ht="62.25" customHeight="1">
      <c r="A60" s="4760" t="s">
        <v>3456</v>
      </c>
      <c r="B60" s="4760"/>
      <c r="C60" s="4760"/>
      <c r="D60" s="4760"/>
      <c r="E60" s="4760"/>
      <c r="F60" s="4760"/>
      <c r="G60" s="4760"/>
      <c r="H60" s="4760"/>
      <c r="I60" s="4760"/>
      <c r="J60" s="4760"/>
    </row>
    <row r="61" spans="1:12" ht="3" customHeight="1"/>
    <row r="62" spans="1:12" ht="73.5" customHeight="1">
      <c r="A62" s="4760" t="s">
        <v>3457</v>
      </c>
      <c r="B62" s="4760"/>
      <c r="C62" s="4760"/>
      <c r="D62" s="4760"/>
      <c r="E62" s="4760"/>
      <c r="F62" s="4760"/>
      <c r="G62" s="4760"/>
      <c r="H62" s="4760"/>
      <c r="I62" s="4760"/>
      <c r="J62" s="4760"/>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78" t="s">
        <v>2610</v>
      </c>
      <c r="B65" s="4778"/>
      <c r="C65" s="4778"/>
      <c r="D65" s="4778"/>
      <c r="E65" s="4778"/>
      <c r="F65" s="4778"/>
      <c r="G65" s="4778"/>
      <c r="H65" s="4778"/>
      <c r="I65" s="4778"/>
      <c r="J65" s="4778"/>
      <c r="L65" s="524">
        <f>'Closing term sheet'!C135</f>
        <v>1038942.75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24137798.3964262 via the syndication of the 2021 Federal LIHTC allocation of 2652770 per annum. will make a capital contribution totaling 15386069.4530191 via the syndication of the 2021 State LIHTC allocation of 2652770 per annum.</v>
      </c>
      <c r="B67" s="4760"/>
      <c r="C67" s="4760"/>
      <c r="D67" s="4760"/>
      <c r="E67" s="4760"/>
      <c r="F67" s="4760"/>
      <c r="G67" s="4760"/>
      <c r="H67" s="4760"/>
      <c r="I67" s="4760"/>
      <c r="J67" s="529"/>
      <c r="L67" s="530">
        <f>'Part II-Sources of Funds'!I51</f>
        <v>24137798.396426182</v>
      </c>
      <c r="M67" s="531">
        <f>'Part III-A-Uses of Funds'!$J$191</f>
        <v>2652770</v>
      </c>
      <c r="N67" s="532">
        <f>'Part III-A-Uses of Funds'!N182</f>
        <v>0.91</v>
      </c>
      <c r="O67" s="530">
        <f>'Part II-Sources of Funds'!I52</f>
        <v>15386069.453019133</v>
      </c>
      <c r="P67" s="531">
        <f>M67</f>
        <v>2652770</v>
      </c>
      <c r="Q67" s="532">
        <f>'Part III-A-Uses of Funds'!Q182</f>
        <v>0.57999999999999996</v>
      </c>
    </row>
    <row r="68" spans="1:17" ht="39.75" customHeight="1">
      <c r="A68" s="4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(0.91 Federal tax credit and 0.58 State tax credit) for a (X%) ownership interest of the Federal Credits and a (X%) ownership interest of the State Credits. </v>
      </c>
      <c r="B68" s="4764"/>
      <c r="C68" s="4764"/>
      <c r="D68" s="4764"/>
      <c r="E68" s="4764"/>
      <c r="F68" s="4764"/>
      <c r="G68" s="4764"/>
      <c r="H68" s="4764"/>
      <c r="I68" s="4764"/>
      <c r="J68" s="529"/>
      <c r="L68" s="1552"/>
      <c r="M68" s="1552"/>
      <c r="N68" s="635"/>
      <c r="O68" s="1552"/>
      <c r="P68" s="1552"/>
      <c r="Q68" s="635"/>
    </row>
    <row r="69" spans="1:17" ht="18.75" customHeight="1">
      <c r="A69" s="533" t="s">
        <v>2611</v>
      </c>
    </row>
    <row r="70" spans="1:17" ht="177" customHeight="1">
      <c r="A70" s="4760" t="s">
        <v>6158</v>
      </c>
      <c r="B70" s="4760"/>
      <c r="C70" s="4760"/>
      <c r="D70" s="4760"/>
      <c r="E70" s="4760"/>
      <c r="F70" s="4760"/>
      <c r="G70" s="4760"/>
      <c r="H70" s="4760"/>
      <c r="I70" s="4760"/>
      <c r="J70" s="4760"/>
      <c r="L70" s="534">
        <f>'Part VI-Pro Forma'!K72</f>
        <v>15268564.765800184</v>
      </c>
      <c r="M70" s="4785" t="s">
        <v>3098</v>
      </c>
      <c r="N70" s="4777"/>
    </row>
    <row r="71" spans="1:17" ht="6" customHeight="1">
      <c r="A71" s="522"/>
    </row>
    <row r="72" spans="1:17" ht="15">
      <c r="A72" s="522" t="s">
        <v>2612</v>
      </c>
    </row>
    <row r="73" spans="1:17" ht="72.599999999999994" customHeight="1">
      <c r="A73" s="4760" t="s">
        <v>2613</v>
      </c>
      <c r="B73" s="4760"/>
      <c r="C73" s="4760"/>
      <c r="D73" s="4760"/>
      <c r="E73" s="4760"/>
      <c r="F73" s="4760"/>
      <c r="G73" s="4760"/>
      <c r="H73" s="4760"/>
      <c r="I73" s="4760"/>
      <c r="J73" s="4760"/>
    </row>
    <row r="74" spans="1:17" ht="36" customHeight="1">
      <c r="A74" s="4760" t="s">
        <v>2614</v>
      </c>
      <c r="B74" s="4760"/>
      <c r="C74" s="4760"/>
      <c r="D74" s="4760"/>
      <c r="E74" s="4760"/>
      <c r="F74" s="4760"/>
      <c r="G74" s="4760"/>
      <c r="H74" s="4760"/>
      <c r="I74" s="4760"/>
      <c r="J74" s="4760"/>
    </row>
    <row r="75" spans="1:17" ht="6" customHeight="1">
      <c r="A75" s="522"/>
    </row>
    <row r="76" spans="1:17" ht="15">
      <c r="A76" s="522" t="s">
        <v>2615</v>
      </c>
    </row>
    <row r="77" spans="1:17" ht="105.75" customHeight="1">
      <c r="A77" s="4760" t="s">
        <v>2616</v>
      </c>
      <c r="B77" s="4760"/>
      <c r="C77" s="4760"/>
      <c r="D77" s="4760"/>
      <c r="E77" s="4760"/>
      <c r="F77" s="4760"/>
      <c r="G77" s="4760"/>
      <c r="H77" s="4760"/>
      <c r="I77" s="4760"/>
      <c r="J77" s="4760"/>
    </row>
    <row r="78" spans="1:17" ht="6" customHeight="1">
      <c r="A78" s="522"/>
    </row>
    <row r="79" spans="1:17" ht="15">
      <c r="A79" s="522" t="s">
        <v>2617</v>
      </c>
    </row>
    <row r="80" spans="1:17" ht="66" customHeight="1">
      <c r="A80" s="4760" t="s">
        <v>2618</v>
      </c>
      <c r="B80" s="4760"/>
      <c r="C80" s="4760"/>
      <c r="D80" s="4760"/>
      <c r="E80" s="4760"/>
      <c r="F80" s="4760"/>
      <c r="G80" s="4760"/>
      <c r="H80" s="4760"/>
      <c r="I80" s="4760"/>
      <c r="J80" s="4760"/>
    </row>
    <row r="81" spans="1:15" s="1251" customFormat="1" ht="6" customHeight="1">
      <c r="A81" s="4760"/>
      <c r="B81" s="4760"/>
      <c r="C81" s="4760"/>
      <c r="D81" s="4760"/>
      <c r="E81" s="4760"/>
      <c r="F81" s="4760"/>
      <c r="G81" s="4760"/>
      <c r="H81" s="4760"/>
      <c r="I81" s="4760"/>
      <c r="J81" s="4760"/>
    </row>
    <row r="82" spans="1:15" ht="16.5" customHeight="1">
      <c r="A82" s="1252" t="s">
        <v>2619</v>
      </c>
      <c r="B82" s="521"/>
      <c r="C82" s="521"/>
      <c r="D82" s="1024"/>
      <c r="E82" s="521"/>
      <c r="F82" s="521"/>
      <c r="G82" s="521"/>
      <c r="H82" s="521"/>
      <c r="I82" s="521"/>
      <c r="J82" s="535"/>
    </row>
    <row r="83" spans="1:15" s="1251" customFormat="1" ht="63" customHeight="1">
      <c r="A83" s="4760" t="s">
        <v>3659</v>
      </c>
      <c r="B83" s="4760"/>
      <c r="C83" s="4760"/>
      <c r="D83" s="4760"/>
      <c r="E83" s="4760"/>
      <c r="F83" s="4760"/>
      <c r="G83" s="4760"/>
      <c r="H83" s="4760"/>
      <c r="I83" s="4760"/>
      <c r="J83" s="4760"/>
    </row>
    <row r="84" spans="1:15" s="1251" customFormat="1" ht="6" customHeight="1">
      <c r="A84" s="1249"/>
      <c r="B84" s="1249"/>
      <c r="C84" s="1249"/>
      <c r="D84" s="1249"/>
      <c r="E84" s="1249"/>
      <c r="F84" s="1249"/>
      <c r="G84" s="1249"/>
      <c r="H84" s="1249"/>
      <c r="I84" s="1249"/>
      <c r="J84" s="1249"/>
    </row>
    <row r="85" spans="1:15" ht="16.5" customHeight="1">
      <c r="A85" s="4782" t="s">
        <v>2620</v>
      </c>
      <c r="B85" s="4783"/>
      <c r="C85" s="4783"/>
      <c r="D85" s="521"/>
      <c r="E85" s="521"/>
      <c r="F85" s="521"/>
      <c r="G85" s="521"/>
      <c r="H85" s="521"/>
      <c r="I85" s="521"/>
      <c r="J85" s="535"/>
    </row>
    <row r="86" spans="1:15" ht="41.25" customHeight="1">
      <c r="A86" s="4760" t="s">
        <v>6159</v>
      </c>
      <c r="B86" s="4784"/>
      <c r="C86" s="4784"/>
      <c r="D86" s="4784"/>
      <c r="E86" s="4784"/>
      <c r="F86" s="4784"/>
      <c r="G86" s="4784"/>
      <c r="H86" s="4784"/>
      <c r="I86" s="4784"/>
      <c r="J86" s="4784"/>
    </row>
    <row r="87" spans="1:15" ht="6" customHeight="1">
      <c r="A87" s="536"/>
      <c r="B87" s="521"/>
      <c r="C87" s="521"/>
      <c r="D87" s="521"/>
      <c r="E87" s="521"/>
      <c r="F87" s="521"/>
      <c r="G87" s="521"/>
      <c r="H87" s="521"/>
      <c r="I87" s="521"/>
      <c r="J87" s="535"/>
    </row>
    <row r="88" spans="1:15" ht="15">
      <c r="A88" s="522" t="s">
        <v>2621</v>
      </c>
    </row>
    <row r="89" spans="1:15" ht="124.15" customHeight="1">
      <c r="A89" s="4760" t="s">
        <v>2622</v>
      </c>
      <c r="B89" s="4760"/>
      <c r="C89" s="4760"/>
      <c r="D89" s="4760"/>
      <c r="E89" s="4760"/>
      <c r="F89" s="4760"/>
      <c r="G89" s="4760"/>
      <c r="H89" s="4760"/>
      <c r="I89" s="4760"/>
      <c r="J89" s="4760"/>
      <c r="L89" s="4777" t="s">
        <v>2623</v>
      </c>
      <c r="M89" s="4777"/>
      <c r="N89" s="477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0" t="s">
        <v>2625</v>
      </c>
      <c r="B92" s="4760"/>
      <c r="C92" s="4760"/>
      <c r="D92" s="4760"/>
      <c r="E92" s="4760"/>
      <c r="F92" s="4760"/>
      <c r="G92" s="4760"/>
      <c r="H92" s="4760"/>
      <c r="I92" s="4760"/>
      <c r="J92" s="4760"/>
      <c r="L92" s="4777" t="s">
        <v>2626</v>
      </c>
      <c r="M92" s="4777"/>
      <c r="N92" s="537" t="e">
        <f>'After-Tax Analysis'!G66</f>
        <v>#VALUE!</v>
      </c>
      <c r="O92" s="538" t="s">
        <v>2627</v>
      </c>
    </row>
    <row r="93" spans="1:15" ht="6" customHeight="1">
      <c r="A93" s="522"/>
    </row>
    <row r="94" spans="1:15" ht="15">
      <c r="A94" s="522" t="s">
        <v>2628</v>
      </c>
    </row>
    <row r="95" spans="1:15" ht="118.5" customHeight="1">
      <c r="A95" s="4760" t="s">
        <v>2629</v>
      </c>
      <c r="B95" s="4760"/>
      <c r="C95" s="4760"/>
      <c r="D95" s="4760"/>
      <c r="E95" s="4760"/>
      <c r="F95" s="4760"/>
      <c r="G95" s="4760"/>
      <c r="H95" s="4760"/>
      <c r="I95" s="4760"/>
      <c r="J95" s="4760"/>
    </row>
    <row r="96" spans="1:15" ht="20.25" customHeight="1">
      <c r="A96" s="4762" t="s">
        <v>2630</v>
      </c>
      <c r="B96" s="4762"/>
      <c r="C96" s="4762"/>
      <c r="D96" s="4760"/>
      <c r="E96" s="1249"/>
      <c r="F96" s="1249"/>
      <c r="G96" s="1249"/>
      <c r="H96" s="1249"/>
      <c r="I96" s="1249"/>
      <c r="J96" s="1249"/>
    </row>
    <row r="97" spans="1:14" ht="109.5" customHeight="1">
      <c r="A97" s="4789" t="s">
        <v>2631</v>
      </c>
      <c r="B97" s="4790"/>
      <c r="C97" s="4790"/>
      <c r="D97" s="4790"/>
      <c r="E97" s="4790"/>
      <c r="F97" s="4790"/>
      <c r="G97" s="4790"/>
      <c r="H97" s="4790"/>
      <c r="I97" s="4790"/>
      <c r="J97" s="4790"/>
    </row>
    <row r="98" spans="1:14" ht="11.25" customHeight="1">
      <c r="A98" s="522"/>
    </row>
    <row r="99" spans="1:14" ht="15">
      <c r="A99" s="522" t="s">
        <v>2632</v>
      </c>
    </row>
    <row r="100" spans="1:14" ht="110.65" customHeight="1">
      <c r="A100" s="4778" t="s">
        <v>2633</v>
      </c>
      <c r="B100" s="4778"/>
      <c r="C100" s="4778"/>
      <c r="D100" s="4778"/>
      <c r="E100" s="4778"/>
      <c r="F100" s="4778"/>
      <c r="G100" s="4778"/>
      <c r="H100" s="4778"/>
      <c r="I100" s="4778"/>
      <c r="J100" s="4778"/>
      <c r="L100" s="975">
        <f>'Part VI-Pro Forma'!K72</f>
        <v>15268564.765800184</v>
      </c>
      <c r="M100" s="4781" t="s">
        <v>2634</v>
      </c>
      <c r="N100" s="478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2" t="s">
        <v>2635</v>
      </c>
      <c r="B104" s="4762"/>
      <c r="C104" s="4762"/>
      <c r="D104" s="1249"/>
      <c r="E104" s="1249"/>
      <c r="F104" s="1249"/>
      <c r="G104" s="1249"/>
      <c r="H104" s="1249"/>
      <c r="I104" s="1249"/>
      <c r="J104" s="535"/>
    </row>
    <row r="105" spans="1:14" ht="37.5" customHeight="1">
      <c r="A105" s="4760" t="s">
        <v>2636</v>
      </c>
      <c r="B105" s="4760"/>
      <c r="C105" s="4760"/>
      <c r="D105" s="4760"/>
      <c r="E105" s="4760"/>
      <c r="F105" s="4760"/>
      <c r="G105" s="4760"/>
      <c r="H105" s="4760"/>
      <c r="I105" s="4760"/>
      <c r="J105" s="4760"/>
    </row>
    <row r="106" spans="1:14" ht="6" customHeight="1">
      <c r="A106" s="522"/>
    </row>
    <row r="107" spans="1:14" ht="15">
      <c r="A107" s="522" t="s">
        <v>2637</v>
      </c>
    </row>
    <row r="108" spans="1:14" ht="43.5" customHeight="1">
      <c r="A108" s="4760" t="s">
        <v>2638</v>
      </c>
      <c r="B108" s="4760"/>
      <c r="C108" s="4760"/>
      <c r="D108" s="4760"/>
      <c r="E108" s="4760"/>
      <c r="F108" s="4760"/>
      <c r="G108" s="4760"/>
      <c r="H108" s="4760"/>
      <c r="I108" s="4760"/>
      <c r="J108" s="4760"/>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87" t="s">
        <v>6064</v>
      </c>
      <c r="B120" s="4787"/>
      <c r="C120" s="4787"/>
      <c r="D120" s="4787"/>
      <c r="E120" s="4788"/>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Westbury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75">
      <c r="A8" s="510" t="s">
        <v>2647</v>
      </c>
      <c r="B8" s="510"/>
      <c r="C8" s="4792" t="str">
        <f>'Part I-Project Identification'!F25</f>
        <v>Westbury</v>
      </c>
      <c r="D8" s="4792"/>
      <c r="E8" s="1020" t="str">
        <f>'Part I-Project Identification'!O7</f>
        <v>2023-5</v>
      </c>
      <c r="F8" s="510" t="s">
        <v>2648</v>
      </c>
      <c r="G8" s="507"/>
      <c r="H8" s="4792" t="str">
        <f>CONCATENATE('Part I-Project Identification'!F26,", ",'Part I-Project Identification'!J26)</f>
        <v>Decatur, DeKalb</v>
      </c>
      <c r="I8" s="4792"/>
      <c r="J8" s="4792"/>
      <c r="K8" s="4792"/>
      <c r="L8" s="507"/>
      <c r="M8" s="545"/>
    </row>
    <row r="9" spans="1:14" ht="15.75">
      <c r="A9" s="510" t="s">
        <v>2650</v>
      </c>
      <c r="B9" s="510"/>
      <c r="C9" s="4792" t="s">
        <v>1646</v>
      </c>
      <c r="D9" s="4792"/>
      <c r="E9" s="507"/>
      <c r="F9" s="510" t="s">
        <v>2651</v>
      </c>
      <c r="G9" s="507"/>
      <c r="H9" s="4792" t="str">
        <f>'Part II-Development Team'!H6</f>
        <v>(Enter name as it will appear on all legal documents)</v>
      </c>
      <c r="I9" s="4792"/>
      <c r="J9" s="4792"/>
      <c r="K9" s="4792"/>
      <c r="L9" s="4792"/>
      <c r="M9" s="545"/>
    </row>
    <row r="10" spans="1:14" ht="15.75">
      <c r="A10" s="510" t="s">
        <v>2653</v>
      </c>
      <c r="B10" s="507"/>
      <c r="C10" s="1020">
        <f>'Part II-Development Team'!H15</f>
        <v>0</v>
      </c>
      <c r="D10" s="507"/>
      <c r="E10" s="507"/>
      <c r="F10" s="510" t="s">
        <v>3132</v>
      </c>
      <c r="G10" s="507"/>
      <c r="H10" s="4792">
        <f>'Part II-Development Team'!H34</f>
        <v>0</v>
      </c>
      <c r="I10" s="4792"/>
      <c r="J10" s="4792"/>
      <c r="K10" s="4792">
        <f>'Part II-Development Team'!H40</f>
        <v>0</v>
      </c>
      <c r="L10" s="4792"/>
    </row>
    <row r="11" spans="1:14" ht="15.75">
      <c r="A11" s="510" t="s">
        <v>2654</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75">
      <c r="A12" s="510" t="s">
        <v>2655</v>
      </c>
      <c r="B12" s="507"/>
      <c r="C12" s="1020">
        <f>'Part II-Development Team'!H87</f>
        <v>0</v>
      </c>
      <c r="D12" s="507"/>
      <c r="E12" s="507"/>
      <c r="F12" s="510" t="s">
        <v>2656</v>
      </c>
      <c r="G12" s="507"/>
      <c r="H12" s="4792">
        <f>'Part II-Development Team'!H93</f>
        <v>0</v>
      </c>
      <c r="I12" s="4792"/>
      <c r="J12" s="4792"/>
      <c r="K12" s="4792"/>
      <c r="L12" s="507"/>
      <c r="M12" s="507"/>
    </row>
    <row r="13" spans="1:14" ht="15.75">
      <c r="A13" s="510" t="s">
        <v>2657</v>
      </c>
      <c r="B13" s="510"/>
      <c r="C13" s="506">
        <f>'Part V-Revenues &amp; Expenses'!$P$67</f>
        <v>210</v>
      </c>
      <c r="E13" s="970">
        <f>'Part V-Revenues &amp; Expenses'!$P$63</f>
        <v>210</v>
      </c>
      <c r="F13" s="510" t="s">
        <v>3451</v>
      </c>
      <c r="G13" s="507"/>
      <c r="H13" s="1021" t="e">
        <f>'Part I-Project Identification'!#REF!</f>
        <v>#REF!</v>
      </c>
      <c r="I13" s="971"/>
      <c r="J13" s="971"/>
      <c r="K13" s="1021">
        <f>'Part V-Revenues &amp; Expenses'!K175</f>
        <v>201480</v>
      </c>
      <c r="L13" s="507"/>
      <c r="M13" s="507"/>
    </row>
    <row r="14" spans="1:14" ht="15.75">
      <c r="A14" s="510" t="s">
        <v>2949</v>
      </c>
      <c r="B14" s="507"/>
      <c r="C14" s="1021" t="e">
        <f>'Part I-Project Identification'!#REF!</f>
        <v>#REF!</v>
      </c>
      <c r="D14" s="4792" t="e">
        <f>IF('Part V-Revenues &amp; Expenses'!#REF!=0,"",'Part V-Revenues &amp; Expenses'!#REF!)</f>
        <v>#REF!</v>
      </c>
      <c r="E14" s="4792"/>
      <c r="F14" s="510" t="s">
        <v>2658</v>
      </c>
      <c r="G14" s="507"/>
      <c r="H14" s="4772" t="s">
        <v>3100</v>
      </c>
      <c r="I14" s="4772"/>
      <c r="J14" s="4772"/>
      <c r="K14" s="4772" t="s">
        <v>3100</v>
      </c>
      <c r="L14" s="4772"/>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60559835.021915421</v>
      </c>
      <c r="D18" s="1003">
        <f>IF(C18=0,"",$C$29/C18)</f>
        <v>0.32387560159141998</v>
      </c>
      <c r="E18" s="507" t="s">
        <v>2953</v>
      </c>
      <c r="F18" s="510" t="s">
        <v>2954</v>
      </c>
      <c r="G18" s="507"/>
      <c r="H18" s="4793">
        <f>'Part III-A-Uses of Funds'!C49</f>
        <v>40450983</v>
      </c>
      <c r="I18" s="4793"/>
      <c r="J18" s="1002">
        <f>IF(H18=0,"",$C$29/H18)</f>
        <v>0.48487951454727318</v>
      </c>
      <c r="K18" s="4792" t="s">
        <v>2955</v>
      </c>
      <c r="L18" s="4792"/>
      <c r="M18" s="507"/>
    </row>
    <row r="19" spans="1:13" ht="15.75">
      <c r="A19" s="510" t="s">
        <v>2660</v>
      </c>
      <c r="B19" s="507"/>
      <c r="C19" s="1022">
        <f>C18/C13</f>
        <v>288380.1667710258</v>
      </c>
      <c r="D19" s="507"/>
      <c r="E19" s="507"/>
      <c r="F19" s="510" t="s">
        <v>2660</v>
      </c>
      <c r="G19" s="507"/>
      <c r="H19" s="4794">
        <f>H18/C13</f>
        <v>192623.72857142857</v>
      </c>
      <c r="I19" s="4794"/>
      <c r="J19" s="507"/>
      <c r="K19" s="507"/>
      <c r="L19" s="507"/>
      <c r="M19" s="507"/>
    </row>
    <row r="20" spans="1:13" ht="15.75">
      <c r="A20" s="510" t="s">
        <v>2661</v>
      </c>
      <c r="B20" s="507"/>
      <c r="C20" s="1020">
        <f>C18/K13</f>
        <v>300.57492069642359</v>
      </c>
      <c r="D20" s="548"/>
      <c r="E20" s="548"/>
      <c r="F20" s="510" t="s">
        <v>2661</v>
      </c>
      <c r="G20" s="507"/>
      <c r="H20" s="4792">
        <f>H18/K13</f>
        <v>200.76922275163787</v>
      </c>
      <c r="I20" s="479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Truist Bank</v>
      </c>
      <c r="C25" s="553">
        <f>'Part II-Sources of Funds'!I40</f>
        <v>19613853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19613853</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39523867.849445313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19613853</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0.32387560159141998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0.48487951454727318</v>
      </c>
      <c r="D40" s="507"/>
      <c r="E40" s="507"/>
      <c r="F40" s="510"/>
      <c r="G40" s="510" t="s">
        <v>2681</v>
      </c>
      <c r="H40" s="507"/>
      <c r="I40" s="507"/>
      <c r="K40" s="555">
        <f>C30/C18</f>
        <v>0.65264160371543944</v>
      </c>
      <c r="L40" s="507"/>
      <c r="M40" s="507"/>
    </row>
    <row r="46" spans="1:13" ht="15.75">
      <c r="A46" s="550" t="s">
        <v>2682</v>
      </c>
      <c r="B46" s="540"/>
      <c r="C46" s="540"/>
      <c r="D46" s="540"/>
      <c r="E46" s="540"/>
      <c r="F46" s="540"/>
      <c r="G46" s="540"/>
      <c r="H46" s="540"/>
      <c r="I46" s="540"/>
      <c r="J46" s="540"/>
      <c r="K46" s="540"/>
      <c r="L46" s="540"/>
      <c r="M46" s="507"/>
    </row>
    <row r="47" spans="1:13" ht="15.75">
      <c r="A47" s="550" t="str">
        <f>C8</f>
        <v>Westbury</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75" t="s">
        <v>2685</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2801340</v>
      </c>
      <c r="D52" s="568"/>
      <c r="E52" s="568">
        <f>$C$52</f>
        <v>2801340</v>
      </c>
      <c r="F52" s="568"/>
      <c r="G52" s="568">
        <f>$C$52</f>
        <v>2801340</v>
      </c>
      <c r="H52" s="568"/>
      <c r="I52" s="568">
        <f>$C$52</f>
        <v>2801340</v>
      </c>
      <c r="J52" s="568"/>
      <c r="K52" s="568">
        <f>$C$52</f>
        <v>2801340</v>
      </c>
      <c r="L52" s="569"/>
      <c r="M52"/>
      <c r="N52"/>
    </row>
    <row r="53" spans="1:14" s="507" customFormat="1" ht="18.75" customHeight="1">
      <c r="B53" s="567" t="s">
        <v>2689</v>
      </c>
      <c r="C53" s="568">
        <f>'Part VI-Pro Forma'!B16</f>
        <v>56026.8</v>
      </c>
      <c r="D53" s="568"/>
      <c r="E53" s="568">
        <f>$C$53</f>
        <v>56026.8</v>
      </c>
      <c r="F53" s="568"/>
      <c r="G53" s="568">
        <f>$C$53</f>
        <v>56026.8</v>
      </c>
      <c r="H53" s="568"/>
      <c r="I53" s="568">
        <f>$C$53</f>
        <v>56026.8</v>
      </c>
      <c r="J53" s="568"/>
      <c r="K53" s="568">
        <f>$C$53</f>
        <v>56026.8</v>
      </c>
      <c r="L53" s="569"/>
      <c r="M53"/>
      <c r="N53"/>
    </row>
    <row r="54" spans="1:14" s="507" customFormat="1" ht="18.75" customHeight="1">
      <c r="B54" s="567" t="s">
        <v>2687</v>
      </c>
      <c r="C54" s="568">
        <f>'Part VI-Pro Forma'!B17</f>
        <v>-200015.67600000001</v>
      </c>
      <c r="D54" s="568"/>
      <c r="E54" s="568">
        <f>-($C$52+E53)*F50</f>
        <v>-285736.68</v>
      </c>
      <c r="F54" s="570"/>
      <c r="G54" s="568">
        <f>-($C$52+G53)*0.07</f>
        <v>-200015.67600000001</v>
      </c>
      <c r="H54" s="568"/>
      <c r="I54" s="568">
        <f>-($C$52+I53)*0.07</f>
        <v>-200015.67600000001</v>
      </c>
      <c r="J54" s="568"/>
      <c r="K54" s="568">
        <f>-($C$52+K53)*L54</f>
        <v>-285736.68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2657351.1239999998</v>
      </c>
      <c r="D56" s="568"/>
      <c r="E56" s="574">
        <f>SUM(E52:E55)</f>
        <v>2571630.1199999996</v>
      </c>
      <c r="F56" s="568"/>
      <c r="G56" s="574">
        <f>SUM(G52:G55)</f>
        <v>2657351.1239999998</v>
      </c>
      <c r="H56" s="568"/>
      <c r="I56" s="574">
        <f>SUM(I52:I55)</f>
        <v>2657351.1239999998</v>
      </c>
      <c r="J56" s="568"/>
      <c r="K56" s="574">
        <f>SUM(K52:K55)</f>
        <v>2571630.1199999996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315650</v>
      </c>
      <c r="D58" s="568"/>
      <c r="E58" s="568">
        <f>$C$58</f>
        <v>315650</v>
      </c>
      <c r="F58" s="568"/>
      <c r="G58" s="568">
        <f>$C$58</f>
        <v>315650</v>
      </c>
      <c r="H58" s="568"/>
      <c r="I58" s="568">
        <f>$C$58</f>
        <v>315650</v>
      </c>
      <c r="J58" s="568"/>
      <c r="K58" s="568">
        <f>$C$58</f>
        <v>315650</v>
      </c>
      <c r="L58" s="569"/>
      <c r="M58"/>
      <c r="N58"/>
    </row>
    <row r="59" spans="1:14" s="507" customFormat="1" ht="18.75" customHeight="1">
      <c r="B59" s="567" t="s">
        <v>2692</v>
      </c>
      <c r="C59" s="568">
        <f>+'Part V-Revenues &amp; Expenses'!F247</f>
        <v>159000</v>
      </c>
      <c r="D59" s="568"/>
      <c r="E59" s="568">
        <f>$C$59</f>
        <v>159000</v>
      </c>
      <c r="F59" s="568"/>
      <c r="G59" s="568">
        <f>$C$59</f>
        <v>159000</v>
      </c>
      <c r="H59" s="568"/>
      <c r="I59" s="568">
        <f>$C$59</f>
        <v>159000</v>
      </c>
      <c r="J59" s="568"/>
      <c r="K59" s="568">
        <f>$C$59*(1+$L$59)</f>
        <v>165360</v>
      </c>
      <c r="L59" s="575">
        <v>0.04</v>
      </c>
      <c r="M59"/>
      <c r="N59"/>
    </row>
    <row r="60" spans="1:14" s="507" customFormat="1" ht="18.75" customHeight="1">
      <c r="B60" s="567" t="s">
        <v>1297</v>
      </c>
      <c r="C60" s="568">
        <f>+'Part V-Revenues &amp; Expenses'!L241</f>
        <v>250000</v>
      </c>
      <c r="D60" s="568"/>
      <c r="E60" s="568">
        <f>$C$60</f>
        <v>250000</v>
      </c>
      <c r="F60" s="568"/>
      <c r="G60" s="568">
        <f>$C$60</f>
        <v>250000</v>
      </c>
      <c r="H60" s="568"/>
      <c r="I60" s="568">
        <f>$C$60*(1+$J$50)</f>
        <v>257500</v>
      </c>
      <c r="J60" s="570"/>
      <c r="K60" s="568">
        <f>$C$60*(1+$J$50)</f>
        <v>257500</v>
      </c>
      <c r="L60" s="571">
        <v>0.03</v>
      </c>
      <c r="M60"/>
      <c r="N60"/>
    </row>
    <row r="61" spans="1:14" s="507" customFormat="1" ht="18.75" customHeight="1">
      <c r="B61" s="567" t="s">
        <v>1298</v>
      </c>
      <c r="C61" s="568">
        <f>+'Part V-Revenues &amp; Expenses'!L247</f>
        <v>110000</v>
      </c>
      <c r="D61" s="568"/>
      <c r="E61" s="568">
        <f>$C$61</f>
        <v>110000</v>
      </c>
      <c r="F61" s="568"/>
      <c r="G61" s="568">
        <f>$C$61*(1+H50)</f>
        <v>115500</v>
      </c>
      <c r="H61" s="570"/>
      <c r="I61" s="568">
        <f>$C$61</f>
        <v>110000</v>
      </c>
      <c r="J61" s="568"/>
      <c r="K61" s="568">
        <f>$C$61*(1+$L$61)</f>
        <v>115500</v>
      </c>
      <c r="L61" s="571">
        <v>0.05</v>
      </c>
      <c r="M61"/>
      <c r="N61"/>
    </row>
    <row r="62" spans="1:14" s="507" customFormat="1" ht="18.75" customHeight="1">
      <c r="B62" s="573" t="s">
        <v>2693</v>
      </c>
      <c r="C62" s="574">
        <f>SUM(C58:C61)</f>
        <v>834650</v>
      </c>
      <c r="D62" s="568"/>
      <c r="E62" s="574">
        <f>SUM(E58:E61)</f>
        <v>834650</v>
      </c>
      <c r="F62" s="568"/>
      <c r="G62" s="574">
        <f>SUM(G58:G61)</f>
        <v>840150</v>
      </c>
      <c r="H62" s="568"/>
      <c r="I62" s="574">
        <f>SUM(I58:I61)</f>
        <v>842150</v>
      </c>
      <c r="J62" s="568"/>
      <c r="K62" s="574">
        <f>SUM(K58:K61)</f>
        <v>854010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1822701.1239999998</v>
      </c>
      <c r="D64" s="577"/>
      <c r="E64" s="577">
        <f>E56-E62</f>
        <v>1736980.1199999996</v>
      </c>
      <c r="F64" s="577"/>
      <c r="G64" s="577">
        <f>G56-G62</f>
        <v>1817201.1239999998</v>
      </c>
      <c r="H64" s="577"/>
      <c r="I64" s="577">
        <f>I56-I62</f>
        <v>1815201.1239999998</v>
      </c>
      <c r="J64" s="577"/>
      <c r="K64" s="577">
        <f>K56-K62</f>
        <v>1717620.1199999996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52500</v>
      </c>
      <c r="D66" s="568"/>
      <c r="E66" s="568">
        <f>$C$66</f>
        <v>52500</v>
      </c>
      <c r="F66" s="568"/>
      <c r="G66" s="568">
        <f>$C$66</f>
        <v>52500</v>
      </c>
      <c r="H66" s="568"/>
      <c r="I66" s="568">
        <f>$C$66</f>
        <v>52500</v>
      </c>
      <c r="J66" s="568"/>
      <c r="K66" s="568">
        <f>$C$66</f>
        <v>52500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132868</v>
      </c>
      <c r="D68" s="568"/>
      <c r="E68" s="568">
        <f>$C$68</f>
        <v>132868</v>
      </c>
      <c r="F68" s="568"/>
      <c r="G68" s="568">
        <f>$C$68</f>
        <v>132868</v>
      </c>
      <c r="H68" s="568"/>
      <c r="I68" s="568">
        <f>$C$68</f>
        <v>132868</v>
      </c>
      <c r="J68" s="568"/>
      <c r="K68" s="568">
        <f>$C$68</f>
        <v>132868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1637333.1239999998</v>
      </c>
      <c r="D70" s="577"/>
      <c r="E70" s="580">
        <f>E64-E66-E68</f>
        <v>1551612.1199999996</v>
      </c>
      <c r="F70" s="577"/>
      <c r="G70" s="580">
        <f>G64-G66-G68</f>
        <v>1631833.1239999998</v>
      </c>
      <c r="H70" s="577"/>
      <c r="I70" s="580">
        <f>I64-I66-I68</f>
        <v>1629833.1239999998</v>
      </c>
      <c r="J70" s="577"/>
      <c r="K70" s="580">
        <f>K64-K66-K68</f>
        <v>1532252.1199999996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1.2177355800774874</v>
      </c>
      <c r="D72" s="581"/>
      <c r="E72" s="1004">
        <f>-E70/E75</f>
        <v>1.1539822027099353</v>
      </c>
      <c r="F72" s="581"/>
      <c r="G72" s="1004">
        <f>-G70/G75</f>
        <v>1.2136450589781131</v>
      </c>
      <c r="H72" s="581"/>
      <c r="I72" s="1004">
        <f>-I70/I75</f>
        <v>1.212157596760159</v>
      </c>
      <c r="J72" s="581"/>
      <c r="K72" s="1004">
        <f>-K70/K75</f>
        <v>1.1395835684401383</v>
      </c>
      <c r="L72" s="4"/>
      <c r="M72" s="10"/>
      <c r="N72" s="10"/>
    </row>
    <row r="73" spans="1:14" s="507" customFormat="1" ht="18.75" customHeight="1">
      <c r="A73"/>
      <c r="B73" s="567" t="s">
        <v>2699</v>
      </c>
      <c r="C73" s="1005">
        <f>C76/C62</f>
        <v>0.35075918906916687</v>
      </c>
      <c r="D73" s="582"/>
      <c r="E73" s="1005">
        <f>E76/E62</f>
        <v>0.2480562549051458</v>
      </c>
      <c r="F73" s="582"/>
      <c r="G73" s="1005">
        <f>G76/G62</f>
        <v>0.34191651152363284</v>
      </c>
      <c r="H73" s="582"/>
      <c r="I73" s="1005">
        <f>I76/I62</f>
        <v>0.33872962911189231</v>
      </c>
      <c r="J73" s="582"/>
      <c r="K73" s="1005">
        <f>K76/K62</f>
        <v>0.21976341396070295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-1344571.9668434197</v>
      </c>
      <c r="D75" s="568"/>
      <c r="E75" s="568">
        <f>$C$75</f>
        <v>-1344571.9668434197</v>
      </c>
      <c r="F75" s="568"/>
      <c r="G75" s="568">
        <f>$C$75</f>
        <v>-1344571.9668434197</v>
      </c>
      <c r="H75" s="568"/>
      <c r="I75" s="568">
        <f>$C$75</f>
        <v>-1344571.9668434197</v>
      </c>
      <c r="J75" s="568"/>
      <c r="K75" s="568">
        <f>$C$75</f>
        <v>-1344571.9668434197</v>
      </c>
      <c r="L75" s="26"/>
      <c r="M75"/>
      <c r="N75"/>
    </row>
    <row r="76" spans="1:14" s="507" customFormat="1" ht="18.75" customHeight="1">
      <c r="A76"/>
      <c r="B76" s="567" t="s">
        <v>1096</v>
      </c>
      <c r="C76" s="568">
        <f>C70+C75</f>
        <v>292761.15715658013</v>
      </c>
      <c r="D76" s="568"/>
      <c r="E76" s="568">
        <f>E70+E75</f>
        <v>207040.15315657994</v>
      </c>
      <c r="F76" s="568"/>
      <c r="G76" s="568">
        <f>G70+G75</f>
        <v>287261.15715658013</v>
      </c>
      <c r="H76" s="568"/>
      <c r="I76" s="568">
        <f>I70+I75</f>
        <v>285261.15715658013</v>
      </c>
      <c r="J76" s="568"/>
      <c r="K76" s="568">
        <f>K70+K75</f>
        <v>187680.15315657994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60559835.021915421</v>
      </c>
    </row>
    <row r="5" spans="1:7">
      <c r="A5" s="953" t="s">
        <v>3447</v>
      </c>
      <c r="B5" s="954">
        <f>+B18+B26+B38</f>
        <v>12995883.34835415</v>
      </c>
    </row>
    <row r="6" spans="1:7">
      <c r="A6" s="953" t="s">
        <v>3417</v>
      </c>
      <c r="B6" s="955">
        <f>+B5-B4</f>
        <v>-47563951.673561275</v>
      </c>
    </row>
    <row r="7" spans="1:7">
      <c r="A7" s="953" t="s">
        <v>3418</v>
      </c>
      <c r="B7" s="956">
        <f>+B6/B4</f>
        <v>-0.78540424782116414</v>
      </c>
    </row>
    <row r="8" spans="1:7" ht="9" customHeight="1"/>
    <row r="9" spans="1:7">
      <c r="A9" s="953" t="s">
        <v>3419</v>
      </c>
      <c r="B9" s="954">
        <f>+B18+B26+B33</f>
        <v>12995883.34835415</v>
      </c>
    </row>
    <row r="10" spans="1:7">
      <c r="A10" s="953" t="s">
        <v>3417</v>
      </c>
      <c r="B10" s="955">
        <f>+B9-B4</f>
        <v>-47563951.673561275</v>
      </c>
    </row>
    <row r="11" spans="1:7">
      <c r="A11" s="953" t="s">
        <v>3418</v>
      </c>
      <c r="B11" s="956">
        <f>+B10/B4</f>
        <v>-0.78540424782116414</v>
      </c>
    </row>
    <row r="12" spans="1:7" ht="24" customHeight="1"/>
    <row r="13" spans="1:7">
      <c r="A13" s="952" t="s">
        <v>3420</v>
      </c>
      <c r="D13" s="1010" t="s">
        <v>3664</v>
      </c>
      <c r="E13" s="1011"/>
    </row>
    <row r="14" spans="1:7">
      <c r="A14" s="953" t="s">
        <v>3421</v>
      </c>
      <c r="B14" s="957">
        <f>+SUM('Part II-Sources of Funds'!L51:M52)</f>
        <v>39526273</v>
      </c>
      <c r="D14" s="1011"/>
      <c r="E14" s="1011"/>
    </row>
    <row r="15" spans="1:7">
      <c r="A15" s="953" t="s">
        <v>3422</v>
      </c>
      <c r="B15" s="958">
        <f>+'Part III-A-Uses of Funds'!J180</f>
        <v>4094598.2021915428</v>
      </c>
      <c r="D15" s="1011" t="s">
        <v>1894</v>
      </c>
      <c r="G15" s="1012">
        <f>'Part III-A-Uses of Funds'!J168</f>
        <v>66319267.066863596</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31541443.417000327</v>
      </c>
    </row>
    <row r="20" spans="1:7">
      <c r="A20" s="953" t="s">
        <v>3425</v>
      </c>
      <c r="B20" s="957">
        <f>+B18-B14</f>
        <v>-39526273</v>
      </c>
      <c r="D20" s="1011" t="s">
        <v>3669</v>
      </c>
      <c r="G20" s="1014">
        <f>+B14-G19</f>
        <v>7984829.5829996727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19613853</v>
      </c>
    </row>
    <row r="25" spans="1:7">
      <c r="A25" s="953" t="s">
        <v>3429</v>
      </c>
      <c r="B25" s="961">
        <f>IF('Part II-Sources of Funds'!E6="Yes","N/A",MAX(B46:P46))</f>
        <v>-19872.30315658031</v>
      </c>
    </row>
    <row r="26" spans="1:7">
      <c r="A26" s="953" t="s">
        <v>3430</v>
      </c>
      <c r="B26" s="951">
        <f>IFERROR(PV('Part II-Sources of Funds'!K40,'Part II-Sources of Funds'!L40,B25+B45),B24)</f>
        <v>12995883.34835415</v>
      </c>
    </row>
    <row r="27" spans="1:7" ht="9" customHeight="1">
      <c r="B27" s="951"/>
    </row>
    <row r="28" spans="1:7">
      <c r="A28" s="953" t="s">
        <v>3431</v>
      </c>
      <c r="B28" s="962">
        <f>+B26-B24</f>
        <v>-6617969.6516458504</v>
      </c>
      <c r="C28" s="963"/>
    </row>
    <row r="29" spans="1:7">
      <c r="A29" s="953" t="s">
        <v>3426</v>
      </c>
      <c r="B29" s="964">
        <f>+B28/B24</f>
        <v>-0.3374130341267394</v>
      </c>
    </row>
    <row r="30" spans="1:7" ht="24" customHeight="1"/>
    <row r="31" spans="1:7">
      <c r="A31" s="952" t="s">
        <v>3361</v>
      </c>
    </row>
    <row r="32" spans="1:7">
      <c r="A32" s="953" t="s">
        <v>3432</v>
      </c>
      <c r="B32" s="965">
        <f>+'Part II-Sources of Funds'!I45</f>
        <v>1422114.5</v>
      </c>
    </row>
    <row r="33" spans="1:11">
      <c r="A33" s="953" t="s">
        <v>3433</v>
      </c>
      <c r="B33" s="951"/>
    </row>
    <row r="34" spans="1:11" ht="9" customHeight="1">
      <c r="B34" s="951"/>
    </row>
    <row r="35" spans="1:11">
      <c r="A35" s="953" t="s">
        <v>3434</v>
      </c>
      <c r="B35" s="965">
        <f>+B33-B32</f>
        <v>-1422114.5</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1637333.1239999998</v>
      </c>
      <c r="C44" s="954">
        <f>+'Part VI-Pro Forma'!C25</f>
        <v>1659879.6464800006</v>
      </c>
      <c r="D44" s="954">
        <f>+'Part VI-Pro Forma'!D25</f>
        <v>1682570.6744096</v>
      </c>
      <c r="E44" s="954">
        <f>+'Part VI-Pro Forma'!E25</f>
        <v>1705401.5135477921</v>
      </c>
      <c r="F44" s="954">
        <f>+'Part VI-Pro Forma'!F25</f>
        <v>1728363.1762382477</v>
      </c>
      <c r="G44" s="954">
        <f>+'Part VI-Pro Forma'!G25</f>
        <v>1751450.3683550977</v>
      </c>
      <c r="H44" s="954">
        <f>+'Part VI-Pro Forma'!H25</f>
        <v>1774654.4757720469</v>
      </c>
      <c r="I44" s="954">
        <f>+'Part VI-Pro Forma'!I25</f>
        <v>1797967.5503388308</v>
      </c>
      <c r="J44" s="954">
        <f>+'Part VI-Pro Forma'!J25</f>
        <v>1821382.2953484913</v>
      </c>
      <c r="K44" s="954">
        <f>+'Part VI-Pro Forma'!K25</f>
        <v>1844888.0504784305</v>
      </c>
    </row>
    <row r="45" spans="1:11">
      <c r="A45" s="953" t="s">
        <v>3438</v>
      </c>
      <c r="B45" s="954">
        <f>SUM('Part VI-Pro Forma'!B26:B29)</f>
        <v>-1344571.9668434197</v>
      </c>
      <c r="C45" s="954">
        <f>SUM('Part VI-Pro Forma'!C26:C29)</f>
        <v>-1344571.9668434197</v>
      </c>
      <c r="D45" s="954">
        <f>SUM('Part VI-Pro Forma'!D26:D29)</f>
        <v>-1344571.9668434197</v>
      </c>
      <c r="E45" s="954">
        <f>SUM('Part VI-Pro Forma'!E26:E29)</f>
        <v>-1344571.9668434197</v>
      </c>
      <c r="F45" s="954">
        <f>SUM('Part VI-Pro Forma'!F26:F29)</f>
        <v>-1344571.9668434197</v>
      </c>
      <c r="G45" s="954">
        <f>SUM('Part VI-Pro Forma'!G26:G29)</f>
        <v>-1344571.9668434197</v>
      </c>
      <c r="H45" s="954">
        <f>SUM('Part VI-Pro Forma'!H26:H29)</f>
        <v>-1344571.9668434197</v>
      </c>
      <c r="I45" s="954">
        <f>SUM('Part VI-Pro Forma'!I26:I29)</f>
        <v>-1344571.9668434197</v>
      </c>
      <c r="J45" s="954">
        <f>SUM('Part VI-Pro Forma'!J26:J29)</f>
        <v>-1344571.9668434197</v>
      </c>
      <c r="K45" s="954">
        <f>SUM('Part VI-Pro Forma'!K26:K29)</f>
        <v>-1344571.9668434197</v>
      </c>
    </row>
    <row r="46" spans="1:11">
      <c r="A46" s="953" t="s">
        <v>3439</v>
      </c>
      <c r="B46" s="955">
        <f t="shared" ref="B46:K46" si="0">-B44/B48-B45</f>
        <v>-19872.30315658031</v>
      </c>
      <c r="C46" s="955">
        <f t="shared" si="0"/>
        <v>-38661.071889914107</v>
      </c>
      <c r="D46" s="955">
        <f t="shared" si="0"/>
        <v>-57570.261831247015</v>
      </c>
      <c r="E46" s="955">
        <f t="shared" si="0"/>
        <v>-76595.961113073863</v>
      </c>
      <c r="F46" s="955">
        <f t="shared" si="0"/>
        <v>-95730.680021786829</v>
      </c>
      <c r="G46" s="955">
        <f t="shared" si="0"/>
        <v>-114970.00678582839</v>
      </c>
      <c r="H46" s="955">
        <f t="shared" si="0"/>
        <v>-134306.76296661957</v>
      </c>
      <c r="I46" s="955">
        <f t="shared" si="0"/>
        <v>-153734.32510560611</v>
      </c>
      <c r="J46" s="955">
        <f t="shared" si="0"/>
        <v>-173246.61261365633</v>
      </c>
      <c r="K46" s="955">
        <f t="shared" si="0"/>
        <v>-192834.74188860576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1637333.1239999998</v>
      </c>
      <c r="C51" s="955">
        <f t="shared" ref="C51:K51" si="2">+C44</f>
        <v>1659879.6464800006</v>
      </c>
      <c r="D51" s="955">
        <f t="shared" si="2"/>
        <v>1682570.6744096</v>
      </c>
      <c r="E51" s="955">
        <f t="shared" si="2"/>
        <v>1705401.5135477921</v>
      </c>
      <c r="F51" s="955">
        <f t="shared" si="2"/>
        <v>1728363.1762382477</v>
      </c>
      <c r="G51" s="955">
        <f t="shared" si="2"/>
        <v>1751450.3683550977</v>
      </c>
      <c r="H51" s="955">
        <f t="shared" si="2"/>
        <v>1774654.4757720469</v>
      </c>
      <c r="I51" s="955">
        <f t="shared" si="2"/>
        <v>1797967.5503388308</v>
      </c>
      <c r="J51" s="955">
        <f t="shared" si="2"/>
        <v>1821382.2953484913</v>
      </c>
      <c r="K51" s="955">
        <f t="shared" si="2"/>
        <v>1844888.0504784305</v>
      </c>
    </row>
    <row r="52" spans="1:17">
      <c r="A52" s="953" t="s">
        <v>3441</v>
      </c>
      <c r="B52" s="955">
        <f>IF($B$25="N/A",B45,B45+$B$25)</f>
        <v>-1364444.27</v>
      </c>
      <c r="C52" s="955">
        <f t="shared" ref="C52:K52" si="3">IF($B$25="N/A",C45,C45+$B$25)</f>
        <v>-1364444.27</v>
      </c>
      <c r="D52" s="955">
        <f t="shared" si="3"/>
        <v>-1364444.27</v>
      </c>
      <c r="E52" s="955">
        <f t="shared" si="3"/>
        <v>-1364444.27</v>
      </c>
      <c r="F52" s="955">
        <f t="shared" si="3"/>
        <v>-1364444.27</v>
      </c>
      <c r="G52" s="955">
        <f t="shared" si="3"/>
        <v>-1364444.27</v>
      </c>
      <c r="H52" s="955">
        <f t="shared" si="3"/>
        <v>-1364444.27</v>
      </c>
      <c r="I52" s="955">
        <f t="shared" si="3"/>
        <v>-1364444.27</v>
      </c>
      <c r="J52" s="955">
        <f t="shared" si="3"/>
        <v>-1364444.27</v>
      </c>
      <c r="K52" s="955">
        <f t="shared" si="3"/>
        <v>-1364444.27</v>
      </c>
    </row>
    <row r="53" spans="1:17">
      <c r="A53" s="953" t="s">
        <v>3442</v>
      </c>
      <c r="B53" s="954">
        <f>+'Part VI-Pro Forma'!B31</f>
        <v>-5000</v>
      </c>
      <c r="C53" s="954">
        <f>+'Part VI-Pro Forma'!C31</f>
        <v>-5150</v>
      </c>
      <c r="D53" s="954">
        <f>+'Part VI-Pro Forma'!D31</f>
        <v>-5304.5</v>
      </c>
      <c r="E53" s="954">
        <f>+'Part VI-Pro Forma'!E31</f>
        <v>-5463.6350000000002</v>
      </c>
      <c r="F53" s="954">
        <f>+'Part VI-Pro Forma'!F31</f>
        <v>-5627.5440500000004</v>
      </c>
      <c r="G53" s="954">
        <f>+'Part VI-Pro Forma'!G31</f>
        <v>-5796.3703715000001</v>
      </c>
      <c r="H53" s="954">
        <f>+'Part VI-Pro Forma'!H31</f>
        <v>-5970.2614826449999</v>
      </c>
      <c r="I53" s="954">
        <f>+'Part VI-Pro Forma'!I31</f>
        <v>-6149.3693271243501</v>
      </c>
      <c r="J53" s="954">
        <f>+'Part VI-Pro Forma'!J31</f>
        <v>-6333.8504069380806</v>
      </c>
      <c r="K53" s="954">
        <f>+'Part VI-Pro Forma'!K31</f>
        <v>-6523.865919146223</v>
      </c>
    </row>
    <row r="54" spans="1:17">
      <c r="A54" s="953" t="s">
        <v>3443</v>
      </c>
      <c r="B54" s="955">
        <f>+SUM(B51:B53)</f>
        <v>267888.85399999982</v>
      </c>
      <c r="C54" s="955">
        <f t="shared" ref="C54:K54" si="4">+SUM(C51:C53)</f>
        <v>290285.37648000056</v>
      </c>
      <c r="D54" s="955">
        <f t="shared" si="4"/>
        <v>312821.90440959996</v>
      </c>
      <c r="E54" s="955">
        <f t="shared" si="4"/>
        <v>335493.60854779207</v>
      </c>
      <c r="F54" s="955">
        <f t="shared" si="4"/>
        <v>358291.36218824761</v>
      </c>
      <c r="G54" s="955">
        <f t="shared" si="4"/>
        <v>381209.72798359772</v>
      </c>
      <c r="H54" s="955">
        <f t="shared" si="4"/>
        <v>404239.94428940193</v>
      </c>
      <c r="I54" s="955">
        <f t="shared" si="4"/>
        <v>427373.91101170646</v>
      </c>
      <c r="J54" s="955">
        <f t="shared" si="4"/>
        <v>450604.17494155321</v>
      </c>
      <c r="K54" s="955">
        <f t="shared" si="4"/>
        <v>473919.91455928423</v>
      </c>
    </row>
    <row r="55" spans="1:17">
      <c r="A55" s="953" t="s">
        <v>3361</v>
      </c>
      <c r="B55" s="955">
        <f>-B54</f>
        <v>-267888.85399999982</v>
      </c>
      <c r="C55" s="955">
        <f t="shared" ref="C55:K55" si="5">-C54</f>
        <v>-290285.37648000056</v>
      </c>
      <c r="D55" s="955">
        <f t="shared" si="5"/>
        <v>-312821.90440959996</v>
      </c>
      <c r="E55" s="955">
        <f t="shared" si="5"/>
        <v>-335493.60854779207</v>
      </c>
      <c r="F55" s="955">
        <f t="shared" si="5"/>
        <v>-358291.36218824761</v>
      </c>
      <c r="G55" s="955">
        <f t="shared" si="5"/>
        <v>-381209.72798359772</v>
      </c>
      <c r="H55" s="955">
        <f t="shared" si="5"/>
        <v>-404239.94428940193</v>
      </c>
      <c r="I55" s="955">
        <f t="shared" si="5"/>
        <v>-427373.91101170646</v>
      </c>
      <c r="J55" s="955">
        <f t="shared" si="5"/>
        <v>-450604.17494155321</v>
      </c>
      <c r="K55" s="955">
        <f t="shared" si="5"/>
        <v>-473919.91455928423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12434143.501603531</v>
      </c>
      <c r="C58" s="954">
        <f>IF($B$26="","",-FV('Part II-Sources of Funds'!$K$40/12,12,C52/12,B58))</f>
        <v>11835974.073670363</v>
      </c>
      <c r="D58" s="954">
        <f>IF($B$26="","",-FV('Part II-Sources of Funds'!$K$40/12,12,D52/12,C58))</f>
        <v>11199012.557438921</v>
      </c>
      <c r="E58" s="954">
        <f>IF($B$26="","",-FV('Part II-Sources of Funds'!$K$40/12,12,E52/12,D58))</f>
        <v>10520743.234043829</v>
      </c>
      <c r="F58" s="954">
        <f>IF($B$26="","",-FV('Part II-Sources of Funds'!$K$40/12,12,F52/12,E58))</f>
        <v>9798487.236882966</v>
      </c>
      <c r="G58" s="954">
        <f>IF($B$26="","",-FV('Part II-Sources of Funds'!$K$40/12,12,G52/12,F58))</f>
        <v>9029391.9712682944</v>
      </c>
      <c r="H58" s="954">
        <f>IF($B$26="","",-FV('Part II-Sources of Funds'!$K$40/12,12,H52/12,G58))</f>
        <v>8210419.8479268793</v>
      </c>
      <c r="I58" s="954">
        <f>IF($B$26="","",-FV('Part II-Sources of Funds'!$K$40/12,12,I52/12,H58))</f>
        <v>7338336.2858543694</v>
      </c>
      <c r="J58" s="954">
        <f>IF($B$26="","",-FV('Part II-Sources of Funds'!$K$40/12,12,J52/12,I58))</f>
        <v>6409696.9371374585</v>
      </c>
      <c r="K58" s="954">
        <f>IF($B$26="","",-FV('Part II-Sources of Funds'!$K$40/12,12,K52/12,J58))</f>
        <v>5420834.0832889806</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1868477.7761876585</v>
      </c>
      <c r="C64" s="954">
        <f>+'Part VI-Pro Forma'!C57</f>
        <v>1892139.0375520596</v>
      </c>
      <c r="D64" s="954">
        <f>+'Part VI-Pro Forma'!D57</f>
        <v>1915861.9875189692</v>
      </c>
      <c r="E64" s="954">
        <f>+'Part VI-Pro Forma'!E57</f>
        <v>1939636.349561692</v>
      </c>
      <c r="F64" s="954">
        <f>+'Part VI-Pro Forma'!F57</f>
        <v>1963449.3997140413</v>
      </c>
      <c r="G64" s="954">
        <f>+'Part VI-Pro Forma'!G57</f>
        <v>1987289.947964269</v>
      </c>
      <c r="H64" s="954">
        <f>+'Part VI-Pro Forma'!H57</f>
        <v>2011144.3189871814</v>
      </c>
      <c r="I64" s="954">
        <f>+'Part VI-Pro Forma'!I57</f>
        <v>2034998.3321924605</v>
      </c>
      <c r="J64" s="954">
        <f>+'Part VI-Pro Forma'!J57</f>
        <v>2058839.2810666105</v>
      </c>
      <c r="K64" s="954">
        <f>+'Part VI-Pro Forma'!K57</f>
        <v>2082650.9117851523</v>
      </c>
    </row>
    <row r="65" spans="1:11">
      <c r="A65" s="953" t="s">
        <v>3438</v>
      </c>
      <c r="B65" s="954">
        <f>SUM('Part VI-Pro Forma'!B58:B61)</f>
        <v>-1344571.9668434197</v>
      </c>
      <c r="C65" s="954">
        <f>SUM('Part VI-Pro Forma'!C58:C61)</f>
        <v>-1344571.9668434197</v>
      </c>
      <c r="D65" s="954">
        <f>SUM('Part VI-Pro Forma'!D58:D61)</f>
        <v>-1344571.9668434197</v>
      </c>
      <c r="E65" s="954">
        <f>SUM('Part VI-Pro Forma'!E58:E61)</f>
        <v>-1344571.9668434197</v>
      </c>
      <c r="F65" s="954">
        <f>SUM('Part VI-Pro Forma'!F58:F61)</f>
        <v>-1344571.9668434197</v>
      </c>
      <c r="G65" s="954">
        <f>SUM('Part VI-Pro Forma'!G58:G61)</f>
        <v>-1344571.9668434197</v>
      </c>
      <c r="H65" s="954">
        <f>SUM('Part VI-Pro Forma'!H58:H61)</f>
        <v>-1344571.9668434197</v>
      </c>
      <c r="I65" s="954">
        <f>SUM('Part VI-Pro Forma'!I58:I61)</f>
        <v>-1344571.9668434197</v>
      </c>
      <c r="J65" s="954">
        <f>SUM('Part VI-Pro Forma'!J58:J61)</f>
        <v>-1344571.9668434197</v>
      </c>
      <c r="K65" s="954">
        <f>SUM('Part VI-Pro Forma'!K58:K61)</f>
        <v>-1344571.9668434197</v>
      </c>
    </row>
    <row r="66" spans="1:11">
      <c r="A66" s="953" t="s">
        <v>3439</v>
      </c>
      <c r="B66" s="955">
        <f t="shared" ref="B66:K66" si="7">-B64/B68-B65</f>
        <v>-212492.84664629586</v>
      </c>
      <c r="C66" s="955">
        <f t="shared" si="7"/>
        <v>-232210.56444996339</v>
      </c>
      <c r="D66" s="955">
        <f t="shared" si="7"/>
        <v>-251979.6894223881</v>
      </c>
      <c r="E66" s="955">
        <f t="shared" si="7"/>
        <v>-271791.65779132373</v>
      </c>
      <c r="F66" s="955">
        <f t="shared" si="7"/>
        <v>-291635.86625161464</v>
      </c>
      <c r="G66" s="955">
        <f t="shared" si="7"/>
        <v>-311502.98979347106</v>
      </c>
      <c r="H66" s="955">
        <f t="shared" si="7"/>
        <v>-331381.63231256488</v>
      </c>
      <c r="I66" s="955">
        <f t="shared" si="7"/>
        <v>-351259.97665029741</v>
      </c>
      <c r="J66" s="955">
        <f t="shared" si="7"/>
        <v>-371127.43404542236</v>
      </c>
      <c r="K66" s="955">
        <f t="shared" si="7"/>
        <v>-390970.45964420727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1868477.7761876585</v>
      </c>
      <c r="C71" s="955">
        <f t="shared" si="9"/>
        <v>1892139.0375520596</v>
      </c>
      <c r="D71" s="955">
        <f t="shared" si="9"/>
        <v>1915861.9875189692</v>
      </c>
      <c r="E71" s="955">
        <f t="shared" si="9"/>
        <v>1939636.349561692</v>
      </c>
      <c r="F71" s="955">
        <f t="shared" si="9"/>
        <v>1963449.3997140413</v>
      </c>
      <c r="G71" s="955">
        <f t="shared" si="9"/>
        <v>1987289.947964269</v>
      </c>
      <c r="H71" s="955">
        <f>+H64</f>
        <v>2011144.3189871814</v>
      </c>
      <c r="I71" s="955">
        <f>+I64</f>
        <v>2034998.3321924605</v>
      </c>
      <c r="J71" s="955">
        <f>+J64</f>
        <v>2058839.2810666105</v>
      </c>
      <c r="K71" s="955">
        <f>+K64</f>
        <v>2082650.9117851523</v>
      </c>
    </row>
    <row r="72" spans="1:11">
      <c r="A72" s="953" t="s">
        <v>3441</v>
      </c>
      <c r="B72" s="955">
        <f t="shared" ref="B72:G72" si="10">IF($B$25="N/A",B65,B65+$B$25)</f>
        <v>-1364444.27</v>
      </c>
      <c r="C72" s="955">
        <f t="shared" si="10"/>
        <v>-1364444.27</v>
      </c>
      <c r="D72" s="955">
        <f t="shared" si="10"/>
        <v>-1364444.27</v>
      </c>
      <c r="E72" s="955">
        <f t="shared" si="10"/>
        <v>-1364444.27</v>
      </c>
      <c r="F72" s="955">
        <f t="shared" si="10"/>
        <v>-1364444.27</v>
      </c>
      <c r="G72" s="955">
        <f t="shared" si="10"/>
        <v>-1364444.27</v>
      </c>
      <c r="H72" s="955">
        <f>IF($B$25="N/A",H65,H65+$B$25)</f>
        <v>-1364444.27</v>
      </c>
      <c r="I72" s="955">
        <f>IF($B$25="N/A",I65,I65+$B$25)</f>
        <v>-1364444.27</v>
      </c>
      <c r="J72" s="955">
        <f>IF($B$25="N/A",J65,J65+$B$25)</f>
        <v>-1364444.27</v>
      </c>
      <c r="K72" s="955">
        <f>IF($B$25="N/A",K65,K65+$B$25)</f>
        <v>-1364444.27</v>
      </c>
    </row>
    <row r="73" spans="1:11">
      <c r="A73" s="953" t="s">
        <v>3442</v>
      </c>
      <c r="B73" s="954">
        <f>+'Part VI-Pro Forma'!B63</f>
        <v>-6719.5818967206096</v>
      </c>
      <c r="C73" s="954">
        <f>+'Part VI-Pro Forma'!C63</f>
        <v>-6921.1693536222283</v>
      </c>
      <c r="D73" s="954">
        <f>+'Part VI-Pro Forma'!D63</f>
        <v>-7128.8044342308949</v>
      </c>
      <c r="E73" s="954">
        <f>+'Part VI-Pro Forma'!E63</f>
        <v>-7342.6685672578224</v>
      </c>
      <c r="F73" s="954">
        <f>+'Part VI-Pro Forma'!F63</f>
        <v>-7562.9486242755574</v>
      </c>
      <c r="G73" s="954">
        <f>+'Part VI-Pro Forma'!G63</f>
        <v>0</v>
      </c>
      <c r="H73" s="954">
        <f>+'Part VI-Pro Forma'!H63</f>
        <v>0</v>
      </c>
      <c r="I73" s="954">
        <f>+'Part VI-Pro Forma'!I63</f>
        <v>0</v>
      </c>
      <c r="J73" s="954">
        <f>+'Part VI-Pro Forma'!J63</f>
        <v>0</v>
      </c>
      <c r="K73" s="954">
        <f>+'Part VI-Pro Forma'!K63</f>
        <v>0</v>
      </c>
    </row>
    <row r="74" spans="1:11">
      <c r="A74" s="953" t="s">
        <v>3443</v>
      </c>
      <c r="B74" s="955">
        <f t="shared" ref="B74:G74" si="11">+SUM(B71:B73)</f>
        <v>497313.9242909379</v>
      </c>
      <c r="C74" s="955">
        <f t="shared" si="11"/>
        <v>520773.59819843736</v>
      </c>
      <c r="D74" s="955">
        <f t="shared" si="11"/>
        <v>544288.91308473831</v>
      </c>
      <c r="E74" s="955">
        <f t="shared" si="11"/>
        <v>567849.41099443415</v>
      </c>
      <c r="F74" s="955">
        <f t="shared" si="11"/>
        <v>591442.18108976574</v>
      </c>
      <c r="G74" s="955">
        <f t="shared" si="11"/>
        <v>622845.67796426895</v>
      </c>
      <c r="H74" s="955">
        <f>+SUM(H71:H73)</f>
        <v>646700.04898718139</v>
      </c>
      <c r="I74" s="955">
        <f>+SUM(I71:I73)</f>
        <v>670554.06219246052</v>
      </c>
      <c r="J74" s="955">
        <f>+SUM(J71:J73)</f>
        <v>694395.01106661046</v>
      </c>
      <c r="K74" s="955">
        <f>+SUM(K71:K73)</f>
        <v>718206.64178515226</v>
      </c>
    </row>
    <row r="75" spans="1:11">
      <c r="A75" s="953" t="s">
        <v>3361</v>
      </c>
      <c r="B75" s="955">
        <f t="shared" ref="B75:G75" si="12">-B74</f>
        <v>-497313.9242909379</v>
      </c>
      <c r="C75" s="955">
        <f t="shared" si="12"/>
        <v>-520773.59819843736</v>
      </c>
      <c r="D75" s="955">
        <f t="shared" si="12"/>
        <v>-544288.91308473831</v>
      </c>
      <c r="E75" s="955">
        <f t="shared" si="12"/>
        <v>-567849.41099443415</v>
      </c>
      <c r="F75" s="955">
        <f t="shared" si="12"/>
        <v>-591442.18108976574</v>
      </c>
      <c r="G75" s="955">
        <f t="shared" si="12"/>
        <v>-622845.67796426895</v>
      </c>
      <c r="H75" s="955">
        <f>-H74</f>
        <v>-646700.04898718139</v>
      </c>
      <c r="I75" s="955">
        <f>-I74</f>
        <v>-670554.06219246052</v>
      </c>
      <c r="J75" s="955">
        <f>-J74</f>
        <v>-694395.01106661046</v>
      </c>
      <c r="K75" s="955">
        <f>-K74</f>
        <v>-718206.64178515226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4367842.149367121</v>
      </c>
      <c r="C78" s="954">
        <f>IF($B$26="","",-FV('Part II-Sources of Funds'!$K$40/12,12,C72/12,B78))</f>
        <v>3246562.2786658639</v>
      </c>
      <c r="D78" s="954">
        <f>IF($B$26="","",-FV('Part II-Sources of Funds'!$K$40/12,12,D72/12,C78))</f>
        <v>2052565.9070534606</v>
      </c>
      <c r="E78" s="954">
        <f>IF($B$26="","",-FV('Part II-Sources of Funds'!$K$40/12,12,E72/12,D78))</f>
        <v>781137.27208475606</v>
      </c>
      <c r="F78" s="954">
        <f>IF($B$26="","",-FV('Part II-Sources of Funds'!$K$40/12,12,F72/12,E78))</f>
        <v>-572745.21219396777</v>
      </c>
      <c r="G78" s="954">
        <f>IF($B$26="","",-FV('Part II-Sources of Funds'!$K$40/12,12,G72/12,F78))</f>
        <v>-2014428.7883089948</v>
      </c>
      <c r="H78" s="954">
        <f>IF($B$26="","",-FV('Part II-Sources of Funds'!$K$40/12,12,H72/12,G78))</f>
        <v>-3549607.4746239306</v>
      </c>
      <c r="I78" s="954">
        <f>IF($B$26="","",-FV('Part II-Sources of Funds'!$K$40/12,12,I72/12,H78))</f>
        <v>-5184344.5542170554</v>
      </c>
      <c r="J78" s="954">
        <f>IF($B$26="","",-FV('Part II-Sources of Funds'!$K$40/12,12,J72/12,I78))</f>
        <v>-6925096.5221924847</v>
      </c>
      <c r="K78" s="954">
        <f>IF($B$26="","",-FV('Part II-Sources of Funds'!$K$40/12,12,K72/12,J78))</f>
        <v>-8778738.5860065203</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Westbury</v>
      </c>
    </row>
    <row r="2" spans="1:15" ht="13.5" customHeight="1"/>
    <row r="3" spans="1:15" ht="13.5" customHeight="1">
      <c r="A3" s="517" t="s">
        <v>2706</v>
      </c>
      <c r="C3" s="516" t="s">
        <v>2707</v>
      </c>
      <c r="E3" s="586">
        <f>SUM('Part III-A-Uses of Funds'!J162,'Part III-A-Uses of Funds'!M162,'Part III-A-Uses of Funds'!P162)</f>
        <v>51014820.820664302</v>
      </c>
      <c r="F3" s="1024" t="s">
        <v>2708</v>
      </c>
      <c r="H3" s="1006">
        <v>27.5</v>
      </c>
      <c r="I3" s="516" t="s">
        <v>2272</v>
      </c>
      <c r="K3" s="521" t="s">
        <v>2729</v>
      </c>
      <c r="M3" s="1024"/>
      <c r="O3" s="587"/>
    </row>
    <row r="4" spans="1:15" ht="13.5" customHeight="1">
      <c r="C4" s="516" t="s">
        <v>3128</v>
      </c>
      <c r="E4" s="586">
        <f>SUM('Part III-A-Uses of Funds'!G97:H101)</f>
        <v>748423.16331228858</v>
      </c>
      <c r="F4" s="1024" t="s">
        <v>3661</v>
      </c>
      <c r="H4" s="517">
        <f>'Part II-Sources of Funds'!M40</f>
        <v>40</v>
      </c>
      <c r="I4" s="516" t="s">
        <v>2272</v>
      </c>
      <c r="K4" s="588" t="s">
        <v>2957</v>
      </c>
      <c r="M4" s="1024"/>
    </row>
    <row r="5" spans="1:15" ht="13.5" customHeight="1">
      <c r="C5" s="516" t="s">
        <v>3129</v>
      </c>
      <c r="E5" s="586">
        <f>SUM('Part III-A-Uses of Funds'!G105:H111)</f>
        <v>441722</v>
      </c>
      <c r="F5" s="1024" t="s">
        <v>3660</v>
      </c>
      <c r="H5" s="1006">
        <v>15</v>
      </c>
      <c r="I5" s="516" t="s">
        <v>2272</v>
      </c>
      <c r="K5" s="587">
        <f>-E6</f>
        <v>-39523867.849445313</v>
      </c>
    </row>
    <row r="6" spans="1:15" ht="13.5" customHeight="1">
      <c r="C6" s="516" t="s">
        <v>2709</v>
      </c>
      <c r="E6" s="589">
        <f>'Part II-Sources of Funds'!$I$51+'Part II-Sources of Funds'!$I$52</f>
        <v>39523867.849445313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0.15715658012777567</v>
      </c>
      <c r="D9" s="594">
        <f>'Part VI-Pro Forma'!C33</f>
        <v>-0.32036341913044453</v>
      </c>
      <c r="E9" s="594">
        <f>'Part VI-Pro Forma'!D33</f>
        <v>0.20756618026643991</v>
      </c>
      <c r="F9" s="594">
        <f>'Part VI-Pro Forma'!E33</f>
        <v>-8.8295627618208528E-2</v>
      </c>
      <c r="G9" s="594">
        <f>'Part VI-Pro Forma'!F33</f>
        <v>242027.66534482792</v>
      </c>
      <c r="H9" s="594">
        <f>'Part VI-Pro Forma'!G33</f>
        <v>401082.03114017803</v>
      </c>
      <c r="I9" s="594">
        <f>'Part VI-Pro Forma'!H33</f>
        <v>424112.24744598224</v>
      </c>
      <c r="K9" s="587" t="e">
        <f>F24</f>
        <v>#VALUE!</v>
      </c>
      <c r="N9" s="595" t="s">
        <v>2715</v>
      </c>
    </row>
    <row r="10" spans="1:15" ht="13.5" customHeight="1">
      <c r="A10" s="516" t="s">
        <v>2714</v>
      </c>
      <c r="C10" s="978">
        <f>'Part II-Sources of Funds'!I40-'Part VI-Pro Forma'!B40</f>
        <v>112099.37670214474</v>
      </c>
      <c r="D10" s="596">
        <f>'Part VI-Pro Forma'!B40-'Part VI-Pro Forma'!C40</f>
        <v>119369.17137258872</v>
      </c>
      <c r="E10" s="596">
        <f>'Part VI-Pro Forma'!C40-'Part VI-Pro Forma'!D40</f>
        <v>127110.42196103185</v>
      </c>
      <c r="F10" s="596">
        <f>'Part VI-Pro Forma'!D40-'Part VI-Pro Forma'!E40</f>
        <v>135353.70301499963</v>
      </c>
      <c r="G10" s="596">
        <f>'Part VI-Pro Forma'!E40-'Part VI-Pro Forma'!F40</f>
        <v>144131.57188235223</v>
      </c>
      <c r="H10" s="596">
        <f>'Part VI-Pro Forma'!F40-'Part VI-Pro Forma'!G40</f>
        <v>153478.69729855657</v>
      </c>
      <c r="I10" s="596">
        <f>'Part VI-Pro Forma'!G40-'Part VI-Pro Forma'!H40</f>
        <v>163431.99631298706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-52500</v>
      </c>
      <c r="D13" s="979">
        <f>'Part VI-Pro Forma'!C23</f>
        <v>-54075</v>
      </c>
      <c r="E13" s="979">
        <f>'Part VI-Pro Forma'!D23</f>
        <v>-55697.25</v>
      </c>
      <c r="F13" s="979">
        <f>'Part VI-Pro Forma'!E23</f>
        <v>-57368.167500000003</v>
      </c>
      <c r="G13" s="979">
        <f>'Part VI-Pro Forma'!F23</f>
        <v>-59089.212524999995</v>
      </c>
      <c r="H13" s="979">
        <f>'Part VI-Pro Forma'!G23</f>
        <v>-60861.888900749989</v>
      </c>
      <c r="I13" s="979">
        <f>'Part VI-Pro Forma'!H23</f>
        <v>-62687.745567772494</v>
      </c>
      <c r="K13" s="587" t="e">
        <f>C44</f>
        <v>#VALUE!</v>
      </c>
      <c r="O13" s="592"/>
    </row>
    <row r="14" spans="1:15" ht="13.5" customHeight="1">
      <c r="A14" s="598" t="s">
        <v>3131</v>
      </c>
      <c r="B14" s="598"/>
      <c r="C14" s="979">
        <f>'Part VI-Pro Forma'!B32</f>
        <v>-287761</v>
      </c>
      <c r="D14" s="979">
        <f>'Part VI-Pro Forma'!C32</f>
        <v>-310158</v>
      </c>
      <c r="E14" s="979">
        <f>'Part VI-Pro Forma'!D32</f>
        <v>-332694</v>
      </c>
      <c r="F14" s="979">
        <f>'Part VI-Pro Forma'!E32</f>
        <v>-355366</v>
      </c>
      <c r="G14" s="979">
        <f>'Part VI-Pro Forma'!F32</f>
        <v>-136136</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1855084.3934787018</v>
      </c>
      <c r="D15" s="599">
        <f t="shared" si="0"/>
        <v>1855084.3934787018</v>
      </c>
      <c r="E15" s="599">
        <f t="shared" si="0"/>
        <v>1855084.3934787018</v>
      </c>
      <c r="F15" s="599">
        <f t="shared" si="0"/>
        <v>1855084.3934787018</v>
      </c>
      <c r="G15" s="599">
        <f t="shared" si="0"/>
        <v>1855084.3934787018</v>
      </c>
      <c r="H15" s="599">
        <f t="shared" si="0"/>
        <v>1855084.3934787018</v>
      </c>
      <c r="I15" s="599">
        <f t="shared" si="0"/>
        <v>1855084.3934787018</v>
      </c>
      <c r="K15" s="587" t="e">
        <f>E44</f>
        <v>#VALUE!</v>
      </c>
      <c r="O15" s="592"/>
    </row>
    <row r="16" spans="1:15" ht="13.5" customHeight="1">
      <c r="A16" s="516" t="s">
        <v>2719</v>
      </c>
      <c r="C16" s="599">
        <f>IF(C$8&lt;=$H$4,($E$4/$H$4),0)+IF(C$8&lt;=$H$5,($E$5/$H$5),0)</f>
        <v>48158.712416140552</v>
      </c>
      <c r="D16" s="599">
        <f t="shared" ref="D16:I16" si="1">IF(D$8&lt;=$H$4,($E$4/$H$4),0)+IF(D$8&lt;=$H$5,($E$5/$H$5),0)</f>
        <v>48158.712416140552</v>
      </c>
      <c r="E16" s="599">
        <f t="shared" si="1"/>
        <v>48158.712416140552</v>
      </c>
      <c r="F16" s="599">
        <f t="shared" si="1"/>
        <v>48158.712416140552</v>
      </c>
      <c r="G16" s="599">
        <f t="shared" si="1"/>
        <v>48158.712416140552</v>
      </c>
      <c r="H16" s="599">
        <f t="shared" si="1"/>
        <v>48158.712416140552</v>
      </c>
      <c r="I16" s="599">
        <f t="shared" si="1"/>
        <v>48158.712416140552</v>
      </c>
      <c r="K16" s="587" t="e">
        <f>F44</f>
        <v>#VALUE!</v>
      </c>
      <c r="M16" s="516" t="s">
        <v>2723</v>
      </c>
      <c r="O16" s="592">
        <f>E3</f>
        <v>51014820.820664302</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37101687.86957404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13913132.951090261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2652770</v>
      </c>
      <c r="D21" s="600">
        <f t="shared" ref="D21:I21" si="5">C21</f>
        <v>2652770</v>
      </c>
      <c r="E21" s="600">
        <f t="shared" si="5"/>
        <v>2652770</v>
      </c>
      <c r="F21" s="600">
        <f t="shared" si="5"/>
        <v>2652770</v>
      </c>
      <c r="G21" s="600">
        <f t="shared" si="5"/>
        <v>2652770</v>
      </c>
      <c r="H21" s="600">
        <f t="shared" si="5"/>
        <v>2652770</v>
      </c>
      <c r="I21" s="600">
        <f t="shared" si="5"/>
        <v>2652770</v>
      </c>
      <c r="J21" s="516" t="s">
        <v>233</v>
      </c>
      <c r="K21" s="587" t="e">
        <f>D64</f>
        <v>#VALUE!</v>
      </c>
      <c r="O21" s="592"/>
    </row>
    <row r="22" spans="1:17" ht="13.5" customHeight="1">
      <c r="A22" s="516" t="s">
        <v>2726</v>
      </c>
      <c r="C22" s="600">
        <f>C21</f>
        <v>2652770</v>
      </c>
      <c r="D22" s="600">
        <f t="shared" ref="D22:I22" si="6">D21</f>
        <v>2652770</v>
      </c>
      <c r="E22" s="600">
        <f t="shared" si="6"/>
        <v>2652770</v>
      </c>
      <c r="F22" s="600">
        <f t="shared" si="6"/>
        <v>2652770</v>
      </c>
      <c r="G22" s="600">
        <f t="shared" si="6"/>
        <v>2652770</v>
      </c>
      <c r="H22" s="600">
        <f t="shared" si="6"/>
        <v>2652770</v>
      </c>
      <c r="I22" s="600">
        <f t="shared" si="6"/>
        <v>2652770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13913132.951090261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-13913132.951090261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2713</v>
      </c>
      <c r="C29" s="594">
        <f>'Part VI-Pro Forma'!I33</f>
        <v>447246.21416828677</v>
      </c>
      <c r="D29" s="594">
        <f>'Part VI-Pro Forma'!J33</f>
        <v>470476.47809813352</v>
      </c>
      <c r="E29" s="594">
        <f>'Part VI-Pro Forma'!K33</f>
        <v>493792.21771586454</v>
      </c>
      <c r="F29" s="594">
        <f>'Part VI-Pro Forma'!B65</f>
        <v>517186.22744751821</v>
      </c>
      <c r="G29" s="594">
        <f>'Part VI-Pro Forma'!C65</f>
        <v>540645.90135501768</v>
      </c>
      <c r="H29" s="594">
        <f>'Part VI-Pro Forma'!D65</f>
        <v>564161.21624131862</v>
      </c>
      <c r="I29" s="594">
        <f>'Part VI-Pro Forma'!E65</f>
        <v>587721.71415101446</v>
      </c>
      <c r="N29" s="603"/>
      <c r="O29" s="603"/>
    </row>
    <row r="30" spans="1:17" ht="13.5" customHeight="1">
      <c r="A30" s="516" t="s">
        <v>2714</v>
      </c>
      <c r="C30" s="596">
        <f>'Part VI-Pro Forma'!H40-'Part VI-Pro Forma'!I40</f>
        <v>174030.78009510413</v>
      </c>
      <c r="D30" s="596">
        <f>'Part VI-Pro Forma'!I40-'Part VI-Pro Forma'!J40</f>
        <v>185316.90919633955</v>
      </c>
      <c r="E30" s="596">
        <f>'Part VI-Pro Forma'!J40-'Part VI-Pro Forma'!K40</f>
        <v>197334.95888093859</v>
      </c>
      <c r="F30" s="976">
        <f>'Part VI-Pro Forma'!K40-'Part VI-Pro Forma'!B72</f>
        <v>210132.39517870545</v>
      </c>
      <c r="G30" s="976">
        <f>'Part VI-Pro Forma'!B72-'Part VI-Pro Forma'!C72</f>
        <v>223759.76235503331</v>
      </c>
      <c r="H30" s="976">
        <f>'Part VI-Pro Forma'!C72-'Part VI-Pro Forma'!D72</f>
        <v>238270.88253860921</v>
      </c>
      <c r="I30" s="976">
        <f>'Part VI-Pro Forma'!D72-'Part VI-Pro Forma'!E72</f>
        <v>253723.06829521433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-2782626.5902180523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-64568.377934805671</v>
      </c>
      <c r="D33" s="979">
        <f>'Part VI-Pro Forma'!J23</f>
        <v>-66505.42927284984</v>
      </c>
      <c r="E33" s="979">
        <f>'Part VI-Pro Forma'!K23</f>
        <v>-68500.592151035336</v>
      </c>
      <c r="F33" s="979">
        <f>'Part VI-Pro Forma'!B55</f>
        <v>-70555.609915566398</v>
      </c>
      <c r="G33" s="979">
        <f>'Part VI-Pro Forma'!C55</f>
        <v>-72672.278213033394</v>
      </c>
      <c r="H33" s="979">
        <f>'Part VI-Pro Forma'!D55</f>
        <v>-74852.446559424381</v>
      </c>
      <c r="I33" s="979">
        <f>'Part VI-Pro Forma'!E55</f>
        <v>-77098.019956207107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1855084.3934787018</v>
      </c>
      <c r="D35" s="599">
        <f t="shared" si="8"/>
        <v>1855084.3934787018</v>
      </c>
      <c r="E35" s="599">
        <f t="shared" si="8"/>
        <v>1855084.3934787018</v>
      </c>
      <c r="F35" s="599">
        <f t="shared" si="8"/>
        <v>1855084.3934787018</v>
      </c>
      <c r="G35" s="599">
        <f t="shared" si="8"/>
        <v>1855084.3934787018</v>
      </c>
      <c r="H35" s="599">
        <f t="shared" si="8"/>
        <v>1855084.3934787018</v>
      </c>
      <c r="I35" s="599">
        <f t="shared" si="8"/>
        <v>1855084.3934787018</v>
      </c>
    </row>
    <row r="36" spans="1:15" ht="13.5" customHeight="1">
      <c r="A36" s="516" t="s">
        <v>2719</v>
      </c>
      <c r="C36" s="594">
        <f>IF(C$28&lt;=$H$4,($E$4/$H$4),0)+IF(C$28&lt;=$H$5,($E$5/$H$5),0)</f>
        <v>48158.712416140552</v>
      </c>
      <c r="D36" s="594">
        <f t="shared" ref="D36:I36" si="9">IF(D$28&lt;=$H$4,($E$4/$H$4),0)+IF(D$28&lt;=$H$5,($E$5/$H$5),0)</f>
        <v>48158.712416140552</v>
      </c>
      <c r="E36" s="594">
        <f t="shared" si="9"/>
        <v>48158.712416140552</v>
      </c>
      <c r="F36" s="594">
        <f t="shared" si="9"/>
        <v>48158.712416140552</v>
      </c>
      <c r="G36" s="594">
        <f t="shared" si="9"/>
        <v>48158.712416140552</v>
      </c>
      <c r="H36" s="594">
        <f t="shared" si="9"/>
        <v>48158.712416140552</v>
      </c>
      <c r="I36" s="594">
        <f t="shared" si="9"/>
        <v>48158.712416140552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2652770</v>
      </c>
      <c r="D41" s="600">
        <f>C41</f>
        <v>2652770</v>
      </c>
      <c r="E41" s="600">
        <f>D41</f>
        <v>2652770</v>
      </c>
      <c r="F41" s="600">
        <v>0</v>
      </c>
      <c r="G41" s="600">
        <v>0</v>
      </c>
      <c r="H41" s="600">
        <v>0</v>
      </c>
      <c r="I41" s="600">
        <v>0</v>
      </c>
    </row>
    <row r="42" spans="1:15" ht="13.5" customHeight="1">
      <c r="A42" s="516" t="s">
        <v>2726</v>
      </c>
      <c r="C42" s="600">
        <f>C22</f>
        <v>2652770</v>
      </c>
      <c r="D42" s="600">
        <f>C42</f>
        <v>2652770</v>
      </c>
      <c r="E42" s="600">
        <f>D42</f>
        <v>2652770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2713</v>
      </c>
      <c r="C49" s="594">
        <f>'Part VI-Pro Forma'!F65</f>
        <v>611314.48424634605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270177.34898726642</v>
      </c>
      <c r="D50" s="977">
        <f>'Part VI-Pro Forma'!F72-'Part VI-Pro Forma'!G72</f>
        <v>287698.71181305125</v>
      </c>
      <c r="E50" s="977">
        <f>'Part VI-Pro Forma'!G72-'Part VI-Pro Forma'!H72</f>
        <v>306356.35847766325</v>
      </c>
      <c r="F50" s="977">
        <f>'Part VI-Pro Forma'!H72-'Part VI-Pro Forma'!I72</f>
        <v>326223.97850944474</v>
      </c>
      <c r="G50" s="977">
        <f>'Part VI-Pro Forma'!I72-'Part VI-Pro Forma'!J72</f>
        <v>347380.04030130059</v>
      </c>
      <c r="H50" s="977">
        <f>'Part VI-Pro Forma'!J72-'Part VI-Pro Forma'!K72</f>
        <v>369908.10102648474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-79410.960554893332</v>
      </c>
      <c r="D53" s="979">
        <f>'Part VI-Pro Forma'!G55</f>
        <v>-81793.28937154013</v>
      </c>
      <c r="E53" s="979">
        <f>'Part VI-Pro Forma'!H55</f>
        <v>-84247.088052686318</v>
      </c>
      <c r="F53" s="979">
        <f>'Part VI-Pro Forma'!I55</f>
        <v>-86774.500694266913</v>
      </c>
      <c r="G53" s="979">
        <f>'Part VI-Pro Forma'!J55</f>
        <v>-89377.735715094925</v>
      </c>
      <c r="H53" s="979">
        <f>'Part VI-Pro Forma'!K55</f>
        <v>-92059.067786547763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1855084.3934787018</v>
      </c>
      <c r="D55" s="599">
        <f t="shared" si="14"/>
        <v>1855084.3934787018</v>
      </c>
      <c r="E55" s="599">
        <f t="shared" si="14"/>
        <v>1855084.3934787018</v>
      </c>
      <c r="F55" s="599">
        <f t="shared" si="14"/>
        <v>1855084.3934787018</v>
      </c>
      <c r="G55" s="599">
        <f t="shared" si="14"/>
        <v>1855084.3934787018</v>
      </c>
      <c r="H55" s="599">
        <f t="shared" si="14"/>
        <v>1855084.3934787018</v>
      </c>
    </row>
    <row r="56" spans="1:10" ht="13.5" customHeight="1">
      <c r="A56" s="516" t="s">
        <v>2719</v>
      </c>
      <c r="C56" s="594">
        <f t="shared" ref="C56:H56" si="15">IF(C$48&lt;=$H$4,($E$4/$H$4),0)+IF(C$48&lt;=$H$5,($E$5/$H$5),0)</f>
        <v>48158.712416140552</v>
      </c>
      <c r="D56" s="594">
        <f t="shared" si="15"/>
        <v>18710.579082807213</v>
      </c>
      <c r="E56" s="594">
        <f t="shared" si="15"/>
        <v>18710.579082807213</v>
      </c>
      <c r="F56" s="594">
        <f t="shared" si="15"/>
        <v>18710.579082807213</v>
      </c>
      <c r="G56" s="594">
        <f t="shared" si="15"/>
        <v>18710.579082807213</v>
      </c>
      <c r="H56" s="594">
        <f t="shared" si="15"/>
        <v>18710.579082807213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95" t="e">
        <f>IRR(K5:K25)</f>
        <v>#VALUE!</v>
      </c>
      <c r="H66" s="4796"/>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8" t="str">
        <f>'Sensitivity Analysis'!C8</f>
        <v>Westbury</v>
      </c>
      <c r="B1" s="4798"/>
      <c r="C1" s="4798"/>
      <c r="D1" s="4798"/>
      <c r="E1" s="4798"/>
      <c r="F1" s="4798"/>
      <c r="G1" s="4798"/>
      <c r="H1" s="4798"/>
      <c r="I1" s="4798"/>
      <c r="J1" s="4798"/>
      <c r="K1" s="4798"/>
    </row>
    <row r="2" spans="1:11" s="439" customFormat="1" ht="17.649999999999999" customHeight="1">
      <c r="A2" s="4797" t="s">
        <v>2886</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 customHeight="1">
      <c r="A4" s="4799" t="s">
        <v>6060</v>
      </c>
      <c r="B4" s="4799"/>
      <c r="C4" s="1476"/>
      <c r="D4" s="4799" t="s">
        <v>6061</v>
      </c>
      <c r="E4" s="4799"/>
      <c r="F4" s="523"/>
      <c r="G4" s="4799" t="s">
        <v>6062</v>
      </c>
      <c r="H4" s="4799"/>
      <c r="I4" s="523"/>
      <c r="J4" s="4799" t="s">
        <v>6177</v>
      </c>
      <c r="K4" s="4799"/>
    </row>
    <row r="5" spans="1:11" ht="25.9" customHeight="1">
      <c r="A5" s="4800" t="str">
        <f>'Part II-Sources of Funds'!E40</f>
        <v>Truist Bank</v>
      </c>
      <c r="B5" s="4801"/>
      <c r="C5" s="439"/>
      <c r="D5" s="4800">
        <f>'Part II-Sources of Funds'!E41</f>
        <v>0</v>
      </c>
      <c r="E5" s="4801"/>
      <c r="F5" s="1477"/>
      <c r="G5" s="4800">
        <f>'Part II-Sources of Funds'!E42</f>
        <v>0</v>
      </c>
      <c r="H5" s="4801"/>
      <c r="I5" s="1477"/>
      <c r="J5" s="4800">
        <f>'Part II-Sources of Funds'!E43</f>
        <v>0</v>
      </c>
      <c r="K5" s="4801"/>
    </row>
    <row r="6" spans="1:11" ht="9" customHeight="1"/>
    <row r="7" spans="1:11" ht="15.75">
      <c r="A7" s="982"/>
      <c r="B7" s="982" t="s">
        <v>2736</v>
      </c>
      <c r="D7" s="982"/>
      <c r="E7" s="982" t="s">
        <v>2736</v>
      </c>
      <c r="G7" s="982"/>
      <c r="H7" s="982" t="s">
        <v>2736</v>
      </c>
      <c r="J7" s="982"/>
      <c r="K7" s="982" t="s">
        <v>2736</v>
      </c>
    </row>
    <row r="8" spans="1:11" ht="15.75">
      <c r="A8" s="1007" t="s">
        <v>2283</v>
      </c>
      <c r="B8" s="1007" t="s">
        <v>2737</v>
      </c>
      <c r="D8" s="1007" t="s">
        <v>2283</v>
      </c>
      <c r="E8" s="1007" t="s">
        <v>2737</v>
      </c>
      <c r="G8" s="1007" t="s">
        <v>2283</v>
      </c>
      <c r="H8" s="1007" t="s">
        <v>2737</v>
      </c>
      <c r="J8" s="1007" t="s">
        <v>2283</v>
      </c>
      <c r="K8" s="1007" t="s">
        <v>2737</v>
      </c>
    </row>
    <row r="9" spans="1:11" ht="6" customHeight="1">
      <c r="A9" s="507"/>
      <c r="B9" s="507"/>
      <c r="D9" s="507"/>
      <c r="E9" s="507"/>
      <c r="G9" s="507"/>
      <c r="H9" s="507"/>
      <c r="J9" s="507"/>
      <c r="K9" s="507"/>
    </row>
    <row r="10" spans="1:11" ht="20.25" customHeight="1">
      <c r="A10" s="983">
        <v>1</v>
      </c>
      <c r="B10" s="984">
        <f>-'Part VI-Pro Forma'!$B26/12</f>
        <v>112047.6639036183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112047.6639036183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112047.6639036183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112047.6639036183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112047.6639036183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112047.6639036183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112047.6639036183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112047.6639036183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112047.6639036183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112047.6639036183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112047.6639036183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112047.6639036183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112047.6639036183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112047.6639036183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112047.6639036183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112047.6639036183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112047.6639036183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112047.6639036183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112047.6639036183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112047.6639036183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112047.6639036183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112047.6639036183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112047.6639036183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112047.6639036183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112047.6639036183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112047.6639036183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112047.6639036183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112047.6639036183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112047.6639036183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112047.6639036183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112047.6639036183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112047.6639036183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112047.6639036183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112047.6639036183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112047.6639036183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2" t="str">
        <f>CONCATENATE('Sensitivity Analysis'!E8,"  ",'Sensitivity Analysis'!C8)</f>
        <v>2023-5  Westbury</v>
      </c>
      <c r="B1" s="4802"/>
      <c r="C1" s="4802"/>
      <c r="D1" s="4802"/>
      <c r="E1" s="4802"/>
      <c r="F1" s="4802"/>
      <c r="G1" s="4802"/>
      <c r="H1" s="4802"/>
    </row>
    <row r="3" spans="1:11" ht="12" customHeight="1">
      <c r="A3" s="4803" t="s">
        <v>3105</v>
      </c>
      <c r="B3" s="4803"/>
      <c r="C3" s="4803"/>
      <c r="D3" s="4803"/>
      <c r="E3" s="4803"/>
      <c r="F3" s="4803"/>
      <c r="G3" s="4803"/>
      <c r="H3" s="4803"/>
      <c r="I3" s="1027"/>
      <c r="J3" s="4805" t="s">
        <v>3458</v>
      </c>
      <c r="K3" s="4805"/>
    </row>
    <row r="4" spans="1:11">
      <c r="J4" s="4805"/>
      <c r="K4" s="4805"/>
    </row>
    <row r="5" spans="1:11" ht="12" customHeight="1">
      <c r="A5" s="432">
        <v>1</v>
      </c>
      <c r="C5" s="432" t="s">
        <v>2739</v>
      </c>
      <c r="E5" s="620">
        <f>'Sensitivity Analysis'!H9</f>
        <v>0</v>
      </c>
      <c r="J5" s="4805"/>
      <c r="K5" s="4805"/>
    </row>
    <row r="6" spans="1:11" ht="3" customHeight="1">
      <c r="H6" s="610"/>
      <c r="J6" s="4805"/>
      <c r="K6" s="4805"/>
    </row>
    <row r="7" spans="1:11" ht="12" customHeight="1">
      <c r="A7" s="432">
        <v>2</v>
      </c>
      <c r="C7" s="432" t="s">
        <v>2740</v>
      </c>
      <c r="E7" s="4806"/>
      <c r="F7" s="4806"/>
      <c r="G7" s="4806"/>
      <c r="H7" s="4806"/>
      <c r="J7" s="4805"/>
      <c r="K7" s="4805"/>
    </row>
    <row r="8" spans="1:11" ht="12" customHeight="1">
      <c r="E8" s="4806"/>
      <c r="F8" s="4806"/>
      <c r="G8" s="4806"/>
      <c r="H8" s="4806"/>
      <c r="J8" s="4805"/>
      <c r="K8" s="4805"/>
    </row>
    <row r="9" spans="1:11" ht="12" customHeight="1">
      <c r="C9" s="432" t="s">
        <v>2741</v>
      </c>
      <c r="E9" s="4804"/>
      <c r="F9" s="4804"/>
      <c r="J9" s="4805"/>
      <c r="K9" s="4805"/>
    </row>
    <row r="10" spans="1:11" ht="12" customHeight="1">
      <c r="C10" s="432" t="s">
        <v>2742</v>
      </c>
      <c r="E10" s="4806"/>
      <c r="F10" s="4806"/>
      <c r="G10" s="4806"/>
      <c r="H10" s="4806"/>
    </row>
    <row r="11" spans="1:11" ht="12" customHeight="1">
      <c r="C11" s="432" t="s">
        <v>3463</v>
      </c>
      <c r="E11" s="4806"/>
      <c r="F11" s="4806"/>
      <c r="G11" s="4806"/>
      <c r="H11" s="4806"/>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Westbury</v>
      </c>
    </row>
    <row r="16" spans="1:11" ht="12" customHeight="1">
      <c r="C16" s="432" t="s">
        <v>2744</v>
      </c>
      <c r="E16" s="4806"/>
      <c r="F16" s="4806"/>
      <c r="G16" s="4806"/>
      <c r="H16" s="4806"/>
    </row>
    <row r="17" spans="1:8" ht="12" customHeight="1">
      <c r="E17" s="438" t="str">
        <f>'Part I-Project Identification'!$F$26</f>
        <v>Decatur</v>
      </c>
      <c r="F17" s="609" t="s">
        <v>791</v>
      </c>
      <c r="G17" s="4807" t="s">
        <v>6750</v>
      </c>
      <c r="H17" s="4807"/>
    </row>
    <row r="18" spans="1:8" ht="12" customHeight="1">
      <c r="E18" s="620" t="str">
        <f>(CONCATENATE('Part I-Project Identification'!$J$26," County"))</f>
        <v>DeKalb County</v>
      </c>
    </row>
    <row r="19" spans="1:8" ht="3" customHeight="1"/>
    <row r="20" spans="1:8" ht="12" customHeight="1">
      <c r="A20" s="432">
        <v>4</v>
      </c>
      <c r="C20" s="432" t="s">
        <v>2745</v>
      </c>
      <c r="E20" s="4806"/>
      <c r="F20" s="4806"/>
      <c r="G20" s="4806"/>
      <c r="H20" s="4806"/>
    </row>
    <row r="21" spans="1:8" ht="12" customHeight="1">
      <c r="C21" s="432" t="s">
        <v>2746</v>
      </c>
      <c r="E21" s="4806"/>
      <c r="F21" s="4806"/>
      <c r="G21" s="4806"/>
      <c r="H21" s="4806"/>
    </row>
    <row r="22" spans="1:8" ht="12" customHeight="1">
      <c r="E22" s="4806"/>
      <c r="F22" s="4806"/>
      <c r="G22" s="4806"/>
      <c r="H22" s="4806"/>
    </row>
    <row r="23" spans="1:8" ht="12" customHeight="1">
      <c r="C23" s="432" t="s">
        <v>3459</v>
      </c>
      <c r="E23" s="1991"/>
    </row>
    <row r="24" spans="1:8" ht="12" customHeight="1">
      <c r="C24" s="432" t="s">
        <v>3462</v>
      </c>
      <c r="E24" s="1991"/>
    </row>
    <row r="25" spans="1:8" ht="12" customHeight="1">
      <c r="C25" s="432" t="s">
        <v>3463</v>
      </c>
      <c r="E25" s="4806"/>
      <c r="F25" s="4806"/>
      <c r="G25" s="4806"/>
      <c r="H25" s="480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2748</v>
      </c>
      <c r="E31" s="432" t="s">
        <v>2217</v>
      </c>
      <c r="F31" s="1028">
        <f>'Part II-Sources of Funds'!L22</f>
        <v>42612257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2217</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2217</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2217</v>
      </c>
      <c r="F46" s="620" t="s">
        <v>2761</v>
      </c>
    </row>
    <row r="47" spans="1:8" ht="3" customHeight="1">
      <c r="F47" s="610"/>
    </row>
    <row r="48" spans="1:8" ht="12" customHeight="1">
      <c r="A48" s="432">
        <v>14</v>
      </c>
      <c r="C48" s="432" t="s">
        <v>2762</v>
      </c>
      <c r="E48" s="4806"/>
      <c r="F48" s="4806"/>
      <c r="G48" s="4806"/>
      <c r="H48" s="4806"/>
    </row>
    <row r="49" spans="1:8" ht="3" customHeight="1">
      <c r="E49" s="620"/>
    </row>
    <row r="50" spans="1:8" ht="12" customHeight="1">
      <c r="A50" s="432">
        <v>15</v>
      </c>
      <c r="C50" s="432" t="s">
        <v>3465</v>
      </c>
      <c r="E50" s="4806"/>
      <c r="F50" s="4806"/>
      <c r="G50" s="4806"/>
      <c r="H50" s="4806"/>
    </row>
    <row r="51" spans="1:8" ht="12" customHeight="1">
      <c r="C51" s="432" t="s">
        <v>2763</v>
      </c>
      <c r="E51" s="4806"/>
      <c r="F51" s="4806"/>
      <c r="G51" s="4806"/>
      <c r="H51" s="4806"/>
    </row>
    <row r="52" spans="1:8" ht="3" customHeight="1">
      <c r="F52" s="614"/>
    </row>
    <row r="53" spans="1:8" ht="12" customHeight="1">
      <c r="A53" s="432">
        <v>16</v>
      </c>
      <c r="C53" s="432" t="s">
        <v>2764</v>
      </c>
      <c r="F53" s="1032">
        <f>'Sensitivity Analysis'!C13</f>
        <v>210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15268564.765800184</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2217</v>
      </c>
      <c r="F72" s="614">
        <v>20</v>
      </c>
      <c r="G72" s="432" t="s">
        <v>2272</v>
      </c>
    </row>
    <row r="73" spans="1:7" ht="3" customHeight="1"/>
    <row r="74" spans="1:7" ht="12" customHeight="1">
      <c r="A74" s="432">
        <v>25</v>
      </c>
      <c r="C74" s="432" t="s">
        <v>2774</v>
      </c>
      <c r="F74" s="1038">
        <f>'Part III-A-Uses of Funds'!$G$131</f>
        <v>1156044.7637490751</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241879.5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1" t="s">
        <v>2960</v>
      </c>
      <c r="B1" s="4811"/>
      <c r="C1" s="4811"/>
      <c r="D1" s="4811"/>
      <c r="E1" s="4811"/>
      <c r="F1" s="4811"/>
      <c r="G1" s="4811"/>
      <c r="H1" s="4811"/>
      <c r="I1" s="4811"/>
      <c r="J1" s="4811"/>
    </row>
    <row r="2" spans="1:13" ht="15">
      <c r="A2" s="4811" t="str">
        <f>'Sensitivity Analysis'!E8&amp;"  "&amp;'Sensitivity Analysis'!C8</f>
        <v>2023-5  Westbury</v>
      </c>
      <c r="B2" s="4811"/>
      <c r="C2" s="4811"/>
      <c r="D2" s="4811"/>
      <c r="E2" s="4811"/>
      <c r="F2" s="4811"/>
      <c r="G2" s="4811"/>
      <c r="H2" s="4811"/>
      <c r="I2" s="4811"/>
      <c r="J2" s="4811"/>
    </row>
    <row r="3" spans="1:13" ht="6" customHeight="1">
      <c r="K3" s="4805" t="s">
        <v>3458</v>
      </c>
      <c r="L3" s="4805"/>
      <c r="M3" s="4805"/>
    </row>
    <row r="4" spans="1:13" ht="12" customHeight="1">
      <c r="A4" s="612" t="s">
        <v>2778</v>
      </c>
      <c r="K4" s="4805"/>
      <c r="L4" s="4805"/>
      <c r="M4" s="4805"/>
    </row>
    <row r="5" spans="1:13" ht="12" customHeight="1">
      <c r="A5" s="432" t="s">
        <v>2779</v>
      </c>
      <c r="C5" s="560" t="str">
        <f>'Subsidy Layering Memo'!D6</f>
        <v>(Underwriter)</v>
      </c>
      <c r="I5" s="560"/>
      <c r="K5" s="4805"/>
      <c r="L5" s="4805"/>
      <c r="M5" s="4805"/>
    </row>
    <row r="6" spans="1:13" ht="6" customHeight="1">
      <c r="C6" s="560"/>
      <c r="D6" s="560"/>
      <c r="I6" s="560"/>
      <c r="K6" s="4805"/>
      <c r="L6" s="4805"/>
      <c r="M6" s="4805"/>
    </row>
    <row r="7" spans="1:13" ht="12" customHeight="1">
      <c r="A7" s="612" t="s">
        <v>2780</v>
      </c>
      <c r="C7" s="560"/>
      <c r="D7" s="560"/>
      <c r="I7" s="560"/>
      <c r="K7" s="4805"/>
      <c r="L7" s="4805"/>
      <c r="M7" s="4805"/>
    </row>
    <row r="8" spans="1:13" ht="12" customHeight="1">
      <c r="A8" s="432" t="s">
        <v>2781</v>
      </c>
      <c r="C8" s="560">
        <f>'Sensitivity Analysis'!$H$9</f>
        <v>0</v>
      </c>
      <c r="I8" s="560"/>
      <c r="K8" s="4805"/>
      <c r="L8" s="4805"/>
      <c r="M8" s="480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2443</v>
      </c>
      <c r="D12" s="626" t="s">
        <v>1646</v>
      </c>
      <c r="I12" s="560"/>
    </row>
    <row r="13" spans="1:13" ht="12" customHeight="1">
      <c r="C13" s="560" t="s">
        <v>2783</v>
      </c>
      <c r="D13" s="4810"/>
      <c r="E13" s="4810"/>
      <c r="F13" s="4810"/>
      <c r="G13" s="4810"/>
      <c r="H13" s="4810"/>
      <c r="I13" s="4810"/>
      <c r="J13" s="4810"/>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Westbury</v>
      </c>
      <c r="I28" s="560"/>
    </row>
    <row r="29" spans="1:9" ht="3" customHeight="1">
      <c r="C29" s="613"/>
      <c r="I29" s="560"/>
    </row>
    <row r="30" spans="1:9" ht="12" customHeight="1">
      <c r="A30" s="432" t="s">
        <v>2791</v>
      </c>
      <c r="C30" s="613">
        <f>'Preview term'!E16</f>
        <v>0</v>
      </c>
      <c r="I30" s="560"/>
    </row>
    <row r="31" spans="1:9">
      <c r="C31" s="560" t="str">
        <f>'Preview term'!E17</f>
        <v>Decatur</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812" t="str">
        <f>_xlfn.CONCAT('Part VII-Threshold Criteria OLD'!K192," and ",'Part VII-Threshold Criteria OLD'!K193)</f>
        <v>&lt;&lt;Select&gt;&gt; and &lt;&lt;Select&gt;&gt;</v>
      </c>
      <c r="D39" s="4812"/>
      <c r="E39" s="4812"/>
      <c r="F39" s="4812"/>
      <c r="G39" s="4812"/>
      <c r="H39" s="4812"/>
      <c r="I39" s="4812"/>
      <c r="J39" s="4812"/>
    </row>
    <row r="40" spans="1:10" ht="25.5" customHeight="1">
      <c r="A40" s="617" t="s">
        <v>6165</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c r="G41" s="560"/>
      <c r="H41" s="560"/>
      <c r="I41" s="560"/>
    </row>
    <row r="42" spans="1:10" ht="25.5" customHeight="1">
      <c r="A42" s="617" t="s">
        <v>2798</v>
      </c>
      <c r="C42" s="4812" t="s">
        <v>3109</v>
      </c>
      <c r="D42" s="4812"/>
      <c r="E42" s="4812"/>
      <c r="F42" s="4812"/>
      <c r="G42" s="4812"/>
      <c r="H42" s="4812"/>
      <c r="I42" s="4812"/>
      <c r="J42" s="4812"/>
    </row>
    <row r="43" spans="1:10" ht="3" customHeight="1">
      <c r="C43" s="438"/>
      <c r="D43" s="438"/>
      <c r="E43" s="438"/>
      <c r="F43" s="438"/>
      <c r="G43" s="438"/>
      <c r="H43" s="439"/>
      <c r="I43" s="439"/>
      <c r="J43" s="439"/>
    </row>
    <row r="44" spans="1:10" ht="12" customHeight="1">
      <c r="A44" s="432" t="s">
        <v>2799</v>
      </c>
      <c r="C44" s="504" t="str">
        <f>'Part I-Project Identification'!J26</f>
        <v>DeKalb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2" t="s">
        <v>533</v>
      </c>
      <c r="D50" s="4812"/>
      <c r="E50" s="4812"/>
      <c r="F50" s="4812"/>
      <c r="G50" s="4812"/>
      <c r="H50" s="4812"/>
      <c r="I50" s="4812"/>
      <c r="J50" s="4812"/>
    </row>
    <row r="51" spans="1:10" ht="12" customHeight="1">
      <c r="C51" s="4814" t="s">
        <v>1677</v>
      </c>
      <c r="D51" s="4814"/>
      <c r="E51" s="4814"/>
      <c r="F51" s="4814"/>
      <c r="G51" s="4814"/>
      <c r="H51" s="4814"/>
      <c r="I51" s="4814"/>
      <c r="J51" s="4814"/>
    </row>
    <row r="52" spans="1:10" ht="3" customHeight="1">
      <c r="D52" s="618"/>
      <c r="E52" s="618"/>
      <c r="F52" s="618"/>
      <c r="G52" s="618"/>
      <c r="H52" s="560"/>
      <c r="I52" s="618"/>
      <c r="J52" s="618"/>
    </row>
    <row r="53" spans="1:10" ht="12" customHeight="1">
      <c r="A53" s="617" t="s">
        <v>2803</v>
      </c>
      <c r="B53" s="617"/>
      <c r="C53" s="619" t="s">
        <v>2804</v>
      </c>
      <c r="D53" s="619" t="s">
        <v>3110</v>
      </c>
      <c r="E53" s="4815"/>
      <c r="F53" s="4815"/>
      <c r="G53" s="4815"/>
      <c r="H53" s="4815"/>
      <c r="I53" s="4815"/>
      <c r="J53" s="4815"/>
    </row>
    <row r="54" spans="1:10" ht="12" customHeight="1">
      <c r="A54" s="617"/>
      <c r="B54" s="617"/>
      <c r="C54" s="617"/>
      <c r="D54" s="619" t="s">
        <v>3111</v>
      </c>
      <c r="E54" s="4816"/>
      <c r="F54" s="4816"/>
      <c r="G54" s="4816"/>
      <c r="H54" s="4816"/>
      <c r="I54" s="4816"/>
      <c r="J54" s="481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42612257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0"/>
      <c r="E69" s="4810"/>
      <c r="F69" s="4810"/>
      <c r="G69" s="4810"/>
      <c r="H69" s="4810"/>
      <c r="I69" s="4810"/>
      <c r="J69" s="4810"/>
    </row>
    <row r="70" spans="1:10" ht="3" customHeight="1">
      <c r="D70" s="620"/>
      <c r="E70" s="560"/>
      <c r="F70" s="560"/>
      <c r="I70" s="560"/>
    </row>
    <row r="71" spans="1:10" ht="12" customHeight="1">
      <c r="A71" s="432" t="s">
        <v>2817</v>
      </c>
      <c r="C71" s="432" t="s">
        <v>2217</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2217</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15268564.765800184</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806"/>
      <c r="G94" s="4806"/>
      <c r="H94" s="4806"/>
      <c r="I94" s="560"/>
    </row>
    <row r="95" spans="1:9" ht="12" customHeight="1">
      <c r="C95" s="620"/>
      <c r="D95" s="560"/>
      <c r="E95" s="620" t="s">
        <v>1839</v>
      </c>
      <c r="F95" s="4817"/>
      <c r="G95" s="4817"/>
      <c r="H95" s="4817"/>
      <c r="I95" s="560"/>
    </row>
    <row r="96" spans="1:9" ht="12" customHeight="1">
      <c r="C96" s="620"/>
      <c r="D96" s="560"/>
      <c r="E96" s="620" t="s">
        <v>1672</v>
      </c>
      <c r="F96" s="4804"/>
      <c r="G96" s="4804"/>
      <c r="H96" s="4804"/>
      <c r="I96" s="560"/>
    </row>
    <row r="97" spans="1:10" ht="12" customHeight="1">
      <c r="B97" s="614"/>
      <c r="C97" s="622" t="s">
        <v>2972</v>
      </c>
      <c r="D97" s="560" t="s">
        <v>2831</v>
      </c>
      <c r="E97" s="620" t="str">
        <f>'Part II-Sources of Funds'!E40</f>
        <v>Truist Bank</v>
      </c>
      <c r="I97" s="560"/>
    </row>
    <row r="98" spans="1:10" ht="12" customHeight="1">
      <c r="C98" s="620"/>
      <c r="D98" s="560"/>
      <c r="E98" s="620" t="s">
        <v>1670</v>
      </c>
      <c r="F98" s="4806"/>
      <c r="G98" s="4806"/>
      <c r="H98" s="4806"/>
      <c r="I98" s="560"/>
    </row>
    <row r="99" spans="1:10" ht="12" customHeight="1">
      <c r="C99" s="620"/>
      <c r="D99" s="560"/>
      <c r="E99" s="620" t="s">
        <v>1839</v>
      </c>
      <c r="F99" s="4817"/>
      <c r="G99" s="4817"/>
      <c r="H99" s="4817"/>
      <c r="I99" s="560"/>
    </row>
    <row r="100" spans="1:10" ht="12" customHeight="1">
      <c r="C100" s="620"/>
      <c r="D100" s="560"/>
      <c r="E100" s="620" t="s">
        <v>1672</v>
      </c>
      <c r="F100" s="4804"/>
      <c r="G100" s="4804"/>
      <c r="H100" s="480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8"/>
      <c r="E107" s="4818"/>
      <c r="F107" s="4818"/>
      <c r="G107" s="4818"/>
      <c r="H107" s="4818"/>
      <c r="I107" s="4818"/>
      <c r="J107" s="481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09" t="s">
        <v>6169</v>
      </c>
      <c r="F120" s="4809"/>
      <c r="G120" s="4809"/>
      <c r="H120" s="4809"/>
      <c r="I120" s="4809"/>
      <c r="J120" s="4809"/>
    </row>
    <row r="121" spans="1:10" ht="12" customHeight="1">
      <c r="C121" s="560" t="s">
        <v>2842</v>
      </c>
      <c r="D121" s="996"/>
      <c r="E121" s="4809"/>
      <c r="F121" s="4809"/>
      <c r="G121" s="4809"/>
      <c r="H121" s="4809"/>
      <c r="I121" s="4809"/>
      <c r="J121" s="4809"/>
    </row>
    <row r="122" spans="1:10" ht="12" customHeight="1">
      <c r="C122" s="560" t="s">
        <v>2843</v>
      </c>
      <c r="D122" s="996"/>
      <c r="E122" s="4809"/>
      <c r="F122" s="4809"/>
      <c r="G122" s="4809"/>
      <c r="H122" s="4809"/>
      <c r="I122" s="4809"/>
      <c r="J122" s="4809"/>
    </row>
    <row r="123" spans="1:10" ht="12" customHeight="1">
      <c r="C123" s="560" t="s">
        <v>2843</v>
      </c>
      <c r="D123" s="996"/>
      <c r="E123" s="4809"/>
      <c r="F123" s="4809"/>
      <c r="G123" s="4809"/>
      <c r="H123" s="4809"/>
      <c r="I123" s="4809"/>
      <c r="J123" s="480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1038942.75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2217</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810"/>
      <c r="F166" s="4810"/>
      <c r="G166" s="4810"/>
      <c r="I166" s="560"/>
    </row>
    <row r="167" spans="1:9" ht="3" customHeight="1">
      <c r="E167" s="560"/>
      <c r="G167" s="560"/>
      <c r="I167" s="560"/>
    </row>
    <row r="168" spans="1:9" ht="12" customHeight="1">
      <c r="A168" s="432" t="s">
        <v>2866</v>
      </c>
      <c r="C168" s="432" t="s">
        <v>2867</v>
      </c>
      <c r="E168" s="632">
        <f>'Preview term'!F74</f>
        <v>1156044.7637490751</v>
      </c>
      <c r="G168" s="560"/>
      <c r="I168" s="560"/>
    </row>
    <row r="169" spans="1:9" ht="12" customHeight="1">
      <c r="C169" s="432" t="s">
        <v>3116</v>
      </c>
      <c r="E169" s="4810"/>
      <c r="F169" s="4810"/>
      <c r="G169" s="481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52500</v>
      </c>
      <c r="F174" s="560" t="s">
        <v>2871</v>
      </c>
    </row>
    <row r="175" spans="1:9">
      <c r="E175" s="632">
        <f>E174/12</f>
        <v>4375</v>
      </c>
      <c r="F175" s="560" t="s">
        <v>2736</v>
      </c>
    </row>
    <row r="176" spans="1:9" ht="12" customHeight="1">
      <c r="C176" s="432" t="s">
        <v>3117</v>
      </c>
      <c r="E176" s="4810"/>
      <c r="F176" s="4810"/>
      <c r="G176" s="481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0"/>
      <c r="G181" s="4810"/>
      <c r="H181" s="4810"/>
      <c r="I181" s="4810"/>
      <c r="J181" s="4810"/>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241879.5</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808">
        <f>'Part VII-Threshold Criteria OLD'!E372</f>
        <v>0</v>
      </c>
      <c r="G199" s="4808"/>
      <c r="H199" s="4808"/>
      <c r="I199" s="4808"/>
      <c r="J199" s="4808"/>
    </row>
    <row r="200" spans="1:10" ht="9" customHeight="1">
      <c r="G200" s="560"/>
      <c r="H200" s="560"/>
      <c r="I200" s="560"/>
    </row>
    <row r="201" spans="1:10" ht="12" customHeight="1">
      <c r="A201" s="634" t="s">
        <v>2961</v>
      </c>
      <c r="G201" s="560"/>
      <c r="H201" s="560"/>
      <c r="I201" s="625"/>
    </row>
    <row r="202" spans="1:10" ht="25.5" hidden="1" customHeight="1">
      <c r="A202" s="4813" t="str">
        <f>'Subsidy Layering Memo'!A105</f>
        <v>Include any reserve requirements; explain any reserves far in excess of 6 month ODR, 3 mo lease up, 1 year RR, 6 mo T&amp;I standards.</v>
      </c>
      <c r="B202" s="4813"/>
      <c r="C202" s="4813"/>
      <c r="D202" s="4813"/>
      <c r="E202" s="4813"/>
      <c r="F202" s="4813"/>
      <c r="G202" s="4813"/>
      <c r="H202" s="4813"/>
      <c r="I202" s="4813"/>
      <c r="J202" s="4813"/>
    </row>
    <row r="203" spans="1:10">
      <c r="A203" s="560"/>
      <c r="G203" s="560"/>
      <c r="H203" s="560"/>
      <c r="I203" s="560"/>
    </row>
    <row r="204" spans="1:10" s="516" customFormat="1" ht="15">
      <c r="A204" s="522" t="s">
        <v>6153</v>
      </c>
    </row>
    <row r="205" spans="1:10" s="516" customFormat="1" ht="14.25" customHeight="1">
      <c r="A205" s="47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0"/>
      <c r="C205" s="4780"/>
      <c r="D205" s="4780"/>
      <c r="E205" s="4780"/>
      <c r="F205" s="4780"/>
      <c r="G205" s="4780"/>
      <c r="H205" s="4780"/>
      <c r="I205" s="4780"/>
      <c r="J205" s="4780"/>
    </row>
    <row r="206" spans="1:10" s="516" customFormat="1" ht="14.25" customHeight="1">
      <c r="A206" s="4780"/>
      <c r="B206" s="4780"/>
      <c r="C206" s="4780"/>
      <c r="D206" s="4780"/>
      <c r="E206" s="4780"/>
      <c r="F206" s="4780"/>
      <c r="G206" s="4780"/>
      <c r="H206" s="4780"/>
      <c r="I206" s="4780"/>
      <c r="J206" s="4780"/>
    </row>
    <row r="207" spans="1:10" s="516" customFormat="1" ht="6.75" customHeight="1">
      <c r="A207" s="4780"/>
      <c r="B207" s="4780"/>
      <c r="C207" s="4780"/>
      <c r="D207" s="4780"/>
      <c r="E207" s="4780"/>
      <c r="F207" s="4780"/>
      <c r="G207" s="4780"/>
      <c r="H207" s="4780"/>
      <c r="I207" s="4780"/>
      <c r="J207" s="4780"/>
    </row>
    <row r="208" spans="1:10" s="516" customFormat="1" ht="21.75" customHeight="1">
      <c r="A208" s="4780"/>
      <c r="B208" s="4780"/>
      <c r="C208" s="4780"/>
      <c r="D208" s="4780"/>
      <c r="E208" s="4780"/>
      <c r="F208" s="4780"/>
      <c r="G208" s="4780"/>
      <c r="H208" s="4780"/>
      <c r="I208" s="4780"/>
      <c r="J208" s="4780"/>
    </row>
    <row r="209" spans="1:10" s="516" customFormat="1" ht="20.25" customHeight="1">
      <c r="A209" s="4780"/>
      <c r="B209" s="4780"/>
      <c r="C209" s="4780"/>
      <c r="D209" s="4780"/>
      <c r="E209" s="4780"/>
      <c r="F209" s="4780"/>
      <c r="G209" s="4780"/>
      <c r="H209" s="4780"/>
      <c r="I209" s="4780"/>
      <c r="J209" s="4780"/>
    </row>
    <row r="210" spans="1:10" s="516" customFormat="1" ht="54.75" customHeight="1">
      <c r="A210" s="4780"/>
      <c r="B210" s="4780"/>
      <c r="C210" s="4780"/>
      <c r="D210" s="4780"/>
      <c r="E210" s="4780"/>
      <c r="F210" s="4780"/>
      <c r="G210" s="4780"/>
      <c r="H210" s="4780"/>
      <c r="I210" s="4780"/>
      <c r="J210" s="4780"/>
    </row>
    <row r="211" spans="1:10" s="516" customFormat="1" ht="0.75" hidden="1" customHeight="1">
      <c r="A211" s="4780"/>
      <c r="B211" s="4780"/>
      <c r="C211" s="4780"/>
      <c r="D211" s="4780"/>
      <c r="E211" s="4780"/>
      <c r="F211" s="4780"/>
      <c r="G211" s="4780"/>
      <c r="H211" s="4780"/>
      <c r="I211" s="4780"/>
      <c r="J211" s="4780"/>
    </row>
    <row r="212" spans="1:10" s="516" customFormat="1" ht="3.75" hidden="1" customHeight="1">
      <c r="A212" s="4780"/>
      <c r="B212" s="4780"/>
      <c r="C212" s="4780"/>
      <c r="D212" s="4780"/>
      <c r="E212" s="4780"/>
      <c r="F212" s="4780"/>
      <c r="G212" s="4780"/>
      <c r="H212" s="4780"/>
      <c r="I212" s="4780"/>
      <c r="J212" s="4780"/>
    </row>
    <row r="213" spans="1:10" s="516" customFormat="1" ht="5.25" customHeight="1">
      <c r="A213" s="1251"/>
      <c r="B213" s="1251"/>
      <c r="C213" s="1251"/>
      <c r="D213" s="1251"/>
      <c r="E213" s="1251"/>
      <c r="F213" s="1251"/>
      <c r="G213" s="1251"/>
      <c r="H213" s="1251"/>
      <c r="I213" s="1251"/>
      <c r="J213" s="1251"/>
    </row>
    <row r="214" spans="1:10" s="516" customFormat="1" ht="19.5" customHeight="1">
      <c r="A214" s="4779" t="s">
        <v>6156</v>
      </c>
      <c r="B214" s="4779"/>
      <c r="C214" s="4779"/>
      <c r="D214" s="1249"/>
      <c r="E214" s="1249"/>
      <c r="F214" s="1249"/>
      <c r="G214" s="1249"/>
      <c r="H214" s="1249"/>
      <c r="I214" s="1249"/>
      <c r="J214" s="1249"/>
    </row>
    <row r="215" spans="1:10" s="516" customFormat="1" ht="22.5" customHeight="1">
      <c r="A215" s="4764" t="str">
        <f>'Subsidy Layering Memo'!A37</f>
        <v>1)</v>
      </c>
      <c r="B215" s="4764"/>
      <c r="C215" s="4764"/>
      <c r="D215" s="4764"/>
      <c r="E215" s="4764"/>
      <c r="F215" s="4764"/>
      <c r="G215" s="4764"/>
      <c r="H215" s="4764"/>
      <c r="I215" s="4764"/>
      <c r="J215" s="4764"/>
    </row>
    <row r="216" spans="1:10" s="516" customFormat="1" ht="22.5" customHeight="1">
      <c r="A216" s="4764" t="str">
        <f>'Subsidy Layering Memo'!A38</f>
        <v>2)</v>
      </c>
      <c r="B216" s="4764"/>
      <c r="C216" s="4764"/>
      <c r="D216" s="4764"/>
      <c r="E216" s="4764"/>
      <c r="F216" s="4764"/>
      <c r="G216" s="4764"/>
      <c r="H216" s="4764"/>
      <c r="I216" s="4764"/>
      <c r="J216" s="4764"/>
    </row>
    <row r="217" spans="1:10" s="516" customFormat="1" ht="22.5" customHeight="1">
      <c r="A217" s="4764" t="str">
        <f>'Subsidy Layering Memo'!A39</f>
        <v>3)</v>
      </c>
      <c r="B217" s="4764"/>
      <c r="C217" s="4764"/>
      <c r="D217" s="4764"/>
      <c r="E217" s="4764"/>
      <c r="F217" s="4764"/>
      <c r="G217" s="4764"/>
      <c r="H217" s="4764"/>
      <c r="I217" s="4764"/>
      <c r="J217" s="4764"/>
    </row>
    <row r="218" spans="1:10" s="516" customFormat="1" ht="22.5" customHeight="1">
      <c r="A218" s="4764" t="str">
        <f>'Subsidy Layering Memo'!A40</f>
        <v>4)</v>
      </c>
      <c r="B218" s="4764"/>
      <c r="C218" s="4764"/>
      <c r="D218" s="4764"/>
      <c r="E218" s="4764"/>
      <c r="F218" s="4764"/>
      <c r="G218" s="4764"/>
      <c r="H218" s="4764"/>
      <c r="I218" s="4764"/>
      <c r="J218" s="4764"/>
    </row>
    <row r="219" spans="1:10" s="516" customFormat="1" ht="22.5" customHeight="1">
      <c r="A219" s="4764" t="str">
        <f>'Subsidy Layering Memo'!A41</f>
        <v>5)</v>
      </c>
      <c r="B219" s="4764"/>
      <c r="C219" s="4764"/>
      <c r="D219" s="4764"/>
      <c r="E219" s="4764"/>
      <c r="F219" s="4764"/>
      <c r="G219" s="4764"/>
      <c r="H219" s="4764"/>
      <c r="I219" s="4764"/>
      <c r="J219" s="4764"/>
    </row>
    <row r="220" spans="1:10" s="516" customFormat="1" ht="22.5" customHeight="1">
      <c r="A220" s="4764" t="str">
        <f>'Subsidy Layering Memo'!A42</f>
        <v>6)</v>
      </c>
      <c r="B220" s="4764"/>
      <c r="C220" s="4764"/>
      <c r="D220" s="4764"/>
      <c r="E220" s="4764"/>
      <c r="F220" s="4764"/>
      <c r="G220" s="4764"/>
      <c r="H220" s="4764"/>
      <c r="I220" s="4764"/>
      <c r="J220" s="4764"/>
    </row>
    <row r="221" spans="1:10" s="516" customFormat="1" ht="22.5" customHeight="1">
      <c r="A221" s="4764" t="str">
        <f>'Subsidy Layering Memo'!A43</f>
        <v>7)</v>
      </c>
      <c r="B221" s="4764"/>
      <c r="C221" s="4764"/>
      <c r="D221" s="4764"/>
      <c r="E221" s="4764"/>
      <c r="F221" s="4764"/>
      <c r="G221" s="4764"/>
      <c r="H221" s="4764"/>
      <c r="I221" s="4764"/>
      <c r="J221" s="4764"/>
    </row>
    <row r="222" spans="1:10" s="516" customFormat="1" ht="22.5" customHeight="1">
      <c r="A222" s="4764" t="str">
        <f>'Subsidy Layering Memo'!A44</f>
        <v>8)</v>
      </c>
      <c r="B222" s="4764"/>
      <c r="C222" s="4764"/>
      <c r="D222" s="4764"/>
      <c r="E222" s="4764"/>
      <c r="F222" s="4764"/>
      <c r="G222" s="4764"/>
      <c r="H222" s="4764"/>
      <c r="I222" s="4764"/>
      <c r="J222" s="476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5" t="str">
        <f>'Part I-Project Identification'!F25</f>
        <v>Westbury</v>
      </c>
      <c r="E3" s="4196"/>
      <c r="F3" s="4196"/>
      <c r="G3" s="4196"/>
      <c r="H3" s="4196"/>
      <c r="I3" s="4196"/>
      <c r="J3" s="4849" t="s">
        <v>3970</v>
      </c>
      <c r="K3" s="4850"/>
    </row>
    <row r="4" spans="1:11" ht="15" customHeight="1">
      <c r="A4" s="1332" t="s">
        <v>3968</v>
      </c>
      <c r="B4" s="1333"/>
      <c r="C4" s="1334"/>
      <c r="D4" s="4845">
        <f>'Preview term'!$E$16</f>
        <v>0</v>
      </c>
      <c r="E4" s="4846"/>
      <c r="F4" s="4846"/>
      <c r="G4" s="4846"/>
      <c r="H4" s="4846"/>
      <c r="I4" s="4846"/>
      <c r="J4" s="4201" t="s">
        <v>4009</v>
      </c>
      <c r="K4" s="4202"/>
    </row>
    <row r="5" spans="1:11" ht="15" customHeight="1" thickBot="1">
      <c r="A5" s="1335" t="s">
        <v>3969</v>
      </c>
      <c r="B5" s="1336"/>
      <c r="C5" s="1337"/>
      <c r="D5" s="4847"/>
      <c r="E5" s="4848"/>
      <c r="F5" s="4848"/>
      <c r="G5" s="4848"/>
      <c r="H5" s="4848"/>
      <c r="I5" s="4848"/>
      <c r="J5" s="4203"/>
      <c r="K5" s="4204"/>
    </row>
    <row r="6" spans="1:11" ht="9" customHeight="1" thickBot="1">
      <c r="E6" s="1327"/>
    </row>
    <row r="7" spans="1:11">
      <c r="A7" s="4213" t="s">
        <v>3971</v>
      </c>
      <c r="B7" s="4214"/>
      <c r="C7" s="4214"/>
      <c r="D7" s="4214"/>
      <c r="E7" s="4214"/>
      <c r="F7" s="4214"/>
      <c r="G7" s="4214"/>
      <c r="H7" s="4214"/>
      <c r="I7" s="4214"/>
      <c r="J7" s="4214"/>
      <c r="K7" s="4215"/>
    </row>
    <row r="8" spans="1:11" ht="14.25" customHeight="1">
      <c r="A8" s="1333"/>
      <c r="B8" s="1333"/>
      <c r="C8" s="1365">
        <v>1</v>
      </c>
      <c r="D8" s="1352" t="s">
        <v>3972</v>
      </c>
      <c r="E8" s="1352"/>
      <c r="F8" s="1352"/>
      <c r="G8" s="1352"/>
      <c r="H8" s="1352"/>
      <c r="I8" s="1352"/>
      <c r="J8" s="4826"/>
      <c r="K8" s="4827"/>
    </row>
    <row r="9" spans="1:11" ht="7.15" customHeight="1">
      <c r="A9" s="4150"/>
      <c r="B9" s="4150"/>
      <c r="C9" s="4150"/>
      <c r="D9" s="4151"/>
      <c r="E9" s="4151"/>
      <c r="F9" s="4151"/>
      <c r="G9" s="4151"/>
      <c r="H9" s="4151"/>
      <c r="I9" s="4151"/>
      <c r="J9" s="4151"/>
      <c r="K9" s="1353"/>
    </row>
    <row r="10" spans="1:11">
      <c r="A10" s="4216" t="s">
        <v>3973</v>
      </c>
      <c r="B10" s="4217"/>
      <c r="C10" s="4217"/>
      <c r="D10" s="4217"/>
      <c r="E10" s="4217"/>
      <c r="F10" s="4217"/>
      <c r="G10" s="4217"/>
      <c r="H10" s="4217"/>
      <c r="I10" s="4217"/>
      <c r="J10" s="4217"/>
      <c r="K10" s="4218"/>
    </row>
    <row r="11" spans="1:11" ht="14.25" customHeight="1">
      <c r="A11" s="1333"/>
      <c r="B11" s="1333"/>
      <c r="C11" s="1365">
        <v>2</v>
      </c>
      <c r="D11" s="1352" t="s">
        <v>3974</v>
      </c>
      <c r="E11" s="1354"/>
      <c r="F11" s="1354"/>
      <c r="G11" s="1354"/>
      <c r="H11" s="1354"/>
      <c r="I11" s="1354"/>
      <c r="J11" s="4824"/>
      <c r="K11" s="4825"/>
    </row>
    <row r="12" spans="1:11" ht="7.15" customHeight="1">
      <c r="A12" s="4150"/>
      <c r="B12" s="4150"/>
      <c r="C12" s="4150"/>
      <c r="D12" s="4151"/>
      <c r="E12" s="4151"/>
      <c r="F12" s="4151"/>
      <c r="G12" s="4151"/>
      <c r="H12" s="4151"/>
      <c r="I12" s="4151"/>
      <c r="J12" s="4151"/>
      <c r="K12" s="1355"/>
    </row>
    <row r="13" spans="1:11">
      <c r="A13" s="4216" t="s">
        <v>3975</v>
      </c>
      <c r="B13" s="4217"/>
      <c r="C13" s="4217"/>
      <c r="D13" s="4217"/>
      <c r="E13" s="4217"/>
      <c r="F13" s="4217"/>
      <c r="G13" s="4217"/>
      <c r="H13" s="4217"/>
      <c r="I13" s="4217"/>
      <c r="J13" s="4217"/>
      <c r="K13" s="4218"/>
    </row>
    <row r="14" spans="1:11" ht="14.25" customHeight="1">
      <c r="A14" s="1333"/>
      <c r="B14" s="1333"/>
      <c r="C14" s="1366">
        <v>3</v>
      </c>
      <c r="D14" s="1356" t="s">
        <v>3976</v>
      </c>
      <c r="E14" s="1356"/>
      <c r="F14" s="1356"/>
      <c r="G14" s="1356"/>
      <c r="H14" s="1356"/>
      <c r="I14" s="1356"/>
      <c r="J14" s="4822"/>
      <c r="K14" s="4823"/>
    </row>
    <row r="15" spans="1:11" ht="14.25" customHeight="1">
      <c r="A15" s="1333"/>
      <c r="B15" s="1333"/>
      <c r="C15" s="1367">
        <v>4</v>
      </c>
      <c r="D15" s="1333" t="s">
        <v>3977</v>
      </c>
      <c r="E15" s="1333"/>
      <c r="F15" s="1333"/>
      <c r="G15" s="1333"/>
      <c r="H15" s="1333"/>
      <c r="I15" s="1333"/>
      <c r="J15" s="4820"/>
      <c r="K15" s="4821"/>
    </row>
    <row r="16" spans="1:11" ht="14.25" customHeight="1">
      <c r="A16" s="1333"/>
      <c r="B16" s="1333"/>
      <c r="C16" s="1367">
        <v>5</v>
      </c>
      <c r="D16" s="1333" t="s">
        <v>3978</v>
      </c>
      <c r="E16" s="1333"/>
      <c r="F16" s="1333"/>
      <c r="G16" s="1333"/>
      <c r="H16" s="1333"/>
      <c r="I16" s="1333"/>
      <c r="J16" s="4820"/>
      <c r="K16" s="4821"/>
    </row>
    <row r="17" spans="1:13" ht="14.25" customHeight="1">
      <c r="A17" s="1333"/>
      <c r="B17" s="1333"/>
      <c r="C17" s="1368">
        <v>6</v>
      </c>
      <c r="D17" s="1336" t="s">
        <v>3979</v>
      </c>
      <c r="E17" s="1336"/>
      <c r="F17" s="1336"/>
      <c r="G17" s="1336"/>
      <c r="H17" s="1336"/>
      <c r="I17" s="1336"/>
      <c r="J17" s="4828"/>
      <c r="K17" s="4829"/>
    </row>
    <row r="18" spans="1:13" ht="7.15" customHeight="1">
      <c r="A18" s="4150"/>
      <c r="B18" s="4150"/>
      <c r="C18" s="4150"/>
      <c r="D18" s="4151"/>
      <c r="E18" s="4151"/>
      <c r="F18" s="4151"/>
      <c r="G18" s="4151"/>
      <c r="H18" s="4151"/>
      <c r="I18" s="4151"/>
      <c r="J18" s="4151"/>
      <c r="K18" s="1355"/>
    </row>
    <row r="19" spans="1:13" ht="14.25" customHeight="1">
      <c r="A19" s="1333"/>
      <c r="B19" s="1333"/>
      <c r="C19" s="1366">
        <v>7</v>
      </c>
      <c r="D19" s="1356" t="s">
        <v>3980</v>
      </c>
      <c r="E19" s="1356"/>
      <c r="F19" s="1356"/>
      <c r="G19" s="1356"/>
      <c r="H19" s="1356"/>
      <c r="I19" s="1356"/>
      <c r="J19" s="4144" t="str">
        <f>IF(J17="No",J14-J15,IF(J17="Yes",J14-J15-J16,"Error"))</f>
        <v>Error</v>
      </c>
      <c r="K19" s="4145"/>
    </row>
    <row r="20" spans="1:13" ht="14.25" customHeight="1">
      <c r="A20" s="1333"/>
      <c r="B20" s="1333"/>
      <c r="C20" s="1368">
        <v>8</v>
      </c>
      <c r="D20" s="1336" t="s">
        <v>3981</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365">
        <v>9</v>
      </c>
      <c r="D22" s="1357" t="s">
        <v>3982</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834" t="s">
        <v>3970</v>
      </c>
      <c r="C31" s="4834"/>
      <c r="D31" s="4834"/>
      <c r="E31" s="4834"/>
      <c r="F31" s="4834"/>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92" t="s">
        <v>3989</v>
      </c>
      <c r="M32" s="4192"/>
    </row>
    <row r="33" spans="2:14" ht="12.75" customHeight="1">
      <c r="B33" s="1494"/>
      <c r="C33" s="1495"/>
      <c r="D33" s="1496"/>
      <c r="E33" s="4843"/>
      <c r="F33" s="484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92"/>
      <c r="M34" s="4192"/>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92"/>
      <c r="M35" s="4192"/>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92"/>
      <c r="M36" s="4192"/>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92"/>
      <c r="M37" s="4192"/>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92"/>
      <c r="M38" s="4192"/>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92"/>
      <c r="M39" s="4192"/>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92"/>
      <c r="M40" s="4192"/>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92"/>
      <c r="M41" s="4192"/>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92"/>
      <c r="M42" s="4192"/>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92"/>
      <c r="M43" s="4192"/>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92"/>
      <c r="M44" s="4192"/>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92"/>
      <c r="M45" s="4192"/>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92"/>
      <c r="M46" s="4192"/>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92"/>
      <c r="M47" s="4192"/>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92"/>
      <c r="M48" s="4192"/>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92"/>
      <c r="M49" s="4192"/>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92"/>
      <c r="M50" s="4192"/>
    </row>
    <row r="51" spans="1:13" ht="12.75" customHeight="1" thickBot="1">
      <c r="B51" s="1500"/>
      <c r="C51" s="1501"/>
      <c r="D51" s="1502"/>
      <c r="E51" s="4830"/>
      <c r="F51" s="4831"/>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3990</v>
      </c>
      <c r="H52" s="1372" t="e">
        <f>SUM(H33:H51)</f>
        <v>#VALUE!</v>
      </c>
      <c r="I52" s="1356"/>
      <c r="J52" s="1362" t="s">
        <v>3991</v>
      </c>
      <c r="K52" s="1358" t="e">
        <f>SUM(K33:K51)</f>
        <v>#VALUE!</v>
      </c>
      <c r="L52" s="4192"/>
      <c r="M52" s="4192"/>
    </row>
    <row r="53" spans="1:13" ht="15" customHeight="1">
      <c r="B53" s="1363"/>
      <c r="C53" s="4178" t="s">
        <v>3992</v>
      </c>
      <c r="D53" s="4178"/>
      <c r="E53" s="4178"/>
      <c r="F53" s="4178"/>
      <c r="G53" s="4178"/>
      <c r="H53" s="4178"/>
      <c r="I53" s="4178"/>
      <c r="J53" s="4179"/>
      <c r="K53" s="1364" t="str">
        <f>IF(J17="no",0,IF(J17="yes",J16,"Error"))</f>
        <v>Error</v>
      </c>
      <c r="L53" s="4192"/>
      <c r="M53" s="4192"/>
    </row>
    <row r="54" spans="1:13" ht="15" customHeight="1" thickBot="1">
      <c r="B54" s="1363"/>
      <c r="C54" s="4180" t="s">
        <v>3993</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5" t="s">
        <v>4011</v>
      </c>
      <c r="F57" s="4166"/>
      <c r="G57" s="4839" t="s">
        <v>3996</v>
      </c>
      <c r="H57" s="4840"/>
      <c r="I57" s="4165" t="s">
        <v>4010</v>
      </c>
      <c r="J57" s="4166"/>
      <c r="K57" s="4169"/>
    </row>
    <row r="58" spans="1:13" ht="15" customHeight="1">
      <c r="A58" s="1465"/>
      <c r="B58" s="1381"/>
      <c r="C58" s="1359">
        <f>SUMIF(C33:C51, "0", H33:H51)</f>
        <v>0</v>
      </c>
      <c r="D58" s="1484">
        <f t="shared" ref="D58:D63" si="4">ROUNDUP(C58*1.1,0)</f>
        <v>0</v>
      </c>
      <c r="E58" s="4171" t="s">
        <v>3997</v>
      </c>
      <c r="F58" s="4172"/>
      <c r="G58" s="4841">
        <f>'DCA Underwriting Assumptions'!H129</f>
        <v>159753.60000000001</v>
      </c>
      <c r="H58" s="4842"/>
      <c r="I58" s="4173">
        <f t="shared" ref="I58:I63" si="5">D58*G58</f>
        <v>0</v>
      </c>
      <c r="J58" s="4173"/>
      <c r="K58" s="4170"/>
    </row>
    <row r="59" spans="1:13">
      <c r="A59" s="1465"/>
      <c r="B59" s="1381"/>
      <c r="C59" s="1360">
        <f>SUMIF(C33:C51, "1", H33:H51)</f>
        <v>0</v>
      </c>
      <c r="D59" s="1485">
        <f t="shared" si="4"/>
        <v>0</v>
      </c>
      <c r="E59" s="4157" t="s">
        <v>2462</v>
      </c>
      <c r="F59" s="4158"/>
      <c r="G59" s="4837">
        <f>'DCA Underwriting Assumptions'!H130</f>
        <v>183132</v>
      </c>
      <c r="H59" s="4838"/>
      <c r="I59" s="4161">
        <f t="shared" si="5"/>
        <v>0</v>
      </c>
      <c r="J59" s="4161"/>
      <c r="K59" s="4170"/>
    </row>
    <row r="60" spans="1:13" ht="15" customHeight="1">
      <c r="A60" s="1465"/>
      <c r="B60" s="1381"/>
      <c r="C60" s="1360">
        <f>SUMIF(C33:C51, "2", H33:H51)</f>
        <v>0</v>
      </c>
      <c r="D60" s="1485">
        <f t="shared" si="4"/>
        <v>0</v>
      </c>
      <c r="E60" s="4157" t="s">
        <v>2463</v>
      </c>
      <c r="F60" s="4158"/>
      <c r="G60" s="4837">
        <f>'DCA Underwriting Assumptions'!H131</f>
        <v>222693.6</v>
      </c>
      <c r="H60" s="4838"/>
      <c r="I60" s="4161">
        <f t="shared" si="5"/>
        <v>0</v>
      </c>
      <c r="J60" s="4161"/>
      <c r="K60" s="4170"/>
    </row>
    <row r="61" spans="1:13">
      <c r="A61" s="1465"/>
      <c r="B61" s="1381"/>
      <c r="C61" s="1360">
        <f>SUMIF(C33:C51, "3", H33:H51)</f>
        <v>0</v>
      </c>
      <c r="D61" s="1485">
        <f t="shared" si="4"/>
        <v>0</v>
      </c>
      <c r="E61" s="4157" t="s">
        <v>2466</v>
      </c>
      <c r="F61" s="4158"/>
      <c r="G61" s="4837">
        <f>'DCA Underwriting Assumptions'!H132</f>
        <v>288093.59999999998</v>
      </c>
      <c r="H61" s="4838"/>
      <c r="I61" s="4161">
        <f t="shared" si="5"/>
        <v>0</v>
      </c>
      <c r="J61" s="4161"/>
      <c r="K61" s="4170"/>
    </row>
    <row r="62" spans="1:13">
      <c r="A62" s="1465"/>
      <c r="B62" s="1381"/>
      <c r="C62" s="1360">
        <f>SUMIF(C33:C51, "4", H33:H51)</f>
        <v>0</v>
      </c>
      <c r="D62" s="1485">
        <f t="shared" si="4"/>
        <v>0</v>
      </c>
      <c r="E62" s="4157" t="s">
        <v>3998</v>
      </c>
      <c r="F62" s="4158"/>
      <c r="G62" s="4837">
        <f>'DCA Underwriting Assumptions'!H133</f>
        <v>316236</v>
      </c>
      <c r="H62" s="4838"/>
      <c r="I62" s="4161">
        <f t="shared" si="5"/>
        <v>0</v>
      </c>
      <c r="J62" s="4161"/>
      <c r="K62" s="4170"/>
    </row>
    <row r="63" spans="1:13">
      <c r="A63" s="1482"/>
      <c r="B63" s="1382"/>
      <c r="C63" s="1361">
        <f>SUMIF(C33:C51, "5", H33:H51)</f>
        <v>0</v>
      </c>
      <c r="D63" s="1486">
        <f t="shared" si="4"/>
        <v>0</v>
      </c>
      <c r="E63" s="4162" t="s">
        <v>3999</v>
      </c>
      <c r="F63" s="4163"/>
      <c r="G63" s="4835">
        <f>'DCA Underwriting Assumptions'!H133</f>
        <v>316236</v>
      </c>
      <c r="H63" s="4836"/>
      <c r="I63" s="4164">
        <f t="shared" si="5"/>
        <v>0</v>
      </c>
      <c r="J63" s="416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2"/>
      <c r="B65" s="4152"/>
      <c r="C65" s="4152"/>
      <c r="D65" s="4152"/>
      <c r="E65" s="4152"/>
      <c r="F65" s="4152"/>
      <c r="G65" s="4152"/>
      <c r="H65" s="4152"/>
      <c r="I65" s="4152"/>
      <c r="J65" s="4152"/>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6" t="s">
        <v>4006</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Westbury</v>
      </c>
    </row>
    <row r="2" spans="1:11">
      <c r="A2" s="560" t="s">
        <v>2882</v>
      </c>
      <c r="H2" s="432" t="str">
        <f>'Sensitivity Analysis'!E8</f>
        <v>2023-5</v>
      </c>
    </row>
    <row r="3" spans="1:11" ht="3" customHeight="1"/>
    <row r="4" spans="1:11" ht="51.75" customHeight="1">
      <c r="A4" s="4851" t="s">
        <v>2978</v>
      </c>
      <c r="B4" s="4851"/>
      <c r="C4" s="4851"/>
      <c r="D4" s="4851"/>
      <c r="E4" s="4851"/>
      <c r="F4" s="4851"/>
      <c r="G4" s="4851"/>
      <c r="H4" s="4851"/>
      <c r="J4" s="1009">
        <f>SUM('Part VI-Pro Forma'!B15:B17)/12</f>
        <v>221445.927</v>
      </c>
      <c r="K4" s="1008" t="s">
        <v>3663</v>
      </c>
    </row>
    <row r="5" spans="1:11" ht="1.5" customHeight="1"/>
    <row r="6" spans="1:11" ht="12.75" customHeight="1">
      <c r="B6" s="635" t="s">
        <v>2239</v>
      </c>
      <c r="C6" s="4851" t="s">
        <v>2883</v>
      </c>
      <c r="D6" s="4851"/>
      <c r="E6" s="4851"/>
      <c r="F6" s="4851"/>
      <c r="G6" s="4851"/>
      <c r="H6" s="4851"/>
    </row>
    <row r="7" spans="1:11" ht="12.75" customHeight="1">
      <c r="B7" s="635" t="s">
        <v>2240</v>
      </c>
      <c r="C7" s="4851" t="s">
        <v>2884</v>
      </c>
      <c r="D7" s="4851"/>
      <c r="E7" s="4851"/>
      <c r="F7" s="4851"/>
      <c r="G7" s="4851"/>
      <c r="H7" s="4851"/>
    </row>
    <row r="8" spans="1:11" ht="3" customHeight="1"/>
    <row r="9" spans="1:11">
      <c r="A9" s="432" t="s">
        <v>2885</v>
      </c>
    </row>
    <row r="10" spans="1:11" ht="1.5" customHeight="1"/>
    <row r="11" spans="1:11" ht="26.25" customHeight="1">
      <c r="A11" s="636" t="s">
        <v>1840</v>
      </c>
      <c r="B11" s="4855" t="s">
        <v>2975</v>
      </c>
      <c r="C11" s="4855"/>
      <c r="D11" s="4855"/>
      <c r="E11" s="4855"/>
      <c r="F11" s="4855"/>
      <c r="G11" s="4856">
        <f>'Part II-Sources of Funds'!I51+'Part II-Sources of Funds'!I52</f>
        <v>39523867.849445313</v>
      </c>
      <c r="H11" s="4856"/>
    </row>
    <row r="12" spans="1:11" ht="1.5" customHeight="1">
      <c r="G12" s="617"/>
      <c r="H12" s="617"/>
    </row>
    <row r="13" spans="1:11" ht="26.25" customHeight="1">
      <c r="A13" s="636" t="s">
        <v>1842</v>
      </c>
      <c r="B13" s="4855" t="s">
        <v>2976</v>
      </c>
      <c r="C13" s="4855"/>
      <c r="D13" s="4855"/>
      <c r="E13" s="4855"/>
      <c r="F13" s="4855"/>
      <c r="G13" s="4857" t="s">
        <v>2813</v>
      </c>
      <c r="H13" s="4857"/>
    </row>
    <row r="14" spans="1:11" ht="12" hidden="1" customHeight="1">
      <c r="A14" s="636"/>
      <c r="B14" s="4812"/>
      <c r="C14" s="4812"/>
      <c r="D14" s="4812"/>
      <c r="E14" s="4812"/>
      <c r="F14" s="4812"/>
      <c r="G14" s="4812"/>
      <c r="H14" s="4812"/>
    </row>
    <row r="15" spans="1:11" ht="1.5" customHeight="1"/>
    <row r="16" spans="1:11" ht="12" customHeight="1">
      <c r="A16" s="636" t="s">
        <v>698</v>
      </c>
      <c r="B16" s="432" t="s">
        <v>2979</v>
      </c>
      <c r="G16" s="4858" t="s">
        <v>2652</v>
      </c>
      <c r="H16" s="4858"/>
    </row>
    <row r="17" spans="1:8" ht="1.5" customHeight="1">
      <c r="G17" s="620"/>
    </row>
    <row r="18" spans="1:8" ht="12" customHeight="1">
      <c r="A18" s="636" t="s">
        <v>1961</v>
      </c>
      <c r="B18" s="617" t="s">
        <v>2977</v>
      </c>
      <c r="C18" s="636"/>
      <c r="D18" s="636"/>
      <c r="E18" s="636"/>
      <c r="G18" s="4812" t="s">
        <v>2514</v>
      </c>
      <c r="H18" s="4812"/>
    </row>
    <row r="19" spans="1:8" ht="12" hidden="1" customHeight="1">
      <c r="B19" s="4812"/>
      <c r="C19" s="4812"/>
      <c r="D19" s="4812"/>
      <c r="E19" s="4812"/>
      <c r="F19" s="4812"/>
      <c r="G19" s="4812"/>
      <c r="H19" s="4812"/>
    </row>
    <row r="20" spans="1:8" ht="13.5" customHeight="1"/>
    <row r="21" spans="1:8" ht="12" customHeight="1">
      <c r="A21" s="560" t="s">
        <v>2886</v>
      </c>
    </row>
    <row r="22" spans="1:8" ht="3" customHeight="1"/>
    <row r="23" spans="1:8" ht="24.75" customHeight="1">
      <c r="A23" s="4859" t="s">
        <v>4080</v>
      </c>
      <c r="B23" s="4859"/>
      <c r="C23" s="4859"/>
      <c r="D23" s="4859"/>
      <c r="E23" s="4859"/>
      <c r="F23" s="4859"/>
      <c r="G23" s="4859"/>
      <c r="H23" s="4859"/>
    </row>
    <row r="24" spans="1:8" ht="9" customHeight="1" thickBot="1">
      <c r="A24" s="611"/>
    </row>
    <row r="25" spans="1:8" ht="16.149999999999999" customHeight="1" thickBot="1">
      <c r="A25" s="4852">
        <v>20</v>
      </c>
      <c r="B25" s="4853"/>
      <c r="C25" s="1451" t="s">
        <v>975</v>
      </c>
    </row>
    <row r="26" spans="1:8" ht="9" customHeight="1">
      <c r="A26" s="611"/>
    </row>
    <row r="27" spans="1:8" ht="28.15" customHeight="1">
      <c r="A27" s="4851" t="s">
        <v>4085</v>
      </c>
      <c r="B27" s="4851"/>
      <c r="C27" s="4851"/>
      <c r="D27" s="4851"/>
      <c r="E27" s="4851"/>
      <c r="F27" s="4851"/>
      <c r="G27" s="4851"/>
      <c r="H27" s="4851"/>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1843</v>
      </c>
      <c r="E31" s="640"/>
      <c r="F31" s="4851" t="s">
        <v>2888</v>
      </c>
      <c r="G31" s="4851"/>
      <c r="H31" s="4851"/>
    </row>
    <row r="32" spans="1:8" ht="12.75" customHeight="1">
      <c r="C32" s="641" t="s">
        <v>1275</v>
      </c>
      <c r="D32" s="639" t="s">
        <v>1845</v>
      </c>
      <c r="E32" s="4851" t="s">
        <v>2985</v>
      </c>
      <c r="F32" s="4851"/>
      <c r="G32" s="4851"/>
      <c r="H32" s="4851"/>
    </row>
    <row r="33" spans="1:11" ht="12.75" customHeight="1">
      <c r="C33" s="1449" t="s">
        <v>4083</v>
      </c>
      <c r="E33" s="4851" t="s">
        <v>3122</v>
      </c>
      <c r="F33" s="4851"/>
      <c r="G33" s="4851"/>
      <c r="H33" s="4851"/>
    </row>
    <row r="34" spans="1:11" ht="12.75" customHeight="1">
      <c r="C34" s="1450"/>
      <c r="D34" s="1448" t="s">
        <v>2984</v>
      </c>
      <c r="E34" s="4854" t="s">
        <v>3123</v>
      </c>
      <c r="F34" s="4854"/>
      <c r="G34" s="4854"/>
      <c r="H34" s="4854"/>
    </row>
    <row r="35" spans="1:11" ht="3" customHeight="1">
      <c r="D35" s="639"/>
      <c r="E35" s="1025"/>
      <c r="F35" s="1025"/>
      <c r="G35" s="1025"/>
      <c r="H35" s="1025"/>
    </row>
    <row r="36" spans="1:11" ht="12.75" customHeight="1">
      <c r="C36" s="617" t="s">
        <v>2887</v>
      </c>
      <c r="D36" s="639" t="s">
        <v>1843</v>
      </c>
      <c r="E36" s="640"/>
      <c r="F36" s="636" t="s">
        <v>2888</v>
      </c>
      <c r="G36" s="636"/>
      <c r="H36" s="636"/>
    </row>
    <row r="37" spans="1:11" ht="12.75" customHeight="1">
      <c r="C37" s="641" t="s">
        <v>1275</v>
      </c>
      <c r="D37" s="639" t="s">
        <v>1845</v>
      </c>
      <c r="E37" s="4851" t="s">
        <v>2985</v>
      </c>
      <c r="F37" s="4851"/>
      <c r="G37" s="4851"/>
      <c r="H37" s="4851"/>
    </row>
    <row r="38" spans="1:11" ht="12.75" customHeight="1">
      <c r="C38" s="1449" t="s">
        <v>4083</v>
      </c>
      <c r="E38" s="4851" t="s">
        <v>3122</v>
      </c>
      <c r="F38" s="4851"/>
      <c r="G38" s="4851"/>
      <c r="H38" s="4851"/>
    </row>
    <row r="39" spans="1:11" ht="12.75" customHeight="1">
      <c r="C39" s="1450"/>
      <c r="D39" s="1448" t="s">
        <v>2984</v>
      </c>
      <c r="E39" s="4854" t="s">
        <v>3123</v>
      </c>
      <c r="F39" s="4854"/>
      <c r="G39" s="4854"/>
      <c r="H39" s="4854"/>
    </row>
    <row r="40" spans="1:11" ht="3" customHeight="1">
      <c r="D40" s="639"/>
      <c r="E40" s="1025"/>
      <c r="F40" s="1025"/>
      <c r="G40" s="1025"/>
      <c r="H40" s="1025"/>
    </row>
    <row r="41" spans="1:11" ht="12.75" customHeight="1">
      <c r="C41" s="617" t="s">
        <v>2887</v>
      </c>
      <c r="D41" s="639" t="s">
        <v>1843</v>
      </c>
      <c r="E41" s="640"/>
      <c r="F41" s="636" t="s">
        <v>2888</v>
      </c>
      <c r="G41" s="636"/>
      <c r="H41" s="636"/>
    </row>
    <row r="42" spans="1:11" ht="12.75" customHeight="1">
      <c r="C42" s="641" t="s">
        <v>1275</v>
      </c>
      <c r="D42" s="639" t="s">
        <v>1845</v>
      </c>
      <c r="E42" s="4851" t="s">
        <v>2985</v>
      </c>
      <c r="F42" s="4851"/>
      <c r="G42" s="4851"/>
      <c r="H42" s="4851"/>
    </row>
    <row r="43" spans="1:11" ht="12.75" customHeight="1">
      <c r="C43" s="1449" t="s">
        <v>4083</v>
      </c>
      <c r="E43" s="4851" t="s">
        <v>3122</v>
      </c>
      <c r="F43" s="4851"/>
      <c r="G43" s="4851"/>
      <c r="H43" s="4851"/>
    </row>
    <row r="44" spans="1:11" ht="12.75" customHeight="1">
      <c r="C44" s="1450"/>
      <c r="D44" s="1448" t="s">
        <v>2984</v>
      </c>
      <c r="E44" s="4854" t="s">
        <v>3123</v>
      </c>
      <c r="F44" s="4854"/>
      <c r="G44" s="4854"/>
      <c r="H44" s="485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1843</v>
      </c>
      <c r="E48" s="640"/>
      <c r="F48" s="636" t="s">
        <v>2888</v>
      </c>
      <c r="G48" s="636"/>
      <c r="H48" s="636"/>
      <c r="K48" s="610"/>
    </row>
    <row r="49" spans="1:11" ht="12.75" customHeight="1">
      <c r="C49" s="641" t="s">
        <v>1275</v>
      </c>
      <c r="D49" s="639" t="s">
        <v>1845</v>
      </c>
      <c r="E49" s="4851" t="s">
        <v>2985</v>
      </c>
      <c r="F49" s="4851"/>
      <c r="G49" s="4851"/>
      <c r="H49" s="4851"/>
      <c r="K49" s="610"/>
    </row>
    <row r="50" spans="1:11" ht="12.75" customHeight="1">
      <c r="C50" s="1449" t="s">
        <v>4083</v>
      </c>
      <c r="E50" s="4851" t="s">
        <v>3122</v>
      </c>
      <c r="F50" s="4851"/>
      <c r="G50" s="4851"/>
      <c r="H50" s="4851"/>
    </row>
    <row r="51" spans="1:11" ht="12.75" customHeight="1">
      <c r="C51" s="1450"/>
      <c r="D51" s="642" t="s">
        <v>2984</v>
      </c>
      <c r="E51" s="4851" t="s">
        <v>3123</v>
      </c>
      <c r="F51" s="4851"/>
      <c r="G51" s="4851"/>
      <c r="H51" s="4851"/>
    </row>
    <row r="52" spans="1:11" ht="3" customHeight="1">
      <c r="D52" s="639"/>
      <c r="E52" s="1025"/>
      <c r="F52" s="1025"/>
      <c r="G52" s="1025"/>
      <c r="H52" s="1025"/>
    </row>
    <row r="53" spans="1:11" ht="12.75" customHeight="1">
      <c r="C53" s="617" t="s">
        <v>2887</v>
      </c>
      <c r="D53" s="639" t="s">
        <v>1843</v>
      </c>
      <c r="E53" s="640"/>
      <c r="F53" s="636" t="s">
        <v>2888</v>
      </c>
      <c r="G53" s="636"/>
      <c r="H53" s="636"/>
    </row>
    <row r="54" spans="1:11" ht="12.75" customHeight="1">
      <c r="C54" s="641" t="s">
        <v>1275</v>
      </c>
      <c r="D54" s="639" t="s">
        <v>1845</v>
      </c>
      <c r="E54" s="4851" t="s">
        <v>2985</v>
      </c>
      <c r="F54" s="4851"/>
      <c r="G54" s="4851"/>
      <c r="H54" s="4851"/>
    </row>
    <row r="55" spans="1:11" ht="12.75" customHeight="1">
      <c r="C55" s="1449" t="s">
        <v>4083</v>
      </c>
      <c r="E55" s="4851" t="s">
        <v>3122</v>
      </c>
      <c r="F55" s="4851"/>
      <c r="G55" s="4851"/>
      <c r="H55" s="4851"/>
    </row>
    <row r="56" spans="1:11" ht="12.75" customHeight="1">
      <c r="C56" s="1450"/>
      <c r="D56" s="1448" t="s">
        <v>2984</v>
      </c>
      <c r="E56" s="4854" t="s">
        <v>3123</v>
      </c>
      <c r="F56" s="4854"/>
      <c r="G56" s="4854"/>
      <c r="H56" s="4854"/>
    </row>
    <row r="57" spans="1:11" ht="3" customHeight="1">
      <c r="D57" s="639"/>
      <c r="E57" s="1025"/>
      <c r="F57" s="1025"/>
      <c r="G57" s="1025"/>
      <c r="H57" s="1025"/>
    </row>
    <row r="58" spans="1:11" ht="12.75" customHeight="1">
      <c r="C58" s="617" t="s">
        <v>2887</v>
      </c>
      <c r="D58" s="639" t="s">
        <v>1843</v>
      </c>
      <c r="E58" s="640"/>
      <c r="F58" s="636" t="s">
        <v>2888</v>
      </c>
      <c r="G58" s="636"/>
      <c r="H58" s="636"/>
    </row>
    <row r="59" spans="1:11" ht="12.75" customHeight="1">
      <c r="C59" s="641" t="s">
        <v>1275</v>
      </c>
      <c r="D59" s="639" t="s">
        <v>1845</v>
      </c>
      <c r="E59" s="4851" t="s">
        <v>2985</v>
      </c>
      <c r="F59" s="4851"/>
      <c r="G59" s="4851"/>
      <c r="H59" s="4851"/>
    </row>
    <row r="60" spans="1:11" ht="12.75" customHeight="1">
      <c r="C60" s="1449" t="s">
        <v>4083</v>
      </c>
      <c r="E60" s="4851" t="s">
        <v>3122</v>
      </c>
      <c r="F60" s="4851"/>
      <c r="G60" s="4851"/>
      <c r="H60" s="4851"/>
    </row>
    <row r="61" spans="1:11" ht="12.75" customHeight="1">
      <c r="C61" s="1450"/>
      <c r="D61" s="1448" t="s">
        <v>2984</v>
      </c>
      <c r="E61" s="4854" t="s">
        <v>3123</v>
      </c>
      <c r="F61" s="4854"/>
      <c r="G61" s="4854"/>
      <c r="H61" s="485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1843</v>
      </c>
      <c r="E65" s="640"/>
      <c r="F65" s="636" t="s">
        <v>2888</v>
      </c>
      <c r="G65" s="636"/>
      <c r="H65" s="636"/>
    </row>
    <row r="66" spans="1:8" ht="12.75" customHeight="1">
      <c r="C66" s="641" t="s">
        <v>1275</v>
      </c>
      <c r="D66" s="639" t="s">
        <v>1845</v>
      </c>
      <c r="E66" s="4851" t="s">
        <v>2985</v>
      </c>
      <c r="F66" s="4851"/>
      <c r="G66" s="4851"/>
      <c r="H66" s="4851"/>
    </row>
    <row r="67" spans="1:8" ht="12.75" customHeight="1">
      <c r="C67" s="1449" t="s">
        <v>4083</v>
      </c>
      <c r="E67" s="4851" t="s">
        <v>3122</v>
      </c>
      <c r="F67" s="4851"/>
      <c r="G67" s="4851"/>
      <c r="H67" s="4851"/>
    </row>
    <row r="68" spans="1:8" ht="12.75" customHeight="1">
      <c r="C68" s="1450"/>
      <c r="D68" s="642" t="s">
        <v>2984</v>
      </c>
      <c r="E68" s="4851" t="s">
        <v>3123</v>
      </c>
      <c r="F68" s="4851"/>
      <c r="G68" s="4851"/>
      <c r="H68" s="4851"/>
    </row>
    <row r="69" spans="1:8" ht="3" customHeight="1">
      <c r="D69" s="639"/>
      <c r="E69" s="1025"/>
      <c r="F69" s="1025"/>
      <c r="G69" s="1025"/>
      <c r="H69" s="1025"/>
    </row>
    <row r="70" spans="1:8" ht="12.75" customHeight="1">
      <c r="C70" s="617" t="s">
        <v>2887</v>
      </c>
      <c r="D70" s="639" t="s">
        <v>1843</v>
      </c>
      <c r="E70" s="640"/>
      <c r="F70" s="636" t="s">
        <v>2888</v>
      </c>
      <c r="G70" s="636"/>
      <c r="H70" s="636"/>
    </row>
    <row r="71" spans="1:8" ht="12.75" customHeight="1">
      <c r="C71" s="641" t="s">
        <v>1275</v>
      </c>
      <c r="D71" s="639" t="s">
        <v>1845</v>
      </c>
      <c r="E71" s="4851" t="s">
        <v>2985</v>
      </c>
      <c r="F71" s="4851"/>
      <c r="G71" s="4851"/>
      <c r="H71" s="4851"/>
    </row>
    <row r="72" spans="1:8" ht="12.75" customHeight="1">
      <c r="C72" s="1449" t="s">
        <v>4083</v>
      </c>
      <c r="E72" s="4851" t="s">
        <v>3122</v>
      </c>
      <c r="F72" s="4851"/>
      <c r="G72" s="4851"/>
      <c r="H72" s="4851"/>
    </row>
    <row r="73" spans="1:8" ht="12.75" customHeight="1">
      <c r="C73" s="1450"/>
      <c r="D73" s="1448" t="s">
        <v>2984</v>
      </c>
      <c r="E73" s="4854" t="s">
        <v>3123</v>
      </c>
      <c r="F73" s="4854"/>
      <c r="G73" s="4854"/>
      <c r="H73" s="4854"/>
    </row>
    <row r="74" spans="1:8" ht="3" customHeight="1">
      <c r="D74" s="639"/>
      <c r="E74" s="1025"/>
      <c r="F74" s="1025"/>
      <c r="G74" s="1025"/>
      <c r="H74" s="1025"/>
    </row>
    <row r="75" spans="1:8" ht="12.75" customHeight="1">
      <c r="C75" s="617" t="s">
        <v>2887</v>
      </c>
      <c r="D75" s="639" t="s">
        <v>1843</v>
      </c>
      <c r="E75" s="640"/>
      <c r="F75" s="636" t="s">
        <v>2888</v>
      </c>
      <c r="G75" s="636"/>
      <c r="H75" s="636"/>
    </row>
    <row r="76" spans="1:8" ht="12.75" customHeight="1">
      <c r="C76" s="641" t="s">
        <v>1275</v>
      </c>
      <c r="D76" s="639" t="s">
        <v>1845</v>
      </c>
      <c r="E76" s="4851" t="s">
        <v>2985</v>
      </c>
      <c r="F76" s="4851"/>
      <c r="G76" s="4851"/>
      <c r="H76" s="4851"/>
    </row>
    <row r="77" spans="1:8" ht="12.75" customHeight="1">
      <c r="C77" s="1449" t="s">
        <v>4083</v>
      </c>
      <c r="E77" s="4851" t="s">
        <v>3122</v>
      </c>
      <c r="F77" s="4851"/>
      <c r="G77" s="4851"/>
      <c r="H77" s="4851"/>
    </row>
    <row r="78" spans="1:8" ht="12.75" customHeight="1">
      <c r="C78" s="1450"/>
      <c r="D78" s="1448" t="s">
        <v>2984</v>
      </c>
      <c r="E78" s="4854" t="s">
        <v>3123</v>
      </c>
      <c r="F78" s="4854"/>
      <c r="G78" s="4854"/>
      <c r="H78" s="4854"/>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1843</v>
      </c>
      <c r="E82" s="640"/>
      <c r="F82" s="636" t="s">
        <v>2888</v>
      </c>
      <c r="G82" s="636"/>
      <c r="H82" s="636"/>
    </row>
    <row r="83" spans="3:8" ht="12.75" customHeight="1">
      <c r="C83" s="641" t="s">
        <v>1275</v>
      </c>
      <c r="D83" s="639" t="s">
        <v>1845</v>
      </c>
      <c r="E83" s="4851" t="s">
        <v>2985</v>
      </c>
      <c r="F83" s="4851"/>
      <c r="G83" s="4851"/>
      <c r="H83" s="4851"/>
    </row>
    <row r="84" spans="3:8" ht="12.75" customHeight="1">
      <c r="C84" s="1449" t="s">
        <v>4083</v>
      </c>
      <c r="E84" s="4851" t="s">
        <v>3122</v>
      </c>
      <c r="F84" s="4851"/>
      <c r="G84" s="4851"/>
      <c r="H84" s="4851"/>
    </row>
    <row r="85" spans="3:8" ht="12.75" customHeight="1">
      <c r="C85" s="1450"/>
      <c r="D85" s="642" t="s">
        <v>2984</v>
      </c>
      <c r="E85" s="4851" t="s">
        <v>3123</v>
      </c>
      <c r="F85" s="4851"/>
      <c r="G85" s="4851"/>
      <c r="H85" s="4851"/>
    </row>
    <row r="86" spans="3:8" ht="3" customHeight="1">
      <c r="D86" s="639"/>
      <c r="E86" s="1025"/>
      <c r="F86" s="1025"/>
      <c r="G86" s="1025"/>
      <c r="H86" s="1025"/>
    </row>
    <row r="87" spans="3:8" ht="12.75" customHeight="1">
      <c r="C87" s="617" t="s">
        <v>2887</v>
      </c>
      <c r="D87" s="639" t="s">
        <v>1843</v>
      </c>
      <c r="E87" s="640"/>
      <c r="F87" s="636" t="s">
        <v>2888</v>
      </c>
      <c r="G87" s="636"/>
      <c r="H87" s="636"/>
    </row>
    <row r="88" spans="3:8" ht="12.75" customHeight="1">
      <c r="C88" s="641" t="s">
        <v>1275</v>
      </c>
      <c r="D88" s="639" t="s">
        <v>1845</v>
      </c>
      <c r="E88" s="4851" t="s">
        <v>2985</v>
      </c>
      <c r="F88" s="4851"/>
      <c r="G88" s="4851"/>
      <c r="H88" s="4851"/>
    </row>
    <row r="89" spans="3:8" ht="12.75" customHeight="1">
      <c r="C89" s="1449" t="s">
        <v>4083</v>
      </c>
      <c r="E89" s="4851" t="s">
        <v>3122</v>
      </c>
      <c r="F89" s="4851"/>
      <c r="G89" s="4851"/>
      <c r="H89" s="4851"/>
    </row>
    <row r="90" spans="3:8" ht="12.75" customHeight="1">
      <c r="C90" s="1450"/>
      <c r="D90" s="1448" t="s">
        <v>2984</v>
      </c>
      <c r="E90" s="4854" t="s">
        <v>3123</v>
      </c>
      <c r="F90" s="4854"/>
      <c r="G90" s="4854"/>
      <c r="H90" s="4854"/>
    </row>
    <row r="91" spans="3:8" ht="3" customHeight="1">
      <c r="D91" s="639"/>
      <c r="E91" s="1025"/>
      <c r="F91" s="1025"/>
      <c r="G91" s="1025"/>
      <c r="H91" s="1025"/>
    </row>
    <row r="92" spans="3:8" ht="12.75" customHeight="1">
      <c r="C92" s="617" t="s">
        <v>2887</v>
      </c>
      <c r="D92" s="639" t="s">
        <v>1843</v>
      </c>
      <c r="E92" s="640"/>
      <c r="F92" s="636" t="s">
        <v>2888</v>
      </c>
      <c r="G92" s="636"/>
      <c r="H92" s="636"/>
    </row>
    <row r="93" spans="3:8" ht="12.75" customHeight="1">
      <c r="C93" s="641" t="s">
        <v>1275</v>
      </c>
      <c r="D93" s="639" t="s">
        <v>1845</v>
      </c>
      <c r="E93" s="4851" t="s">
        <v>2985</v>
      </c>
      <c r="F93" s="4851"/>
      <c r="G93" s="4851"/>
      <c r="H93" s="4851"/>
    </row>
    <row r="94" spans="3:8" ht="12.75" customHeight="1">
      <c r="C94" s="1449" t="s">
        <v>4083</v>
      </c>
      <c r="E94" s="4851" t="s">
        <v>3122</v>
      </c>
      <c r="F94" s="4851"/>
      <c r="G94" s="4851"/>
      <c r="H94" s="4851"/>
    </row>
    <row r="95" spans="3:8" ht="12.75" customHeight="1">
      <c r="C95" s="1450"/>
      <c r="D95" s="1448" t="s">
        <v>2984</v>
      </c>
      <c r="E95" s="4854" t="s">
        <v>3123</v>
      </c>
      <c r="F95" s="4854"/>
      <c r="G95" s="4854"/>
      <c r="H95" s="4854"/>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1843</v>
      </c>
      <c r="E99" s="640"/>
      <c r="F99" s="4851" t="s">
        <v>2888</v>
      </c>
      <c r="G99" s="4851"/>
      <c r="H99" s="4851"/>
      <c r="K99" s="432" t="s">
        <v>233</v>
      </c>
    </row>
    <row r="100" spans="1:11" ht="12.75" customHeight="1">
      <c r="C100" s="641" t="s">
        <v>1275</v>
      </c>
      <c r="D100" s="639" t="s">
        <v>1845</v>
      </c>
      <c r="E100" s="4851" t="s">
        <v>2986</v>
      </c>
      <c r="F100" s="4851"/>
      <c r="G100" s="4851"/>
      <c r="H100" s="4851"/>
    </row>
    <row r="101" spans="1:11" ht="12.75" customHeight="1">
      <c r="E101" s="4851" t="s">
        <v>3122</v>
      </c>
      <c r="F101" s="4851"/>
      <c r="G101" s="4851"/>
      <c r="H101" s="4851"/>
    </row>
    <row r="102" spans="1:11" ht="12.75" customHeight="1">
      <c r="D102" s="642" t="s">
        <v>2984</v>
      </c>
      <c r="E102" s="4851" t="s">
        <v>3123</v>
      </c>
      <c r="F102" s="4851"/>
      <c r="G102" s="4851"/>
      <c r="H102" s="4851"/>
    </row>
    <row r="103" spans="1:11" ht="9" customHeight="1" thickBot="1"/>
    <row r="104" spans="1:11" ht="16.149999999999999" customHeight="1" thickBot="1">
      <c r="A104" s="4852">
        <v>30</v>
      </c>
      <c r="B104" s="4853"/>
      <c r="C104" s="1451" t="s">
        <v>975</v>
      </c>
    </row>
    <row r="105" spans="1:11" ht="9" customHeight="1">
      <c r="A105" s="611"/>
    </row>
    <row r="106" spans="1:11" ht="28.15" customHeight="1">
      <c r="A106" s="4851" t="s">
        <v>4086</v>
      </c>
      <c r="B106" s="4851"/>
      <c r="C106" s="4851"/>
      <c r="D106" s="4851"/>
      <c r="E106" s="4851"/>
      <c r="F106" s="4851"/>
      <c r="G106" s="4851"/>
      <c r="H106" s="4851"/>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1843</v>
      </c>
      <c r="E110" s="640"/>
      <c r="F110" s="4851" t="s">
        <v>2888</v>
      </c>
      <c r="G110" s="4851"/>
      <c r="H110" s="4851"/>
    </row>
    <row r="111" spans="1:11" ht="12.75" customHeight="1">
      <c r="C111" s="641" t="s">
        <v>1275</v>
      </c>
      <c r="D111" s="639" t="s">
        <v>1845</v>
      </c>
      <c r="E111" s="4851" t="s">
        <v>2985</v>
      </c>
      <c r="F111" s="4851"/>
      <c r="G111" s="4851"/>
      <c r="H111" s="4851"/>
    </row>
    <row r="112" spans="1:11" ht="12.75" customHeight="1">
      <c r="C112" s="1449" t="s">
        <v>4083</v>
      </c>
      <c r="E112" s="4851" t="s">
        <v>3122</v>
      </c>
      <c r="F112" s="4851"/>
      <c r="G112" s="4851"/>
      <c r="H112" s="4851"/>
    </row>
    <row r="113" spans="1:8" ht="12.75" customHeight="1">
      <c r="C113" s="1450"/>
      <c r="D113" s="1448" t="s">
        <v>2984</v>
      </c>
      <c r="E113" s="4854" t="s">
        <v>3123</v>
      </c>
      <c r="F113" s="4854"/>
      <c r="G113" s="4854"/>
      <c r="H113" s="4854"/>
    </row>
    <row r="114" spans="1:8" ht="3" customHeight="1">
      <c r="D114" s="639"/>
      <c r="E114" s="1025"/>
      <c r="F114" s="1025"/>
      <c r="G114" s="1025"/>
      <c r="H114" s="1025"/>
    </row>
    <row r="115" spans="1:8" ht="12.75" customHeight="1">
      <c r="C115" s="617" t="s">
        <v>2887</v>
      </c>
      <c r="D115" s="639" t="s">
        <v>1843</v>
      </c>
      <c r="E115" s="640"/>
      <c r="F115" s="636" t="s">
        <v>2888</v>
      </c>
      <c r="G115" s="636"/>
      <c r="H115" s="636"/>
    </row>
    <row r="116" spans="1:8" ht="12.75" customHeight="1">
      <c r="C116" s="641" t="s">
        <v>1275</v>
      </c>
      <c r="D116" s="639" t="s">
        <v>1845</v>
      </c>
      <c r="E116" s="4851" t="s">
        <v>2985</v>
      </c>
      <c r="F116" s="4851"/>
      <c r="G116" s="4851"/>
      <c r="H116" s="4851"/>
    </row>
    <row r="117" spans="1:8" ht="12.75" customHeight="1">
      <c r="C117" s="1449" t="s">
        <v>4083</v>
      </c>
      <c r="E117" s="4851" t="s">
        <v>3122</v>
      </c>
      <c r="F117" s="4851"/>
      <c r="G117" s="4851"/>
      <c r="H117" s="4851"/>
    </row>
    <row r="118" spans="1:8" ht="12.75" customHeight="1">
      <c r="C118" s="1450"/>
      <c r="D118" s="1448" t="s">
        <v>2984</v>
      </c>
      <c r="E118" s="4854" t="s">
        <v>3123</v>
      </c>
      <c r="F118" s="4854"/>
      <c r="G118" s="4854"/>
      <c r="H118" s="4854"/>
    </row>
    <row r="119" spans="1:8" ht="3" customHeight="1">
      <c r="D119" s="639"/>
      <c r="E119" s="1025"/>
      <c r="F119" s="1025"/>
      <c r="G119" s="1025"/>
      <c r="H119" s="1025"/>
    </row>
    <row r="120" spans="1:8" ht="12.75" customHeight="1">
      <c r="C120" s="617" t="s">
        <v>2887</v>
      </c>
      <c r="D120" s="639" t="s">
        <v>1843</v>
      </c>
      <c r="E120" s="640"/>
      <c r="F120" s="636" t="s">
        <v>2888</v>
      </c>
      <c r="G120" s="636"/>
      <c r="H120" s="636"/>
    </row>
    <row r="121" spans="1:8" ht="12.75" customHeight="1">
      <c r="C121" s="641" t="s">
        <v>1275</v>
      </c>
      <c r="D121" s="639" t="s">
        <v>1845</v>
      </c>
      <c r="E121" s="4851" t="s">
        <v>2985</v>
      </c>
      <c r="F121" s="4851"/>
      <c r="G121" s="4851"/>
      <c r="H121" s="4851"/>
    </row>
    <row r="122" spans="1:8" ht="12.75" customHeight="1">
      <c r="C122" s="1449" t="s">
        <v>4083</v>
      </c>
      <c r="E122" s="4851" t="s">
        <v>3122</v>
      </c>
      <c r="F122" s="4851"/>
      <c r="G122" s="4851"/>
      <c r="H122" s="4851"/>
    </row>
    <row r="123" spans="1:8" ht="12.75" customHeight="1">
      <c r="C123" s="1450"/>
      <c r="D123" s="1448" t="s">
        <v>2984</v>
      </c>
      <c r="E123" s="4854" t="s">
        <v>3123</v>
      </c>
      <c r="F123" s="4854"/>
      <c r="G123" s="4854"/>
      <c r="H123" s="485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1843</v>
      </c>
      <c r="E127" s="640"/>
      <c r="F127" s="636" t="s">
        <v>2888</v>
      </c>
      <c r="G127" s="636"/>
      <c r="H127" s="636"/>
    </row>
    <row r="128" spans="1:8" ht="12.75" customHeight="1">
      <c r="C128" s="641" t="s">
        <v>1275</v>
      </c>
      <c r="D128" s="639" t="s">
        <v>1845</v>
      </c>
      <c r="E128" s="4851" t="s">
        <v>2985</v>
      </c>
      <c r="F128" s="4851"/>
      <c r="G128" s="4851"/>
      <c r="H128" s="4851"/>
    </row>
    <row r="129" spans="1:8" ht="12.75" customHeight="1">
      <c r="C129" s="1449" t="s">
        <v>4083</v>
      </c>
      <c r="E129" s="4851" t="s">
        <v>3122</v>
      </c>
      <c r="F129" s="4851"/>
      <c r="G129" s="4851"/>
      <c r="H129" s="4851"/>
    </row>
    <row r="130" spans="1:8" ht="12.75" customHeight="1">
      <c r="C130" s="1450"/>
      <c r="D130" s="642" t="s">
        <v>2984</v>
      </c>
      <c r="E130" s="4851" t="s">
        <v>3123</v>
      </c>
      <c r="F130" s="4851"/>
      <c r="G130" s="4851"/>
      <c r="H130" s="4851"/>
    </row>
    <row r="131" spans="1:8" ht="3" customHeight="1">
      <c r="D131" s="639"/>
      <c r="E131" s="1025"/>
      <c r="F131" s="1025"/>
      <c r="G131" s="1025"/>
      <c r="H131" s="1025"/>
    </row>
    <row r="132" spans="1:8" ht="12.75" customHeight="1">
      <c r="C132" s="617" t="s">
        <v>2887</v>
      </c>
      <c r="D132" s="639" t="s">
        <v>1843</v>
      </c>
      <c r="E132" s="640"/>
      <c r="F132" s="636" t="s">
        <v>2888</v>
      </c>
      <c r="G132" s="636"/>
      <c r="H132" s="636"/>
    </row>
    <row r="133" spans="1:8" ht="12.75" customHeight="1">
      <c r="C133" s="641" t="s">
        <v>1275</v>
      </c>
      <c r="D133" s="639" t="s">
        <v>1845</v>
      </c>
      <c r="E133" s="4851" t="s">
        <v>2985</v>
      </c>
      <c r="F133" s="4851"/>
      <c r="G133" s="4851"/>
      <c r="H133" s="4851"/>
    </row>
    <row r="134" spans="1:8" ht="12.75" customHeight="1">
      <c r="C134" s="1449" t="s">
        <v>4083</v>
      </c>
      <c r="E134" s="4851" t="s">
        <v>3122</v>
      </c>
      <c r="F134" s="4851"/>
      <c r="G134" s="4851"/>
      <c r="H134" s="4851"/>
    </row>
    <row r="135" spans="1:8" ht="12.75" customHeight="1">
      <c r="C135" s="1450"/>
      <c r="D135" s="1448" t="s">
        <v>2984</v>
      </c>
      <c r="E135" s="4854" t="s">
        <v>3123</v>
      </c>
      <c r="F135" s="4854"/>
      <c r="G135" s="4854"/>
      <c r="H135" s="4854"/>
    </row>
    <row r="136" spans="1:8" ht="3" customHeight="1">
      <c r="D136" s="639"/>
      <c r="E136" s="1025"/>
      <c r="F136" s="1025"/>
      <c r="G136" s="1025"/>
      <c r="H136" s="1025"/>
    </row>
    <row r="137" spans="1:8" ht="12.75" customHeight="1">
      <c r="C137" s="617" t="s">
        <v>2887</v>
      </c>
      <c r="D137" s="639" t="s">
        <v>1843</v>
      </c>
      <c r="E137" s="640"/>
      <c r="F137" s="636" t="s">
        <v>2888</v>
      </c>
      <c r="G137" s="636"/>
      <c r="H137" s="636"/>
    </row>
    <row r="138" spans="1:8" ht="12.75" customHeight="1">
      <c r="C138" s="641" t="s">
        <v>1275</v>
      </c>
      <c r="D138" s="639" t="s">
        <v>1845</v>
      </c>
      <c r="E138" s="4851" t="s">
        <v>2985</v>
      </c>
      <c r="F138" s="4851"/>
      <c r="G138" s="4851"/>
      <c r="H138" s="4851"/>
    </row>
    <row r="139" spans="1:8" ht="12.75" customHeight="1">
      <c r="C139" s="1449" t="s">
        <v>4083</v>
      </c>
      <c r="E139" s="4851" t="s">
        <v>3122</v>
      </c>
      <c r="F139" s="4851"/>
      <c r="G139" s="4851"/>
      <c r="H139" s="4851"/>
    </row>
    <row r="140" spans="1:8" ht="12.75" customHeight="1">
      <c r="C140" s="1450"/>
      <c r="D140" s="1448" t="s">
        <v>2984</v>
      </c>
      <c r="E140" s="4854" t="s">
        <v>3123</v>
      </c>
      <c r="F140" s="4854"/>
      <c r="G140" s="4854"/>
      <c r="H140" s="485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1843</v>
      </c>
      <c r="E144" s="640"/>
      <c r="F144" s="636" t="s">
        <v>2888</v>
      </c>
      <c r="G144" s="636"/>
      <c r="H144" s="636"/>
    </row>
    <row r="145" spans="1:8" ht="12.75" customHeight="1">
      <c r="C145" s="641" t="s">
        <v>1275</v>
      </c>
      <c r="D145" s="639" t="s">
        <v>1845</v>
      </c>
      <c r="E145" s="4851" t="s">
        <v>2985</v>
      </c>
      <c r="F145" s="4851"/>
      <c r="G145" s="4851"/>
      <c r="H145" s="4851"/>
    </row>
    <row r="146" spans="1:8" ht="12.75" customHeight="1">
      <c r="C146" s="1449" t="s">
        <v>4083</v>
      </c>
      <c r="E146" s="4851" t="s">
        <v>3122</v>
      </c>
      <c r="F146" s="4851"/>
      <c r="G146" s="4851"/>
      <c r="H146" s="4851"/>
    </row>
    <row r="147" spans="1:8" ht="12.75" customHeight="1">
      <c r="C147" s="1450"/>
      <c r="D147" s="642" t="s">
        <v>2984</v>
      </c>
      <c r="E147" s="4851" t="s">
        <v>3123</v>
      </c>
      <c r="F147" s="4851"/>
      <c r="G147" s="4851"/>
      <c r="H147" s="4851"/>
    </row>
    <row r="148" spans="1:8" ht="3" customHeight="1">
      <c r="D148" s="639"/>
      <c r="E148" s="1025"/>
      <c r="F148" s="1025"/>
      <c r="G148" s="1025"/>
      <c r="H148" s="1025"/>
    </row>
    <row r="149" spans="1:8" ht="12.75" customHeight="1">
      <c r="C149" s="617" t="s">
        <v>2887</v>
      </c>
      <c r="D149" s="639" t="s">
        <v>1843</v>
      </c>
      <c r="E149" s="640"/>
      <c r="F149" s="636" t="s">
        <v>2888</v>
      </c>
      <c r="G149" s="636"/>
      <c r="H149" s="636"/>
    </row>
    <row r="150" spans="1:8" ht="12.75" customHeight="1">
      <c r="C150" s="641" t="s">
        <v>1275</v>
      </c>
      <c r="D150" s="639" t="s">
        <v>1845</v>
      </c>
      <c r="E150" s="4851" t="s">
        <v>2985</v>
      </c>
      <c r="F150" s="4851"/>
      <c r="G150" s="4851"/>
      <c r="H150" s="4851"/>
    </row>
    <row r="151" spans="1:8" ht="12.75" customHeight="1">
      <c r="C151" s="1449" t="s">
        <v>4083</v>
      </c>
      <c r="E151" s="4851" t="s">
        <v>3122</v>
      </c>
      <c r="F151" s="4851"/>
      <c r="G151" s="4851"/>
      <c r="H151" s="4851"/>
    </row>
    <row r="152" spans="1:8" ht="12.75" customHeight="1">
      <c r="C152" s="1450"/>
      <c r="D152" s="1448" t="s">
        <v>2984</v>
      </c>
      <c r="E152" s="4854" t="s">
        <v>3123</v>
      </c>
      <c r="F152" s="4854"/>
      <c r="G152" s="4854"/>
      <c r="H152" s="4854"/>
    </row>
    <row r="153" spans="1:8" ht="3" customHeight="1">
      <c r="D153" s="639"/>
      <c r="E153" s="1025"/>
      <c r="F153" s="1025"/>
      <c r="G153" s="1025"/>
      <c r="H153" s="1025"/>
    </row>
    <row r="154" spans="1:8" ht="12.75" customHeight="1">
      <c r="C154" s="617" t="s">
        <v>2887</v>
      </c>
      <c r="D154" s="639" t="s">
        <v>1843</v>
      </c>
      <c r="E154" s="640"/>
      <c r="F154" s="636" t="s">
        <v>2888</v>
      </c>
      <c r="G154" s="636"/>
      <c r="H154" s="636"/>
    </row>
    <row r="155" spans="1:8" ht="12.75" customHeight="1">
      <c r="C155" s="641" t="s">
        <v>1275</v>
      </c>
      <c r="D155" s="639" t="s">
        <v>1845</v>
      </c>
      <c r="E155" s="4851" t="s">
        <v>2985</v>
      </c>
      <c r="F155" s="4851"/>
      <c r="G155" s="4851"/>
      <c r="H155" s="4851"/>
    </row>
    <row r="156" spans="1:8" ht="12.75" customHeight="1">
      <c r="C156" s="1449" t="s">
        <v>4083</v>
      </c>
      <c r="E156" s="4851" t="s">
        <v>3122</v>
      </c>
      <c r="F156" s="4851"/>
      <c r="G156" s="4851"/>
      <c r="H156" s="4851"/>
    </row>
    <row r="157" spans="1:8" ht="12.75" customHeight="1">
      <c r="C157" s="1450"/>
      <c r="D157" s="1448" t="s">
        <v>2984</v>
      </c>
      <c r="E157" s="4854" t="s">
        <v>3123</v>
      </c>
      <c r="F157" s="4854"/>
      <c r="G157" s="4854"/>
      <c r="H157" s="485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1843</v>
      </c>
      <c r="E161" s="640"/>
      <c r="F161" s="636" t="s">
        <v>2888</v>
      </c>
      <c r="G161" s="636"/>
      <c r="H161" s="636"/>
    </row>
    <row r="162" spans="1:8" ht="12.75" customHeight="1">
      <c r="C162" s="641" t="s">
        <v>1275</v>
      </c>
      <c r="D162" s="639" t="s">
        <v>1845</v>
      </c>
      <c r="E162" s="4851" t="s">
        <v>2985</v>
      </c>
      <c r="F162" s="4851"/>
      <c r="G162" s="4851"/>
      <c r="H162" s="4851"/>
    </row>
    <row r="163" spans="1:8" ht="12.75" customHeight="1">
      <c r="C163" s="1449" t="s">
        <v>4083</v>
      </c>
      <c r="E163" s="4851" t="s">
        <v>3122</v>
      </c>
      <c r="F163" s="4851"/>
      <c r="G163" s="4851"/>
      <c r="H163" s="4851"/>
    </row>
    <row r="164" spans="1:8" ht="12.75" customHeight="1">
      <c r="C164" s="1450"/>
      <c r="D164" s="642" t="s">
        <v>2984</v>
      </c>
      <c r="E164" s="4851" t="s">
        <v>3123</v>
      </c>
      <c r="F164" s="4851"/>
      <c r="G164" s="4851"/>
      <c r="H164" s="4851"/>
    </row>
    <row r="165" spans="1:8" ht="3" customHeight="1">
      <c r="D165" s="639"/>
      <c r="E165" s="1025"/>
      <c r="F165" s="1025"/>
      <c r="G165" s="1025"/>
      <c r="H165" s="1025"/>
    </row>
    <row r="166" spans="1:8" ht="12.75" customHeight="1">
      <c r="C166" s="617" t="s">
        <v>2887</v>
      </c>
      <c r="D166" s="639" t="s">
        <v>1843</v>
      </c>
      <c r="E166" s="640"/>
      <c r="F166" s="636" t="s">
        <v>2888</v>
      </c>
      <c r="G166" s="636"/>
      <c r="H166" s="636"/>
    </row>
    <row r="167" spans="1:8" ht="12.75" customHeight="1">
      <c r="C167" s="641" t="s">
        <v>1275</v>
      </c>
      <c r="D167" s="639" t="s">
        <v>1845</v>
      </c>
      <c r="E167" s="4851" t="s">
        <v>2985</v>
      </c>
      <c r="F167" s="4851"/>
      <c r="G167" s="4851"/>
      <c r="H167" s="4851"/>
    </row>
    <row r="168" spans="1:8" ht="12.75" customHeight="1">
      <c r="C168" s="1449" t="s">
        <v>4083</v>
      </c>
      <c r="E168" s="4851" t="s">
        <v>3122</v>
      </c>
      <c r="F168" s="4851"/>
      <c r="G168" s="4851"/>
      <c r="H168" s="4851"/>
    </row>
    <row r="169" spans="1:8" ht="12.75" customHeight="1">
      <c r="C169" s="1450"/>
      <c r="D169" s="1448" t="s">
        <v>2984</v>
      </c>
      <c r="E169" s="4854" t="s">
        <v>3123</v>
      </c>
      <c r="F169" s="4854"/>
      <c r="G169" s="4854"/>
      <c r="H169" s="4854"/>
    </row>
    <row r="170" spans="1:8" ht="3" customHeight="1">
      <c r="D170" s="639"/>
      <c r="E170" s="1025"/>
      <c r="F170" s="1025"/>
      <c r="G170" s="1025"/>
      <c r="H170" s="1025"/>
    </row>
    <row r="171" spans="1:8" ht="12.75" customHeight="1">
      <c r="C171" s="617" t="s">
        <v>2887</v>
      </c>
      <c r="D171" s="639" t="s">
        <v>1843</v>
      </c>
      <c r="E171" s="640"/>
      <c r="F171" s="636" t="s">
        <v>2888</v>
      </c>
      <c r="G171" s="636"/>
      <c r="H171" s="636"/>
    </row>
    <row r="172" spans="1:8" ht="12.75" customHeight="1">
      <c r="C172" s="641" t="s">
        <v>1275</v>
      </c>
      <c r="D172" s="639" t="s">
        <v>1845</v>
      </c>
      <c r="E172" s="4851" t="s">
        <v>2985</v>
      </c>
      <c r="F172" s="4851"/>
      <c r="G172" s="4851"/>
      <c r="H172" s="4851"/>
    </row>
    <row r="173" spans="1:8" ht="12.75" customHeight="1">
      <c r="C173" s="1449" t="s">
        <v>4083</v>
      </c>
      <c r="E173" s="4851" t="s">
        <v>3122</v>
      </c>
      <c r="F173" s="4851"/>
      <c r="G173" s="4851"/>
      <c r="H173" s="4851"/>
    </row>
    <row r="174" spans="1:8" ht="12.75" customHeight="1">
      <c r="C174" s="1450"/>
      <c r="D174" s="1448" t="s">
        <v>2984</v>
      </c>
      <c r="E174" s="4854" t="s">
        <v>3123</v>
      </c>
      <c r="F174" s="4854"/>
      <c r="G174" s="4854"/>
      <c r="H174" s="4854"/>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1843</v>
      </c>
      <c r="E178" s="640"/>
      <c r="F178" s="4851" t="s">
        <v>2888</v>
      </c>
      <c r="G178" s="4851"/>
      <c r="H178" s="4851"/>
      <c r="K178" s="432" t="s">
        <v>233</v>
      </c>
    </row>
    <row r="179" spans="1:11" ht="12.75" customHeight="1">
      <c r="C179" s="641" t="s">
        <v>1275</v>
      </c>
      <c r="D179" s="639" t="s">
        <v>1845</v>
      </c>
      <c r="E179" s="4851" t="s">
        <v>2986</v>
      </c>
      <c r="F179" s="4851"/>
      <c r="G179" s="4851"/>
      <c r="H179" s="4851"/>
    </row>
    <row r="180" spans="1:11" ht="12.75" customHeight="1">
      <c r="E180" s="4851" t="s">
        <v>3122</v>
      </c>
      <c r="F180" s="4851"/>
      <c r="G180" s="4851"/>
      <c r="H180" s="4851"/>
    </row>
    <row r="181" spans="1:11" ht="12.75" customHeight="1">
      <c r="D181" s="642" t="s">
        <v>2984</v>
      </c>
      <c r="E181" s="4851" t="s">
        <v>3123</v>
      </c>
      <c r="F181" s="4851"/>
      <c r="G181" s="4851"/>
      <c r="H181" s="4851"/>
    </row>
    <row r="182" spans="1:11" ht="9" customHeight="1" thickBot="1"/>
    <row r="183" spans="1:11" ht="16.149999999999999" customHeight="1" thickBot="1">
      <c r="A183" s="4852">
        <v>40</v>
      </c>
      <c r="B183" s="4853"/>
      <c r="C183" s="1451" t="s">
        <v>975</v>
      </c>
    </row>
    <row r="184" spans="1:11" ht="9" customHeight="1">
      <c r="A184" s="611"/>
    </row>
    <row r="185" spans="1:11" ht="28.15" customHeight="1">
      <c r="A185" s="4851" t="s">
        <v>4087</v>
      </c>
      <c r="B185" s="4851"/>
      <c r="C185" s="4851"/>
      <c r="D185" s="4851"/>
      <c r="E185" s="4851"/>
      <c r="F185" s="4851"/>
      <c r="G185" s="4851"/>
      <c r="H185" s="4851"/>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1843</v>
      </c>
      <c r="E189" s="640"/>
      <c r="F189" s="4851" t="s">
        <v>2888</v>
      </c>
      <c r="G189" s="4851"/>
      <c r="H189" s="4851"/>
    </row>
    <row r="190" spans="1:11" ht="12.75" customHeight="1">
      <c r="C190" s="641" t="s">
        <v>1275</v>
      </c>
      <c r="D190" s="639" t="s">
        <v>1845</v>
      </c>
      <c r="E190" s="4851" t="s">
        <v>2985</v>
      </c>
      <c r="F190" s="4851"/>
      <c r="G190" s="4851"/>
      <c r="H190" s="4851"/>
    </row>
    <row r="191" spans="1:11" ht="12.75" customHeight="1">
      <c r="C191" s="1449" t="s">
        <v>4083</v>
      </c>
      <c r="E191" s="4851" t="s">
        <v>3122</v>
      </c>
      <c r="F191" s="4851"/>
      <c r="G191" s="4851"/>
      <c r="H191" s="4851"/>
    </row>
    <row r="192" spans="1:11" ht="12.75" customHeight="1">
      <c r="C192" s="1450"/>
      <c r="D192" s="1448" t="s">
        <v>2984</v>
      </c>
      <c r="E192" s="4854" t="s">
        <v>3123</v>
      </c>
      <c r="F192" s="4854"/>
      <c r="G192" s="4854"/>
      <c r="H192" s="4854"/>
    </row>
    <row r="193" spans="1:8" ht="3" customHeight="1">
      <c r="D193" s="639"/>
      <c r="E193" s="1025"/>
      <c r="F193" s="1025"/>
      <c r="G193" s="1025"/>
      <c r="H193" s="1025"/>
    </row>
    <row r="194" spans="1:8" ht="12.75" customHeight="1">
      <c r="C194" s="617" t="s">
        <v>2887</v>
      </c>
      <c r="D194" s="639" t="s">
        <v>1843</v>
      </c>
      <c r="E194" s="640"/>
      <c r="F194" s="636" t="s">
        <v>2888</v>
      </c>
      <c r="G194" s="636"/>
      <c r="H194" s="636"/>
    </row>
    <row r="195" spans="1:8" ht="12.75" customHeight="1">
      <c r="C195" s="641" t="s">
        <v>1275</v>
      </c>
      <c r="D195" s="639" t="s">
        <v>1845</v>
      </c>
      <c r="E195" s="4851" t="s">
        <v>2985</v>
      </c>
      <c r="F195" s="4851"/>
      <c r="G195" s="4851"/>
      <c r="H195" s="4851"/>
    </row>
    <row r="196" spans="1:8" ht="12.75" customHeight="1">
      <c r="C196" s="1449" t="s">
        <v>4083</v>
      </c>
      <c r="E196" s="4851" t="s">
        <v>3122</v>
      </c>
      <c r="F196" s="4851"/>
      <c r="G196" s="4851"/>
      <c r="H196" s="4851"/>
    </row>
    <row r="197" spans="1:8" ht="12.75" customHeight="1">
      <c r="C197" s="1450"/>
      <c r="D197" s="1448" t="s">
        <v>2984</v>
      </c>
      <c r="E197" s="4854" t="s">
        <v>3123</v>
      </c>
      <c r="F197" s="4854"/>
      <c r="G197" s="4854"/>
      <c r="H197" s="4854"/>
    </row>
    <row r="198" spans="1:8" ht="3" customHeight="1">
      <c r="D198" s="639"/>
      <c r="E198" s="1025"/>
      <c r="F198" s="1025"/>
      <c r="G198" s="1025"/>
      <c r="H198" s="1025"/>
    </row>
    <row r="199" spans="1:8" ht="12.75" customHeight="1">
      <c r="C199" s="617" t="s">
        <v>2887</v>
      </c>
      <c r="D199" s="639" t="s">
        <v>1843</v>
      </c>
      <c r="E199" s="640"/>
      <c r="F199" s="636" t="s">
        <v>2888</v>
      </c>
      <c r="G199" s="636"/>
      <c r="H199" s="636"/>
    </row>
    <row r="200" spans="1:8" ht="12.75" customHeight="1">
      <c r="C200" s="641" t="s">
        <v>1275</v>
      </c>
      <c r="D200" s="639" t="s">
        <v>1845</v>
      </c>
      <c r="E200" s="4851" t="s">
        <v>2985</v>
      </c>
      <c r="F200" s="4851"/>
      <c r="G200" s="4851"/>
      <c r="H200" s="4851"/>
    </row>
    <row r="201" spans="1:8" ht="12.75" customHeight="1">
      <c r="C201" s="1449" t="s">
        <v>4083</v>
      </c>
      <c r="E201" s="4851" t="s">
        <v>3122</v>
      </c>
      <c r="F201" s="4851"/>
      <c r="G201" s="4851"/>
      <c r="H201" s="4851"/>
    </row>
    <row r="202" spans="1:8" ht="12.75" customHeight="1">
      <c r="C202" s="1450"/>
      <c r="D202" s="1448" t="s">
        <v>2984</v>
      </c>
      <c r="E202" s="4854" t="s">
        <v>3123</v>
      </c>
      <c r="F202" s="4854"/>
      <c r="G202" s="4854"/>
      <c r="H202" s="485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1843</v>
      </c>
      <c r="E206" s="640"/>
      <c r="F206" s="636" t="s">
        <v>2888</v>
      </c>
      <c r="G206" s="636"/>
      <c r="H206" s="636"/>
    </row>
    <row r="207" spans="1:8" ht="12.75" customHeight="1">
      <c r="C207" s="641" t="s">
        <v>1275</v>
      </c>
      <c r="D207" s="639" t="s">
        <v>1845</v>
      </c>
      <c r="E207" s="4851" t="s">
        <v>2985</v>
      </c>
      <c r="F207" s="4851"/>
      <c r="G207" s="4851"/>
      <c r="H207" s="4851"/>
    </row>
    <row r="208" spans="1:8" ht="12.75" customHeight="1">
      <c r="C208" s="1449" t="s">
        <v>4083</v>
      </c>
      <c r="E208" s="4851" t="s">
        <v>3122</v>
      </c>
      <c r="F208" s="4851"/>
      <c r="G208" s="4851"/>
      <c r="H208" s="4851"/>
    </row>
    <row r="209" spans="1:8" ht="12.75" customHeight="1">
      <c r="C209" s="1450"/>
      <c r="D209" s="642" t="s">
        <v>2984</v>
      </c>
      <c r="E209" s="4851" t="s">
        <v>3123</v>
      </c>
      <c r="F209" s="4851"/>
      <c r="G209" s="4851"/>
      <c r="H209" s="4851"/>
    </row>
    <row r="210" spans="1:8" ht="3" customHeight="1">
      <c r="D210" s="639"/>
      <c r="E210" s="1025"/>
      <c r="F210" s="1025"/>
      <c r="G210" s="1025"/>
      <c r="H210" s="1025"/>
    </row>
    <row r="211" spans="1:8" ht="12.75" customHeight="1">
      <c r="C211" s="617" t="s">
        <v>2887</v>
      </c>
      <c r="D211" s="639" t="s">
        <v>1843</v>
      </c>
      <c r="E211" s="640"/>
      <c r="F211" s="636" t="s">
        <v>2888</v>
      </c>
      <c r="G211" s="636"/>
      <c r="H211" s="636"/>
    </row>
    <row r="212" spans="1:8" ht="12.75" customHeight="1">
      <c r="C212" s="641" t="s">
        <v>1275</v>
      </c>
      <c r="D212" s="639" t="s">
        <v>1845</v>
      </c>
      <c r="E212" s="4851" t="s">
        <v>2985</v>
      </c>
      <c r="F212" s="4851"/>
      <c r="G212" s="4851"/>
      <c r="H212" s="4851"/>
    </row>
    <row r="213" spans="1:8" ht="12.75" customHeight="1">
      <c r="C213" s="1449" t="s">
        <v>4083</v>
      </c>
      <c r="E213" s="4851" t="s">
        <v>3122</v>
      </c>
      <c r="F213" s="4851"/>
      <c r="G213" s="4851"/>
      <c r="H213" s="4851"/>
    </row>
    <row r="214" spans="1:8" ht="12.75" customHeight="1">
      <c r="C214" s="1450"/>
      <c r="D214" s="1448" t="s">
        <v>2984</v>
      </c>
      <c r="E214" s="4854" t="s">
        <v>3123</v>
      </c>
      <c r="F214" s="4854"/>
      <c r="G214" s="4854"/>
      <c r="H214" s="4854"/>
    </row>
    <row r="215" spans="1:8" ht="3" customHeight="1">
      <c r="D215" s="639"/>
      <c r="E215" s="1025"/>
      <c r="F215" s="1025"/>
      <c r="G215" s="1025"/>
      <c r="H215" s="1025"/>
    </row>
    <row r="216" spans="1:8" ht="12.75" customHeight="1">
      <c r="C216" s="617" t="s">
        <v>2887</v>
      </c>
      <c r="D216" s="639" t="s">
        <v>1843</v>
      </c>
      <c r="E216" s="640"/>
      <c r="F216" s="636" t="s">
        <v>2888</v>
      </c>
      <c r="G216" s="636"/>
      <c r="H216" s="636"/>
    </row>
    <row r="217" spans="1:8" ht="12.75" customHeight="1">
      <c r="C217" s="641" t="s">
        <v>1275</v>
      </c>
      <c r="D217" s="639" t="s">
        <v>1845</v>
      </c>
      <c r="E217" s="4851" t="s">
        <v>2985</v>
      </c>
      <c r="F217" s="4851"/>
      <c r="G217" s="4851"/>
      <c r="H217" s="4851"/>
    </row>
    <row r="218" spans="1:8" ht="12.75" customHeight="1">
      <c r="C218" s="1449" t="s">
        <v>4083</v>
      </c>
      <c r="E218" s="4851" t="s">
        <v>3122</v>
      </c>
      <c r="F218" s="4851"/>
      <c r="G218" s="4851"/>
      <c r="H218" s="4851"/>
    </row>
    <row r="219" spans="1:8" ht="12.75" customHeight="1">
      <c r="C219" s="1450"/>
      <c r="D219" s="1448" t="s">
        <v>2984</v>
      </c>
      <c r="E219" s="4854" t="s">
        <v>3123</v>
      </c>
      <c r="F219" s="4854"/>
      <c r="G219" s="4854"/>
      <c r="H219" s="485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1843</v>
      </c>
      <c r="E223" s="640"/>
      <c r="F223" s="636" t="s">
        <v>2888</v>
      </c>
      <c r="G223" s="636"/>
      <c r="H223" s="636"/>
    </row>
    <row r="224" spans="1:8" ht="12.75" customHeight="1">
      <c r="C224" s="641" t="s">
        <v>1275</v>
      </c>
      <c r="D224" s="639" t="s">
        <v>1845</v>
      </c>
      <c r="E224" s="4851" t="s">
        <v>2985</v>
      </c>
      <c r="F224" s="4851"/>
      <c r="G224" s="4851"/>
      <c r="H224" s="4851"/>
    </row>
    <row r="225" spans="1:8" ht="12.75" customHeight="1">
      <c r="C225" s="1449" t="s">
        <v>4083</v>
      </c>
      <c r="E225" s="4851" t="s">
        <v>3122</v>
      </c>
      <c r="F225" s="4851"/>
      <c r="G225" s="4851"/>
      <c r="H225" s="4851"/>
    </row>
    <row r="226" spans="1:8" ht="12.75" customHeight="1">
      <c r="C226" s="1450"/>
      <c r="D226" s="642" t="s">
        <v>2984</v>
      </c>
      <c r="E226" s="4851" t="s">
        <v>3123</v>
      </c>
      <c r="F226" s="4851"/>
      <c r="G226" s="4851"/>
      <c r="H226" s="4851"/>
    </row>
    <row r="227" spans="1:8" ht="3" customHeight="1">
      <c r="D227" s="639"/>
      <c r="E227" s="1025"/>
      <c r="F227" s="1025"/>
      <c r="G227" s="1025"/>
      <c r="H227" s="1025"/>
    </row>
    <row r="228" spans="1:8" ht="12.75" customHeight="1">
      <c r="C228" s="617" t="s">
        <v>2887</v>
      </c>
      <c r="D228" s="639" t="s">
        <v>1843</v>
      </c>
      <c r="E228" s="640"/>
      <c r="F228" s="636" t="s">
        <v>2888</v>
      </c>
      <c r="G228" s="636"/>
      <c r="H228" s="636"/>
    </row>
    <row r="229" spans="1:8" ht="12.75" customHeight="1">
      <c r="C229" s="641" t="s">
        <v>1275</v>
      </c>
      <c r="D229" s="639" t="s">
        <v>1845</v>
      </c>
      <c r="E229" s="4851" t="s">
        <v>2985</v>
      </c>
      <c r="F229" s="4851"/>
      <c r="G229" s="4851"/>
      <c r="H229" s="4851"/>
    </row>
    <row r="230" spans="1:8" ht="12.75" customHeight="1">
      <c r="C230" s="1449" t="s">
        <v>4083</v>
      </c>
      <c r="E230" s="4851" t="s">
        <v>3122</v>
      </c>
      <c r="F230" s="4851"/>
      <c r="G230" s="4851"/>
      <c r="H230" s="4851"/>
    </row>
    <row r="231" spans="1:8" ht="12.75" customHeight="1">
      <c r="C231" s="1450"/>
      <c r="D231" s="1448" t="s">
        <v>2984</v>
      </c>
      <c r="E231" s="4854" t="s">
        <v>3123</v>
      </c>
      <c r="F231" s="4854"/>
      <c r="G231" s="4854"/>
      <c r="H231" s="4854"/>
    </row>
    <row r="232" spans="1:8" ht="3" customHeight="1">
      <c r="D232" s="639"/>
      <c r="E232" s="1025"/>
      <c r="F232" s="1025"/>
      <c r="G232" s="1025"/>
      <c r="H232" s="1025"/>
    </row>
    <row r="233" spans="1:8" ht="12.75" customHeight="1">
      <c r="C233" s="617" t="s">
        <v>2887</v>
      </c>
      <c r="D233" s="639" t="s">
        <v>1843</v>
      </c>
      <c r="E233" s="640"/>
      <c r="F233" s="636" t="s">
        <v>2888</v>
      </c>
      <c r="G233" s="636"/>
      <c r="H233" s="636"/>
    </row>
    <row r="234" spans="1:8" ht="12.75" customHeight="1">
      <c r="C234" s="641" t="s">
        <v>1275</v>
      </c>
      <c r="D234" s="639" t="s">
        <v>1845</v>
      </c>
      <c r="E234" s="4851" t="s">
        <v>2985</v>
      </c>
      <c r="F234" s="4851"/>
      <c r="G234" s="4851"/>
      <c r="H234" s="4851"/>
    </row>
    <row r="235" spans="1:8" ht="12.75" customHeight="1">
      <c r="C235" s="1449" t="s">
        <v>4083</v>
      </c>
      <c r="E235" s="4851" t="s">
        <v>3122</v>
      </c>
      <c r="F235" s="4851"/>
      <c r="G235" s="4851"/>
      <c r="H235" s="4851"/>
    </row>
    <row r="236" spans="1:8" ht="12.75" customHeight="1">
      <c r="C236" s="1450"/>
      <c r="D236" s="1448" t="s">
        <v>2984</v>
      </c>
      <c r="E236" s="4854" t="s">
        <v>3123</v>
      </c>
      <c r="F236" s="4854"/>
      <c r="G236" s="4854"/>
      <c r="H236" s="485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1843</v>
      </c>
      <c r="E240" s="640"/>
      <c r="F240" s="636" t="s">
        <v>2888</v>
      </c>
      <c r="G240" s="636"/>
      <c r="H240" s="636"/>
    </row>
    <row r="241" spans="1:8" ht="12.75" customHeight="1">
      <c r="C241" s="641" t="s">
        <v>1275</v>
      </c>
      <c r="D241" s="639" t="s">
        <v>1845</v>
      </c>
      <c r="E241" s="4851" t="s">
        <v>2985</v>
      </c>
      <c r="F241" s="4851"/>
      <c r="G241" s="4851"/>
      <c r="H241" s="4851"/>
    </row>
    <row r="242" spans="1:8" ht="12.75" customHeight="1">
      <c r="C242" s="1449" t="s">
        <v>4083</v>
      </c>
      <c r="E242" s="4851" t="s">
        <v>3122</v>
      </c>
      <c r="F242" s="4851"/>
      <c r="G242" s="4851"/>
      <c r="H242" s="4851"/>
    </row>
    <row r="243" spans="1:8" ht="12.75" customHeight="1">
      <c r="C243" s="1450"/>
      <c r="D243" s="642" t="s">
        <v>2984</v>
      </c>
      <c r="E243" s="4851" t="s">
        <v>3123</v>
      </c>
      <c r="F243" s="4851"/>
      <c r="G243" s="4851"/>
      <c r="H243" s="4851"/>
    </row>
    <row r="244" spans="1:8" ht="3" customHeight="1">
      <c r="D244" s="639"/>
      <c r="E244" s="1025"/>
      <c r="F244" s="1025"/>
      <c r="G244" s="1025"/>
      <c r="H244" s="1025"/>
    </row>
    <row r="245" spans="1:8" ht="12.75" customHeight="1">
      <c r="C245" s="617" t="s">
        <v>2887</v>
      </c>
      <c r="D245" s="639" t="s">
        <v>1843</v>
      </c>
      <c r="E245" s="640"/>
      <c r="F245" s="636" t="s">
        <v>2888</v>
      </c>
      <c r="G245" s="636"/>
      <c r="H245" s="636"/>
    </row>
    <row r="246" spans="1:8" ht="12.75" customHeight="1">
      <c r="C246" s="641" t="s">
        <v>1275</v>
      </c>
      <c r="D246" s="639" t="s">
        <v>1845</v>
      </c>
      <c r="E246" s="4851" t="s">
        <v>2985</v>
      </c>
      <c r="F246" s="4851"/>
      <c r="G246" s="4851"/>
      <c r="H246" s="4851"/>
    </row>
    <row r="247" spans="1:8" ht="12.75" customHeight="1">
      <c r="C247" s="1449" t="s">
        <v>4083</v>
      </c>
      <c r="E247" s="4851" t="s">
        <v>3122</v>
      </c>
      <c r="F247" s="4851"/>
      <c r="G247" s="4851"/>
      <c r="H247" s="4851"/>
    </row>
    <row r="248" spans="1:8" ht="12.75" customHeight="1">
      <c r="C248" s="1450"/>
      <c r="D248" s="1448" t="s">
        <v>2984</v>
      </c>
      <c r="E248" s="4854" t="s">
        <v>3123</v>
      </c>
      <c r="F248" s="4854"/>
      <c r="G248" s="4854"/>
      <c r="H248" s="4854"/>
    </row>
    <row r="249" spans="1:8" ht="3" customHeight="1">
      <c r="D249" s="639"/>
      <c r="E249" s="1025"/>
      <c r="F249" s="1025"/>
      <c r="G249" s="1025"/>
      <c r="H249" s="1025"/>
    </row>
    <row r="250" spans="1:8" ht="12.75" customHeight="1">
      <c r="C250" s="617" t="s">
        <v>2887</v>
      </c>
      <c r="D250" s="639" t="s">
        <v>1843</v>
      </c>
      <c r="E250" s="640"/>
      <c r="F250" s="636" t="s">
        <v>2888</v>
      </c>
      <c r="G250" s="636"/>
      <c r="H250" s="636"/>
    </row>
    <row r="251" spans="1:8" ht="12.75" customHeight="1">
      <c r="C251" s="641" t="s">
        <v>1275</v>
      </c>
      <c r="D251" s="639" t="s">
        <v>1845</v>
      </c>
      <c r="E251" s="4851" t="s">
        <v>2985</v>
      </c>
      <c r="F251" s="4851"/>
      <c r="G251" s="4851"/>
      <c r="H251" s="4851"/>
    </row>
    <row r="252" spans="1:8" ht="12.75" customHeight="1">
      <c r="C252" s="1449" t="s">
        <v>4083</v>
      </c>
      <c r="E252" s="4851" t="s">
        <v>3122</v>
      </c>
      <c r="F252" s="4851"/>
      <c r="G252" s="4851"/>
      <c r="H252" s="4851"/>
    </row>
    <row r="253" spans="1:8" ht="12.75" customHeight="1">
      <c r="C253" s="1450"/>
      <c r="D253" s="1448" t="s">
        <v>2984</v>
      </c>
      <c r="E253" s="4854" t="s">
        <v>3123</v>
      </c>
      <c r="F253" s="4854"/>
      <c r="G253" s="4854"/>
      <c r="H253" s="4854"/>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1843</v>
      </c>
      <c r="E257" s="640"/>
      <c r="F257" s="4851" t="s">
        <v>2888</v>
      </c>
      <c r="G257" s="4851"/>
      <c r="H257" s="4851"/>
      <c r="K257" s="432" t="s">
        <v>233</v>
      </c>
    </row>
    <row r="258" spans="1:11" ht="12.75" customHeight="1">
      <c r="C258" s="641" t="s">
        <v>1275</v>
      </c>
      <c r="D258" s="639" t="s">
        <v>1845</v>
      </c>
      <c r="E258" s="4851" t="s">
        <v>2986</v>
      </c>
      <c r="F258" s="4851"/>
      <c r="G258" s="4851"/>
      <c r="H258" s="4851"/>
    </row>
    <row r="259" spans="1:11" ht="12.75" customHeight="1">
      <c r="E259" s="4851" t="s">
        <v>3122</v>
      </c>
      <c r="F259" s="4851"/>
      <c r="G259" s="4851"/>
      <c r="H259" s="4851"/>
    </row>
    <row r="260" spans="1:11" ht="12.75" customHeight="1">
      <c r="D260" s="642" t="s">
        <v>2984</v>
      </c>
      <c r="E260" s="4851" t="s">
        <v>3123</v>
      </c>
      <c r="F260" s="4851"/>
      <c r="G260" s="4851"/>
      <c r="H260" s="4851"/>
    </row>
    <row r="261" spans="1:11" ht="9" customHeight="1" thickBot="1"/>
    <row r="262" spans="1:11" ht="16.149999999999999" customHeight="1" thickBot="1">
      <c r="A262" s="4852">
        <v>50</v>
      </c>
      <c r="B262" s="4853"/>
      <c r="C262" s="1451" t="s">
        <v>975</v>
      </c>
    </row>
    <row r="263" spans="1:11" ht="9" customHeight="1">
      <c r="A263" s="611"/>
    </row>
    <row r="264" spans="1:11" ht="28.15" customHeight="1">
      <c r="A264" s="4851" t="s">
        <v>4084</v>
      </c>
      <c r="B264" s="4851"/>
      <c r="C264" s="4851"/>
      <c r="D264" s="4851"/>
      <c r="E264" s="4851"/>
      <c r="F264" s="4851"/>
      <c r="G264" s="4851"/>
      <c r="H264" s="4851"/>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1843</v>
      </c>
      <c r="E268" s="640"/>
      <c r="F268" s="4851" t="s">
        <v>2888</v>
      </c>
      <c r="G268" s="4851"/>
      <c r="H268" s="4851"/>
    </row>
    <row r="269" spans="1:11" ht="12.75" customHeight="1">
      <c r="C269" s="641" t="s">
        <v>1275</v>
      </c>
      <c r="D269" s="639" t="s">
        <v>1845</v>
      </c>
      <c r="E269" s="4851" t="s">
        <v>2985</v>
      </c>
      <c r="F269" s="4851"/>
      <c r="G269" s="4851"/>
      <c r="H269" s="4851"/>
    </row>
    <row r="270" spans="1:11" ht="12.75" customHeight="1">
      <c r="C270" s="1449" t="s">
        <v>4083</v>
      </c>
      <c r="E270" s="4851" t="s">
        <v>3122</v>
      </c>
      <c r="F270" s="4851"/>
      <c r="G270" s="4851"/>
      <c r="H270" s="4851"/>
    </row>
    <row r="271" spans="1:11" ht="12.75" customHeight="1">
      <c r="C271" s="1450"/>
      <c r="D271" s="1448" t="s">
        <v>2984</v>
      </c>
      <c r="E271" s="4854" t="s">
        <v>3123</v>
      </c>
      <c r="F271" s="4854"/>
      <c r="G271" s="4854"/>
      <c r="H271" s="4854"/>
    </row>
    <row r="272" spans="1:11" ht="3" customHeight="1">
      <c r="D272" s="639"/>
      <c r="E272" s="1025"/>
      <c r="F272" s="1025"/>
      <c r="G272" s="1025"/>
      <c r="H272" s="1025"/>
    </row>
    <row r="273" spans="1:8" ht="12.75" customHeight="1">
      <c r="C273" s="617" t="s">
        <v>2887</v>
      </c>
      <c r="D273" s="639" t="s">
        <v>1843</v>
      </c>
      <c r="E273" s="640"/>
      <c r="F273" s="636" t="s">
        <v>2888</v>
      </c>
      <c r="G273" s="636"/>
      <c r="H273" s="636"/>
    </row>
    <row r="274" spans="1:8" ht="12.75" customHeight="1">
      <c r="C274" s="641" t="s">
        <v>1275</v>
      </c>
      <c r="D274" s="639" t="s">
        <v>1845</v>
      </c>
      <c r="E274" s="4851" t="s">
        <v>2985</v>
      </c>
      <c r="F274" s="4851"/>
      <c r="G274" s="4851"/>
      <c r="H274" s="4851"/>
    </row>
    <row r="275" spans="1:8" ht="12.75" customHeight="1">
      <c r="C275" s="1449" t="s">
        <v>4083</v>
      </c>
      <c r="E275" s="4851" t="s">
        <v>3122</v>
      </c>
      <c r="F275" s="4851"/>
      <c r="G275" s="4851"/>
      <c r="H275" s="4851"/>
    </row>
    <row r="276" spans="1:8" ht="12.75" customHeight="1">
      <c r="C276" s="1450"/>
      <c r="D276" s="1448" t="s">
        <v>2984</v>
      </c>
      <c r="E276" s="4854" t="s">
        <v>3123</v>
      </c>
      <c r="F276" s="4854"/>
      <c r="G276" s="4854"/>
      <c r="H276" s="4854"/>
    </row>
    <row r="277" spans="1:8" ht="3" customHeight="1">
      <c r="D277" s="639"/>
      <c r="E277" s="1025"/>
      <c r="F277" s="1025"/>
      <c r="G277" s="1025"/>
      <c r="H277" s="1025"/>
    </row>
    <row r="278" spans="1:8" ht="12.75" customHeight="1">
      <c r="C278" s="617" t="s">
        <v>2887</v>
      </c>
      <c r="D278" s="639" t="s">
        <v>1843</v>
      </c>
      <c r="E278" s="640"/>
      <c r="F278" s="636" t="s">
        <v>2888</v>
      </c>
      <c r="G278" s="636"/>
      <c r="H278" s="636"/>
    </row>
    <row r="279" spans="1:8" ht="12.75" customHeight="1">
      <c r="C279" s="641" t="s">
        <v>1275</v>
      </c>
      <c r="D279" s="639" t="s">
        <v>1845</v>
      </c>
      <c r="E279" s="4851" t="s">
        <v>2985</v>
      </c>
      <c r="F279" s="4851"/>
      <c r="G279" s="4851"/>
      <c r="H279" s="4851"/>
    </row>
    <row r="280" spans="1:8" ht="12.75" customHeight="1">
      <c r="C280" s="1449" t="s">
        <v>4083</v>
      </c>
      <c r="E280" s="4851" t="s">
        <v>3122</v>
      </c>
      <c r="F280" s="4851"/>
      <c r="G280" s="4851"/>
      <c r="H280" s="4851"/>
    </row>
    <row r="281" spans="1:8" ht="12.75" customHeight="1">
      <c r="C281" s="1450"/>
      <c r="D281" s="1448" t="s">
        <v>2984</v>
      </c>
      <c r="E281" s="4854" t="s">
        <v>3123</v>
      </c>
      <c r="F281" s="4854"/>
      <c r="G281" s="4854"/>
      <c r="H281" s="4854"/>
    </row>
    <row r="282" spans="1:8" ht="6" customHeight="1">
      <c r="D282" s="639"/>
      <c r="E282" s="1025"/>
      <c r="F282" s="1025"/>
      <c r="G282" s="1025"/>
      <c r="H282" s="1025"/>
    </row>
    <row r="283" spans="1:8">
      <c r="A283" s="620" t="s">
        <v>2980</v>
      </c>
      <c r="B283" s="637">
        <f>IF('Part V-Revenues &amp; Expenses'!$L$59=0,"",'Part V-Revenues &amp; Expenses'!$L$59)</f>
        <v>16</v>
      </c>
      <c r="C283" s="620" t="s">
        <v>2981</v>
      </c>
      <c r="D283" s="638" t="s">
        <v>3124</v>
      </c>
    </row>
    <row r="284" spans="1:8" ht="1.9" customHeight="1"/>
    <row r="285" spans="1:8" ht="12.75" customHeight="1">
      <c r="C285" s="617" t="s">
        <v>2887</v>
      </c>
      <c r="D285" s="639" t="s">
        <v>1843</v>
      </c>
      <c r="E285" s="640"/>
      <c r="F285" s="636" t="s">
        <v>2888</v>
      </c>
      <c r="G285" s="636"/>
      <c r="H285" s="636"/>
    </row>
    <row r="286" spans="1:8" ht="12.75" customHeight="1">
      <c r="C286" s="641" t="s">
        <v>1275</v>
      </c>
      <c r="D286" s="639" t="s">
        <v>1845</v>
      </c>
      <c r="E286" s="4851" t="s">
        <v>2985</v>
      </c>
      <c r="F286" s="4851"/>
      <c r="G286" s="4851"/>
      <c r="H286" s="4851"/>
    </row>
    <row r="287" spans="1:8" ht="12.75" customHeight="1">
      <c r="C287" s="1449" t="s">
        <v>4083</v>
      </c>
      <c r="E287" s="4851" t="s">
        <v>3122</v>
      </c>
      <c r="F287" s="4851"/>
      <c r="G287" s="4851"/>
      <c r="H287" s="4851"/>
    </row>
    <row r="288" spans="1:8" ht="12.75" customHeight="1">
      <c r="C288" s="1450"/>
      <c r="D288" s="642" t="s">
        <v>2984</v>
      </c>
      <c r="E288" s="4851" t="s">
        <v>3123</v>
      </c>
      <c r="F288" s="4851"/>
      <c r="G288" s="4851"/>
      <c r="H288" s="4851"/>
    </row>
    <row r="289" spans="1:8" ht="3" customHeight="1">
      <c r="D289" s="639"/>
      <c r="E289" s="1025"/>
      <c r="F289" s="1025"/>
      <c r="G289" s="1025"/>
      <c r="H289" s="1025"/>
    </row>
    <row r="290" spans="1:8" ht="12.75" customHeight="1">
      <c r="C290" s="617" t="s">
        <v>2887</v>
      </c>
      <c r="D290" s="639" t="s">
        <v>1843</v>
      </c>
      <c r="E290" s="640"/>
      <c r="F290" s="636" t="s">
        <v>2888</v>
      </c>
      <c r="G290" s="636"/>
      <c r="H290" s="636"/>
    </row>
    <row r="291" spans="1:8" ht="12.75" customHeight="1">
      <c r="C291" s="641" t="s">
        <v>1275</v>
      </c>
      <c r="D291" s="639" t="s">
        <v>1845</v>
      </c>
      <c r="E291" s="4851" t="s">
        <v>2985</v>
      </c>
      <c r="F291" s="4851"/>
      <c r="G291" s="4851"/>
      <c r="H291" s="4851"/>
    </row>
    <row r="292" spans="1:8" ht="12.75" customHeight="1">
      <c r="C292" s="1449" t="s">
        <v>4083</v>
      </c>
      <c r="E292" s="4851" t="s">
        <v>3122</v>
      </c>
      <c r="F292" s="4851"/>
      <c r="G292" s="4851"/>
      <c r="H292" s="4851"/>
    </row>
    <row r="293" spans="1:8" ht="12.75" customHeight="1">
      <c r="C293" s="1450"/>
      <c r="D293" s="1448" t="s">
        <v>2984</v>
      </c>
      <c r="E293" s="4854" t="s">
        <v>3123</v>
      </c>
      <c r="F293" s="4854"/>
      <c r="G293" s="4854"/>
      <c r="H293" s="4854"/>
    </row>
    <row r="294" spans="1:8" ht="3" customHeight="1">
      <c r="D294" s="639"/>
      <c r="E294" s="1025"/>
      <c r="F294" s="1025"/>
      <c r="G294" s="1025"/>
      <c r="H294" s="1025"/>
    </row>
    <row r="295" spans="1:8" ht="12.75" customHeight="1">
      <c r="C295" s="617" t="s">
        <v>2887</v>
      </c>
      <c r="D295" s="639" t="s">
        <v>1843</v>
      </c>
      <c r="E295" s="640"/>
      <c r="F295" s="636" t="s">
        <v>2888</v>
      </c>
      <c r="G295" s="636"/>
      <c r="H295" s="636"/>
    </row>
    <row r="296" spans="1:8" ht="12.75" customHeight="1">
      <c r="C296" s="641" t="s">
        <v>1275</v>
      </c>
      <c r="D296" s="639" t="s">
        <v>1845</v>
      </c>
      <c r="E296" s="4851" t="s">
        <v>2985</v>
      </c>
      <c r="F296" s="4851"/>
      <c r="G296" s="4851"/>
      <c r="H296" s="4851"/>
    </row>
    <row r="297" spans="1:8" ht="12.75" customHeight="1">
      <c r="C297" s="1449" t="s">
        <v>4083</v>
      </c>
      <c r="E297" s="4851" t="s">
        <v>3122</v>
      </c>
      <c r="F297" s="4851"/>
      <c r="G297" s="4851"/>
      <c r="H297" s="4851"/>
    </row>
    <row r="298" spans="1:8" ht="12.75" customHeight="1">
      <c r="C298" s="1450"/>
      <c r="D298" s="1448" t="s">
        <v>2984</v>
      </c>
      <c r="E298" s="4854" t="s">
        <v>3123</v>
      </c>
      <c r="F298" s="4854"/>
      <c r="G298" s="4854"/>
      <c r="H298" s="4854"/>
    </row>
    <row r="299" spans="1:8" ht="6" customHeight="1">
      <c r="D299" s="639"/>
      <c r="E299" s="1025"/>
      <c r="F299" s="1025"/>
      <c r="G299" s="1025"/>
      <c r="H299" s="1025"/>
    </row>
    <row r="300" spans="1:8">
      <c r="A300" s="620" t="s">
        <v>2980</v>
      </c>
      <c r="B300" s="637">
        <f>IF('Part V-Revenues &amp; Expenses'!$M$59=0,"",'Part V-Revenues &amp; Expenses'!$M$59)</f>
        <v>27</v>
      </c>
      <c r="C300" s="620" t="s">
        <v>2982</v>
      </c>
      <c r="D300" s="638" t="s">
        <v>3125</v>
      </c>
    </row>
    <row r="301" spans="1:8" ht="1.9" customHeight="1"/>
    <row r="302" spans="1:8" ht="12.75" customHeight="1">
      <c r="C302" s="617" t="s">
        <v>2887</v>
      </c>
      <c r="D302" s="639" t="s">
        <v>1843</v>
      </c>
      <c r="E302" s="640"/>
      <c r="F302" s="636" t="s">
        <v>2888</v>
      </c>
      <c r="G302" s="636"/>
      <c r="H302" s="636"/>
    </row>
    <row r="303" spans="1:8" ht="12.75" customHeight="1">
      <c r="C303" s="641" t="s">
        <v>1275</v>
      </c>
      <c r="D303" s="639" t="s">
        <v>1845</v>
      </c>
      <c r="E303" s="4851" t="s">
        <v>2985</v>
      </c>
      <c r="F303" s="4851"/>
      <c r="G303" s="4851"/>
      <c r="H303" s="4851"/>
    </row>
    <row r="304" spans="1:8" ht="12.75" customHeight="1">
      <c r="C304" s="1449" t="s">
        <v>4083</v>
      </c>
      <c r="E304" s="4851" t="s">
        <v>3122</v>
      </c>
      <c r="F304" s="4851"/>
      <c r="G304" s="4851"/>
      <c r="H304" s="4851"/>
    </row>
    <row r="305" spans="1:8" ht="12.75" customHeight="1">
      <c r="C305" s="1450"/>
      <c r="D305" s="642" t="s">
        <v>2984</v>
      </c>
      <c r="E305" s="4851" t="s">
        <v>3123</v>
      </c>
      <c r="F305" s="4851"/>
      <c r="G305" s="4851"/>
      <c r="H305" s="4851"/>
    </row>
    <row r="306" spans="1:8" ht="3" customHeight="1">
      <c r="D306" s="639"/>
      <c r="E306" s="1025"/>
      <c r="F306" s="1025"/>
      <c r="G306" s="1025"/>
      <c r="H306" s="1025"/>
    </row>
    <row r="307" spans="1:8" ht="12.75" customHeight="1">
      <c r="C307" s="617" t="s">
        <v>2887</v>
      </c>
      <c r="D307" s="639" t="s">
        <v>1843</v>
      </c>
      <c r="E307" s="640"/>
      <c r="F307" s="636" t="s">
        <v>2888</v>
      </c>
      <c r="G307" s="636"/>
      <c r="H307" s="636"/>
    </row>
    <row r="308" spans="1:8" ht="12.75" customHeight="1">
      <c r="C308" s="641" t="s">
        <v>1275</v>
      </c>
      <c r="D308" s="639" t="s">
        <v>1845</v>
      </c>
      <c r="E308" s="4851" t="s">
        <v>2985</v>
      </c>
      <c r="F308" s="4851"/>
      <c r="G308" s="4851"/>
      <c r="H308" s="4851"/>
    </row>
    <row r="309" spans="1:8" ht="12.75" customHeight="1">
      <c r="C309" s="1449" t="s">
        <v>4083</v>
      </c>
      <c r="E309" s="4851" t="s">
        <v>3122</v>
      </c>
      <c r="F309" s="4851"/>
      <c r="G309" s="4851"/>
      <c r="H309" s="4851"/>
    </row>
    <row r="310" spans="1:8" ht="12.75" customHeight="1">
      <c r="C310" s="1450"/>
      <c r="D310" s="1448" t="s">
        <v>2984</v>
      </c>
      <c r="E310" s="4854" t="s">
        <v>3123</v>
      </c>
      <c r="F310" s="4854"/>
      <c r="G310" s="4854"/>
      <c r="H310" s="4854"/>
    </row>
    <row r="311" spans="1:8" ht="3" customHeight="1">
      <c r="D311" s="639"/>
      <c r="E311" s="1025"/>
      <c r="F311" s="1025"/>
      <c r="G311" s="1025"/>
      <c r="H311" s="1025"/>
    </row>
    <row r="312" spans="1:8" ht="12.75" customHeight="1">
      <c r="C312" s="617" t="s">
        <v>2887</v>
      </c>
      <c r="D312" s="639" t="s">
        <v>1843</v>
      </c>
      <c r="E312" s="640"/>
      <c r="F312" s="636" t="s">
        <v>2888</v>
      </c>
      <c r="G312" s="636"/>
      <c r="H312" s="636"/>
    </row>
    <row r="313" spans="1:8" ht="12.75" customHeight="1">
      <c r="C313" s="641" t="s">
        <v>1275</v>
      </c>
      <c r="D313" s="639" t="s">
        <v>1845</v>
      </c>
      <c r="E313" s="4851" t="s">
        <v>2985</v>
      </c>
      <c r="F313" s="4851"/>
      <c r="G313" s="4851"/>
      <c r="H313" s="4851"/>
    </row>
    <row r="314" spans="1:8" ht="12.75" customHeight="1">
      <c r="C314" s="1449" t="s">
        <v>4083</v>
      </c>
      <c r="E314" s="4851" t="s">
        <v>3122</v>
      </c>
      <c r="F314" s="4851"/>
      <c r="G314" s="4851"/>
      <c r="H314" s="4851"/>
    </row>
    <row r="315" spans="1:8" ht="12.75" customHeight="1">
      <c r="C315" s="1450"/>
      <c r="D315" s="1448" t="s">
        <v>2984</v>
      </c>
      <c r="E315" s="4854" t="s">
        <v>3123</v>
      </c>
      <c r="F315" s="4854"/>
      <c r="G315" s="4854"/>
      <c r="H315" s="4854"/>
    </row>
    <row r="316" spans="1:8" ht="6" customHeight="1">
      <c r="D316" s="639"/>
      <c r="E316" s="1025"/>
      <c r="F316" s="1025"/>
      <c r="G316" s="1025"/>
      <c r="H316" s="1025"/>
    </row>
    <row r="317" spans="1:8">
      <c r="A317" s="620" t="s">
        <v>2980</v>
      </c>
      <c r="B317" s="637">
        <f>IF('Part V-Revenues &amp; Expenses'!$N$59=0,"",'Part V-Revenues &amp; Expenses'!$N$59)</f>
        <v>14</v>
      </c>
      <c r="C317" s="620" t="s">
        <v>2983</v>
      </c>
      <c r="D317" s="638" t="s">
        <v>3126</v>
      </c>
    </row>
    <row r="318" spans="1:8" ht="1.9" customHeight="1"/>
    <row r="319" spans="1:8" ht="12.75" customHeight="1">
      <c r="C319" s="617" t="s">
        <v>2887</v>
      </c>
      <c r="D319" s="639" t="s">
        <v>1843</v>
      </c>
      <c r="E319" s="640"/>
      <c r="F319" s="636" t="s">
        <v>2888</v>
      </c>
      <c r="G319" s="636"/>
      <c r="H319" s="636"/>
    </row>
    <row r="320" spans="1:8" ht="12.75" customHeight="1">
      <c r="C320" s="641" t="s">
        <v>1275</v>
      </c>
      <c r="D320" s="639" t="s">
        <v>1845</v>
      </c>
      <c r="E320" s="4851" t="s">
        <v>2985</v>
      </c>
      <c r="F320" s="4851"/>
      <c r="G320" s="4851"/>
      <c r="H320" s="4851"/>
    </row>
    <row r="321" spans="1:11" ht="12.75" customHeight="1">
      <c r="C321" s="1449" t="s">
        <v>4083</v>
      </c>
      <c r="E321" s="4851" t="s">
        <v>3122</v>
      </c>
      <c r="F321" s="4851"/>
      <c r="G321" s="4851"/>
      <c r="H321" s="4851"/>
    </row>
    <row r="322" spans="1:11" ht="12.75" customHeight="1">
      <c r="C322" s="1450"/>
      <c r="D322" s="642" t="s">
        <v>2984</v>
      </c>
      <c r="E322" s="4851" t="s">
        <v>3123</v>
      </c>
      <c r="F322" s="4851"/>
      <c r="G322" s="4851"/>
      <c r="H322" s="4851"/>
    </row>
    <row r="323" spans="1:11" ht="3" customHeight="1">
      <c r="D323" s="639"/>
      <c r="E323" s="1025"/>
      <c r="F323" s="1025"/>
      <c r="G323" s="1025"/>
      <c r="H323" s="1025"/>
    </row>
    <row r="324" spans="1:11" ht="12.75" customHeight="1">
      <c r="C324" s="617" t="s">
        <v>2887</v>
      </c>
      <c r="D324" s="639" t="s">
        <v>1843</v>
      </c>
      <c r="E324" s="640"/>
      <c r="F324" s="636" t="s">
        <v>2888</v>
      </c>
      <c r="G324" s="636"/>
      <c r="H324" s="636"/>
    </row>
    <row r="325" spans="1:11" ht="12.75" customHeight="1">
      <c r="C325" s="641" t="s">
        <v>1275</v>
      </c>
      <c r="D325" s="639" t="s">
        <v>1845</v>
      </c>
      <c r="E325" s="4851" t="s">
        <v>2985</v>
      </c>
      <c r="F325" s="4851"/>
      <c r="G325" s="4851"/>
      <c r="H325" s="4851"/>
    </row>
    <row r="326" spans="1:11" ht="12.75" customHeight="1">
      <c r="C326" s="1449" t="s">
        <v>4083</v>
      </c>
      <c r="E326" s="4851" t="s">
        <v>3122</v>
      </c>
      <c r="F326" s="4851"/>
      <c r="G326" s="4851"/>
      <c r="H326" s="4851"/>
    </row>
    <row r="327" spans="1:11" ht="12.75" customHeight="1">
      <c r="C327" s="1450"/>
      <c r="D327" s="1448" t="s">
        <v>2984</v>
      </c>
      <c r="E327" s="4854" t="s">
        <v>3123</v>
      </c>
      <c r="F327" s="4854"/>
      <c r="G327" s="4854"/>
      <c r="H327" s="4854"/>
    </row>
    <row r="328" spans="1:11" ht="3" customHeight="1">
      <c r="D328" s="639"/>
      <c r="E328" s="1025"/>
      <c r="F328" s="1025"/>
      <c r="G328" s="1025"/>
      <c r="H328" s="1025"/>
    </row>
    <row r="329" spans="1:11" ht="12.75" customHeight="1">
      <c r="C329" s="617" t="s">
        <v>2887</v>
      </c>
      <c r="D329" s="639" t="s">
        <v>1843</v>
      </c>
      <c r="E329" s="640"/>
      <c r="F329" s="636" t="s">
        <v>2888</v>
      </c>
      <c r="G329" s="636"/>
      <c r="H329" s="636"/>
    </row>
    <row r="330" spans="1:11" ht="12.75" customHeight="1">
      <c r="C330" s="641" t="s">
        <v>1275</v>
      </c>
      <c r="D330" s="639" t="s">
        <v>1845</v>
      </c>
      <c r="E330" s="4851" t="s">
        <v>2985</v>
      </c>
      <c r="F330" s="4851"/>
      <c r="G330" s="4851"/>
      <c r="H330" s="4851"/>
    </row>
    <row r="331" spans="1:11" ht="12.75" customHeight="1">
      <c r="C331" s="1449" t="s">
        <v>4083</v>
      </c>
      <c r="E331" s="4851" t="s">
        <v>3122</v>
      </c>
      <c r="F331" s="4851"/>
      <c r="G331" s="4851"/>
      <c r="H331" s="4851"/>
    </row>
    <row r="332" spans="1:11" ht="12.75" customHeight="1">
      <c r="C332" s="1450"/>
      <c r="D332" s="1448" t="s">
        <v>2984</v>
      </c>
      <c r="E332" s="4854" t="s">
        <v>3123</v>
      </c>
      <c r="F332" s="4854"/>
      <c r="G332" s="4854"/>
      <c r="H332" s="4854"/>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1843</v>
      </c>
      <c r="E336" s="640"/>
      <c r="F336" s="4851" t="s">
        <v>2888</v>
      </c>
      <c r="G336" s="4851"/>
      <c r="H336" s="4851"/>
      <c r="K336" s="432" t="s">
        <v>233</v>
      </c>
    </row>
    <row r="337" spans="1:8" ht="12.75" customHeight="1">
      <c r="C337" s="641" t="s">
        <v>1275</v>
      </c>
      <c r="D337" s="639" t="s">
        <v>1845</v>
      </c>
      <c r="E337" s="4851" t="s">
        <v>2986</v>
      </c>
      <c r="F337" s="4851"/>
      <c r="G337" s="4851"/>
      <c r="H337" s="4851"/>
    </row>
    <row r="338" spans="1:8" ht="12.75" customHeight="1">
      <c r="E338" s="4851" t="s">
        <v>3122</v>
      </c>
      <c r="F338" s="4851"/>
      <c r="G338" s="4851"/>
      <c r="H338" s="4851"/>
    </row>
    <row r="339" spans="1:8" ht="12.75" customHeight="1">
      <c r="D339" s="642" t="s">
        <v>2984</v>
      </c>
      <c r="E339" s="4851" t="s">
        <v>3123</v>
      </c>
      <c r="F339" s="4851"/>
      <c r="G339" s="4851"/>
      <c r="H339" s="4851"/>
    </row>
    <row r="340" spans="1:8" ht="9" customHeight="1"/>
    <row r="341" spans="1:8" ht="7.5" customHeight="1" thickBot="1">
      <c r="E341" s="4851"/>
      <c r="F341" s="4851"/>
      <c r="G341" s="4851"/>
      <c r="H341" s="4851"/>
    </row>
    <row r="342" spans="1:8" ht="16.149999999999999" customHeight="1" thickBot="1">
      <c r="A342" s="4852">
        <v>60</v>
      </c>
      <c r="B342" s="4853"/>
      <c r="C342" s="1451" t="s">
        <v>975</v>
      </c>
    </row>
    <row r="343" spans="1:8" ht="9" customHeight="1">
      <c r="A343" s="611"/>
    </row>
    <row r="344" spans="1:8" ht="28.15" customHeight="1">
      <c r="A344" s="4851" t="s">
        <v>4088</v>
      </c>
      <c r="B344" s="4851"/>
      <c r="C344" s="4851"/>
      <c r="D344" s="4851"/>
      <c r="E344" s="4851"/>
      <c r="F344" s="4851"/>
      <c r="G344" s="4851"/>
      <c r="H344" s="4851"/>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1843</v>
      </c>
      <c r="E348" s="640"/>
      <c r="F348" s="4851" t="s">
        <v>2888</v>
      </c>
      <c r="G348" s="4851"/>
      <c r="H348" s="4851"/>
    </row>
    <row r="349" spans="1:8" ht="12.75" customHeight="1">
      <c r="C349" s="641" t="s">
        <v>1275</v>
      </c>
      <c r="D349" s="639" t="s">
        <v>1845</v>
      </c>
      <c r="E349" s="4851" t="s">
        <v>2985</v>
      </c>
      <c r="F349" s="4851"/>
      <c r="G349" s="4851"/>
      <c r="H349" s="4851"/>
    </row>
    <row r="350" spans="1:8" ht="12.75" customHeight="1">
      <c r="C350" s="1449" t="s">
        <v>4083</v>
      </c>
      <c r="E350" s="4851" t="s">
        <v>3122</v>
      </c>
      <c r="F350" s="4851"/>
      <c r="G350" s="4851"/>
      <c r="H350" s="4851"/>
    </row>
    <row r="351" spans="1:8" ht="12.75" customHeight="1">
      <c r="C351" s="1450"/>
      <c r="D351" s="1448" t="s">
        <v>2984</v>
      </c>
      <c r="E351" s="4854" t="s">
        <v>3123</v>
      </c>
      <c r="F351" s="4854"/>
      <c r="G351" s="4854"/>
      <c r="H351" s="4854"/>
    </row>
    <row r="352" spans="1:8" ht="3" customHeight="1">
      <c r="D352" s="639"/>
      <c r="E352" s="1025"/>
      <c r="F352" s="1025"/>
      <c r="G352" s="1025"/>
      <c r="H352" s="1025"/>
    </row>
    <row r="353" spans="1:8" ht="12.75" customHeight="1">
      <c r="C353" s="617" t="s">
        <v>2887</v>
      </c>
      <c r="D353" s="639" t="s">
        <v>1843</v>
      </c>
      <c r="E353" s="640"/>
      <c r="F353" s="636" t="s">
        <v>2888</v>
      </c>
      <c r="G353" s="636"/>
      <c r="H353" s="636"/>
    </row>
    <row r="354" spans="1:8" ht="12.75" customHeight="1">
      <c r="C354" s="641" t="s">
        <v>1275</v>
      </c>
      <c r="D354" s="639" t="s">
        <v>1845</v>
      </c>
      <c r="E354" s="4851" t="s">
        <v>2985</v>
      </c>
      <c r="F354" s="4851"/>
      <c r="G354" s="4851"/>
      <c r="H354" s="4851"/>
    </row>
    <row r="355" spans="1:8" ht="12.75" customHeight="1">
      <c r="C355" s="1449" t="s">
        <v>4083</v>
      </c>
      <c r="E355" s="4851" t="s">
        <v>3122</v>
      </c>
      <c r="F355" s="4851"/>
      <c r="G355" s="4851"/>
      <c r="H355" s="4851"/>
    </row>
    <row r="356" spans="1:8" ht="12.75" customHeight="1">
      <c r="C356" s="1450"/>
      <c r="D356" s="1448" t="s">
        <v>2984</v>
      </c>
      <c r="E356" s="4854" t="s">
        <v>3123</v>
      </c>
      <c r="F356" s="4854"/>
      <c r="G356" s="4854"/>
      <c r="H356" s="4854"/>
    </row>
    <row r="357" spans="1:8" ht="3" customHeight="1">
      <c r="D357" s="639"/>
      <c r="E357" s="1025"/>
      <c r="F357" s="1025"/>
      <c r="G357" s="1025"/>
      <c r="H357" s="1025"/>
    </row>
    <row r="358" spans="1:8" ht="12.75" customHeight="1">
      <c r="C358" s="617" t="s">
        <v>2887</v>
      </c>
      <c r="D358" s="639" t="s">
        <v>1843</v>
      </c>
      <c r="E358" s="640"/>
      <c r="F358" s="636" t="s">
        <v>2888</v>
      </c>
      <c r="G358" s="636"/>
      <c r="H358" s="636"/>
    </row>
    <row r="359" spans="1:8" ht="12.75" customHeight="1">
      <c r="C359" s="641" t="s">
        <v>1275</v>
      </c>
      <c r="D359" s="639" t="s">
        <v>1845</v>
      </c>
      <c r="E359" s="4851" t="s">
        <v>2985</v>
      </c>
      <c r="F359" s="4851"/>
      <c r="G359" s="4851"/>
      <c r="H359" s="4851"/>
    </row>
    <row r="360" spans="1:8" ht="12.75" customHeight="1">
      <c r="C360" s="1449" t="s">
        <v>4083</v>
      </c>
      <c r="E360" s="4851" t="s">
        <v>3122</v>
      </c>
      <c r="F360" s="4851"/>
      <c r="G360" s="4851"/>
      <c r="H360" s="4851"/>
    </row>
    <row r="361" spans="1:8" ht="12.75" customHeight="1">
      <c r="C361" s="1450"/>
      <c r="D361" s="1448" t="s">
        <v>2984</v>
      </c>
      <c r="E361" s="4854" t="s">
        <v>3123</v>
      </c>
      <c r="F361" s="4854"/>
      <c r="G361" s="4854"/>
      <c r="H361" s="4854"/>
    </row>
    <row r="362" spans="1:8" ht="6" customHeight="1">
      <c r="D362" s="639"/>
      <c r="E362" s="1025"/>
      <c r="F362" s="1025"/>
      <c r="G362" s="1025"/>
      <c r="H362" s="1025"/>
    </row>
    <row r="363" spans="1:8">
      <c r="A363" s="620" t="s">
        <v>2980</v>
      </c>
      <c r="B363" s="637">
        <f>IF('Part V-Revenues &amp; Expenses'!$L$58=0,"",'Part V-Revenues &amp; Expenses'!$L$58)</f>
        <v>40</v>
      </c>
      <c r="C363" s="620" t="s">
        <v>2981</v>
      </c>
      <c r="D363" s="638" t="s">
        <v>3124</v>
      </c>
    </row>
    <row r="364" spans="1:8" ht="1.9" customHeight="1"/>
    <row r="365" spans="1:8" ht="12.75" customHeight="1">
      <c r="C365" s="617" t="s">
        <v>2887</v>
      </c>
      <c r="D365" s="639" t="s">
        <v>1843</v>
      </c>
      <c r="E365" s="640"/>
      <c r="F365" s="636" t="s">
        <v>2888</v>
      </c>
      <c r="G365" s="636"/>
      <c r="H365" s="636"/>
    </row>
    <row r="366" spans="1:8" ht="12.75" customHeight="1">
      <c r="C366" s="641" t="s">
        <v>1275</v>
      </c>
      <c r="D366" s="639" t="s">
        <v>1845</v>
      </c>
      <c r="E366" s="4851" t="s">
        <v>2985</v>
      </c>
      <c r="F366" s="4851"/>
      <c r="G366" s="4851"/>
      <c r="H366" s="4851"/>
    </row>
    <row r="367" spans="1:8" ht="12.75" customHeight="1">
      <c r="C367" s="1449" t="s">
        <v>4083</v>
      </c>
      <c r="E367" s="4851" t="s">
        <v>3122</v>
      </c>
      <c r="F367" s="4851"/>
      <c r="G367" s="4851"/>
      <c r="H367" s="4851"/>
    </row>
    <row r="368" spans="1:8" ht="12.75" customHeight="1">
      <c r="C368" s="1450"/>
      <c r="D368" s="642" t="s">
        <v>2984</v>
      </c>
      <c r="E368" s="4851" t="s">
        <v>3123</v>
      </c>
      <c r="F368" s="4851"/>
      <c r="G368" s="4851"/>
      <c r="H368" s="4851"/>
    </row>
    <row r="369" spans="1:8" ht="3" customHeight="1">
      <c r="D369" s="639"/>
      <c r="E369" s="1025"/>
      <c r="F369" s="1025"/>
      <c r="G369" s="1025"/>
      <c r="H369" s="1025"/>
    </row>
    <row r="370" spans="1:8" ht="12.75" customHeight="1">
      <c r="C370" s="617" t="s">
        <v>2887</v>
      </c>
      <c r="D370" s="639" t="s">
        <v>1843</v>
      </c>
      <c r="E370" s="640"/>
      <c r="F370" s="636" t="s">
        <v>2888</v>
      </c>
      <c r="G370" s="636"/>
      <c r="H370" s="636"/>
    </row>
    <row r="371" spans="1:8" ht="12.75" customHeight="1">
      <c r="C371" s="641" t="s">
        <v>1275</v>
      </c>
      <c r="D371" s="639" t="s">
        <v>1845</v>
      </c>
      <c r="E371" s="4851" t="s">
        <v>2985</v>
      </c>
      <c r="F371" s="4851"/>
      <c r="G371" s="4851"/>
      <c r="H371" s="4851"/>
    </row>
    <row r="372" spans="1:8" ht="12.75" customHeight="1">
      <c r="C372" s="1449" t="s">
        <v>4083</v>
      </c>
      <c r="E372" s="4851" t="s">
        <v>3122</v>
      </c>
      <c r="F372" s="4851"/>
      <c r="G372" s="4851"/>
      <c r="H372" s="4851"/>
    </row>
    <row r="373" spans="1:8" ht="12.75" customHeight="1">
      <c r="C373" s="1450"/>
      <c r="D373" s="1448" t="s">
        <v>2984</v>
      </c>
      <c r="E373" s="4854" t="s">
        <v>3123</v>
      </c>
      <c r="F373" s="4854"/>
      <c r="G373" s="4854"/>
      <c r="H373" s="4854"/>
    </row>
    <row r="374" spans="1:8" ht="3" customHeight="1">
      <c r="D374" s="639"/>
      <c r="E374" s="1025"/>
      <c r="F374" s="1025"/>
      <c r="G374" s="1025"/>
      <c r="H374" s="1025"/>
    </row>
    <row r="375" spans="1:8" ht="12.75" customHeight="1">
      <c r="C375" s="617" t="s">
        <v>2887</v>
      </c>
      <c r="D375" s="639" t="s">
        <v>1843</v>
      </c>
      <c r="E375" s="640"/>
      <c r="F375" s="636" t="s">
        <v>2888</v>
      </c>
      <c r="G375" s="636"/>
      <c r="H375" s="636"/>
    </row>
    <row r="376" spans="1:8" ht="12.75" customHeight="1">
      <c r="C376" s="641" t="s">
        <v>1275</v>
      </c>
      <c r="D376" s="639" t="s">
        <v>1845</v>
      </c>
      <c r="E376" s="4851" t="s">
        <v>2985</v>
      </c>
      <c r="F376" s="4851"/>
      <c r="G376" s="4851"/>
      <c r="H376" s="4851"/>
    </row>
    <row r="377" spans="1:8" ht="12.75" customHeight="1">
      <c r="C377" s="1449" t="s">
        <v>4083</v>
      </c>
      <c r="E377" s="4851" t="s">
        <v>3122</v>
      </c>
      <c r="F377" s="4851"/>
      <c r="G377" s="4851"/>
      <c r="H377" s="4851"/>
    </row>
    <row r="378" spans="1:8" ht="12.75" customHeight="1">
      <c r="C378" s="1450"/>
      <c r="D378" s="1448" t="s">
        <v>2984</v>
      </c>
      <c r="E378" s="4854" t="s">
        <v>3123</v>
      </c>
      <c r="F378" s="4854"/>
      <c r="G378" s="4854"/>
      <c r="H378" s="4854"/>
    </row>
    <row r="379" spans="1:8" ht="6" customHeight="1">
      <c r="D379" s="639"/>
      <c r="E379" s="1025"/>
      <c r="F379" s="1025"/>
      <c r="G379" s="1025"/>
      <c r="H379" s="1025"/>
    </row>
    <row r="380" spans="1:8">
      <c r="A380" s="620" t="s">
        <v>2980</v>
      </c>
      <c r="B380" s="637">
        <f>IF('Part V-Revenues &amp; Expenses'!$M$58=0,"",'Part V-Revenues &amp; Expenses'!$M$58)</f>
        <v>67</v>
      </c>
      <c r="C380" s="620" t="s">
        <v>2982</v>
      </c>
      <c r="D380" s="638" t="s">
        <v>3125</v>
      </c>
    </row>
    <row r="381" spans="1:8" ht="1.9" customHeight="1"/>
    <row r="382" spans="1:8" ht="12.75" customHeight="1">
      <c r="C382" s="617" t="s">
        <v>2887</v>
      </c>
      <c r="D382" s="639" t="s">
        <v>1843</v>
      </c>
      <c r="E382" s="640"/>
      <c r="F382" s="636" t="s">
        <v>2888</v>
      </c>
      <c r="G382" s="636"/>
      <c r="H382" s="636"/>
    </row>
    <row r="383" spans="1:8" ht="12.75" customHeight="1">
      <c r="C383" s="641" t="s">
        <v>1275</v>
      </c>
      <c r="D383" s="639" t="s">
        <v>1845</v>
      </c>
      <c r="E383" s="4851" t="s">
        <v>2985</v>
      </c>
      <c r="F383" s="4851"/>
      <c r="G383" s="4851"/>
      <c r="H383" s="4851"/>
    </row>
    <row r="384" spans="1:8" ht="12.75" customHeight="1">
      <c r="C384" s="1449" t="s">
        <v>4083</v>
      </c>
      <c r="E384" s="4851" t="s">
        <v>3122</v>
      </c>
      <c r="F384" s="4851"/>
      <c r="G384" s="4851"/>
      <c r="H384" s="4851"/>
    </row>
    <row r="385" spans="1:8" ht="12.75" customHeight="1">
      <c r="C385" s="1450"/>
      <c r="D385" s="642" t="s">
        <v>2984</v>
      </c>
      <c r="E385" s="4851" t="s">
        <v>3123</v>
      </c>
      <c r="F385" s="4851"/>
      <c r="G385" s="4851"/>
      <c r="H385" s="4851"/>
    </row>
    <row r="386" spans="1:8" ht="3" customHeight="1">
      <c r="D386" s="639"/>
      <c r="E386" s="1025"/>
      <c r="F386" s="1025"/>
      <c r="G386" s="1025"/>
      <c r="H386" s="1025"/>
    </row>
    <row r="387" spans="1:8" ht="12.75" customHeight="1">
      <c r="C387" s="617" t="s">
        <v>2887</v>
      </c>
      <c r="D387" s="639" t="s">
        <v>1843</v>
      </c>
      <c r="E387" s="640"/>
      <c r="F387" s="636" t="s">
        <v>2888</v>
      </c>
      <c r="G387" s="636"/>
      <c r="H387" s="636"/>
    </row>
    <row r="388" spans="1:8" ht="12.75" customHeight="1">
      <c r="C388" s="641" t="s">
        <v>1275</v>
      </c>
      <c r="D388" s="639" t="s">
        <v>1845</v>
      </c>
      <c r="E388" s="4851" t="s">
        <v>2985</v>
      </c>
      <c r="F388" s="4851"/>
      <c r="G388" s="4851"/>
      <c r="H388" s="4851"/>
    </row>
    <row r="389" spans="1:8" ht="12.75" customHeight="1">
      <c r="C389" s="1449" t="s">
        <v>4083</v>
      </c>
      <c r="E389" s="4851" t="s">
        <v>3122</v>
      </c>
      <c r="F389" s="4851"/>
      <c r="G389" s="4851"/>
      <c r="H389" s="4851"/>
    </row>
    <row r="390" spans="1:8" ht="12.75" customHeight="1">
      <c r="C390" s="1450"/>
      <c r="D390" s="1448" t="s">
        <v>2984</v>
      </c>
      <c r="E390" s="4854" t="s">
        <v>3123</v>
      </c>
      <c r="F390" s="4854"/>
      <c r="G390" s="4854"/>
      <c r="H390" s="4854"/>
    </row>
    <row r="391" spans="1:8" ht="3" customHeight="1">
      <c r="D391" s="639"/>
      <c r="E391" s="1025"/>
      <c r="F391" s="1025"/>
      <c r="G391" s="1025"/>
      <c r="H391" s="1025"/>
    </row>
    <row r="392" spans="1:8" ht="12.75" customHeight="1">
      <c r="C392" s="617" t="s">
        <v>2887</v>
      </c>
      <c r="D392" s="639" t="s">
        <v>1843</v>
      </c>
      <c r="E392" s="640"/>
      <c r="F392" s="636" t="s">
        <v>2888</v>
      </c>
      <c r="G392" s="636"/>
      <c r="H392" s="636"/>
    </row>
    <row r="393" spans="1:8" ht="12.75" customHeight="1">
      <c r="C393" s="641" t="s">
        <v>1275</v>
      </c>
      <c r="D393" s="639" t="s">
        <v>1845</v>
      </c>
      <c r="E393" s="4851" t="s">
        <v>2985</v>
      </c>
      <c r="F393" s="4851"/>
      <c r="G393" s="4851"/>
      <c r="H393" s="4851"/>
    </row>
    <row r="394" spans="1:8" ht="12.75" customHeight="1">
      <c r="C394" s="1449" t="s">
        <v>4083</v>
      </c>
      <c r="E394" s="4851" t="s">
        <v>3122</v>
      </c>
      <c r="F394" s="4851"/>
      <c r="G394" s="4851"/>
      <c r="H394" s="4851"/>
    </row>
    <row r="395" spans="1:8" ht="12.75" customHeight="1">
      <c r="C395" s="1450"/>
      <c r="D395" s="1448" t="s">
        <v>2984</v>
      </c>
      <c r="E395" s="4854" t="s">
        <v>3123</v>
      </c>
      <c r="F395" s="4854"/>
      <c r="G395" s="4854"/>
      <c r="H395" s="4854"/>
    </row>
    <row r="396" spans="1:8" ht="6" customHeight="1">
      <c r="D396" s="639"/>
      <c r="E396" s="1025"/>
      <c r="F396" s="1025"/>
      <c r="G396" s="1025"/>
      <c r="H396" s="1025"/>
    </row>
    <row r="397" spans="1:8">
      <c r="A397" s="620" t="s">
        <v>2980</v>
      </c>
      <c r="B397" s="637">
        <f>IF('Part V-Revenues &amp; Expenses'!$N$58=0,"",'Part V-Revenues &amp; Expenses'!$N$58)</f>
        <v>34</v>
      </c>
      <c r="C397" s="620" t="s">
        <v>2983</v>
      </c>
      <c r="D397" s="638" t="s">
        <v>3126</v>
      </c>
    </row>
    <row r="398" spans="1:8" ht="1.9" customHeight="1"/>
    <row r="399" spans="1:8" ht="12.75" customHeight="1">
      <c r="C399" s="617" t="s">
        <v>2887</v>
      </c>
      <c r="D399" s="639" t="s">
        <v>1843</v>
      </c>
      <c r="E399" s="640"/>
      <c r="F399" s="636" t="s">
        <v>2888</v>
      </c>
      <c r="G399" s="636"/>
      <c r="H399" s="636"/>
    </row>
    <row r="400" spans="1:8" ht="12.75" customHeight="1">
      <c r="C400" s="641" t="s">
        <v>1275</v>
      </c>
      <c r="D400" s="639" t="s">
        <v>1845</v>
      </c>
      <c r="E400" s="4851" t="s">
        <v>2985</v>
      </c>
      <c r="F400" s="4851"/>
      <c r="G400" s="4851"/>
      <c r="H400" s="4851"/>
    </row>
    <row r="401" spans="1:11" ht="12.75" customHeight="1">
      <c r="C401" s="1449" t="s">
        <v>4083</v>
      </c>
      <c r="E401" s="4851" t="s">
        <v>3122</v>
      </c>
      <c r="F401" s="4851"/>
      <c r="G401" s="4851"/>
      <c r="H401" s="4851"/>
    </row>
    <row r="402" spans="1:11" ht="12.75" customHeight="1">
      <c r="C402" s="1450"/>
      <c r="D402" s="642" t="s">
        <v>2984</v>
      </c>
      <c r="E402" s="4851" t="s">
        <v>3123</v>
      </c>
      <c r="F402" s="4851"/>
      <c r="G402" s="4851"/>
      <c r="H402" s="4851"/>
    </row>
    <row r="403" spans="1:11" ht="3" customHeight="1">
      <c r="D403" s="639"/>
      <c r="E403" s="1025"/>
      <c r="F403" s="1025"/>
      <c r="G403" s="1025"/>
      <c r="H403" s="1025"/>
    </row>
    <row r="404" spans="1:11" ht="12.75" customHeight="1">
      <c r="C404" s="617" t="s">
        <v>2887</v>
      </c>
      <c r="D404" s="639" t="s">
        <v>1843</v>
      </c>
      <c r="E404" s="640"/>
      <c r="F404" s="636" t="s">
        <v>2888</v>
      </c>
      <c r="G404" s="636"/>
      <c r="H404" s="636"/>
    </row>
    <row r="405" spans="1:11" ht="12.75" customHeight="1">
      <c r="C405" s="641" t="s">
        <v>1275</v>
      </c>
      <c r="D405" s="639" t="s">
        <v>1845</v>
      </c>
      <c r="E405" s="4851" t="s">
        <v>2985</v>
      </c>
      <c r="F405" s="4851"/>
      <c r="G405" s="4851"/>
      <c r="H405" s="4851"/>
    </row>
    <row r="406" spans="1:11" ht="12.75" customHeight="1">
      <c r="C406" s="1449" t="s">
        <v>4083</v>
      </c>
      <c r="E406" s="4851" t="s">
        <v>3122</v>
      </c>
      <c r="F406" s="4851"/>
      <c r="G406" s="4851"/>
      <c r="H406" s="4851"/>
    </row>
    <row r="407" spans="1:11" ht="12.75" customHeight="1">
      <c r="C407" s="1450"/>
      <c r="D407" s="1448" t="s">
        <v>2984</v>
      </c>
      <c r="E407" s="4854" t="s">
        <v>3123</v>
      </c>
      <c r="F407" s="4854"/>
      <c r="G407" s="4854"/>
      <c r="H407" s="4854"/>
    </row>
    <row r="408" spans="1:11" ht="3" customHeight="1">
      <c r="D408" s="639"/>
      <c r="E408" s="1025"/>
      <c r="F408" s="1025"/>
      <c r="G408" s="1025"/>
      <c r="H408" s="1025"/>
    </row>
    <row r="409" spans="1:11" ht="12.75" customHeight="1">
      <c r="C409" s="617" t="s">
        <v>2887</v>
      </c>
      <c r="D409" s="639" t="s">
        <v>1843</v>
      </c>
      <c r="E409" s="640"/>
      <c r="F409" s="636" t="s">
        <v>2888</v>
      </c>
      <c r="G409" s="636"/>
      <c r="H409" s="636"/>
    </row>
    <row r="410" spans="1:11" ht="12.75" customHeight="1">
      <c r="C410" s="641" t="s">
        <v>1275</v>
      </c>
      <c r="D410" s="639" t="s">
        <v>1845</v>
      </c>
      <c r="E410" s="4851" t="s">
        <v>2985</v>
      </c>
      <c r="F410" s="4851"/>
      <c r="G410" s="4851"/>
      <c r="H410" s="4851"/>
    </row>
    <row r="411" spans="1:11" ht="12.75" customHeight="1">
      <c r="C411" s="1449" t="s">
        <v>4083</v>
      </c>
      <c r="E411" s="4851" t="s">
        <v>3122</v>
      </c>
      <c r="F411" s="4851"/>
      <c r="G411" s="4851"/>
      <c r="H411" s="4851"/>
    </row>
    <row r="412" spans="1:11" ht="12.75" customHeight="1">
      <c r="C412" s="1450"/>
      <c r="D412" s="1448" t="s">
        <v>2984</v>
      </c>
      <c r="E412" s="4854" t="s">
        <v>3123</v>
      </c>
      <c r="F412" s="4854"/>
      <c r="G412" s="4854"/>
      <c r="H412" s="4854"/>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1843</v>
      </c>
      <c r="E416" s="640"/>
      <c r="F416" s="4851" t="s">
        <v>2888</v>
      </c>
      <c r="G416" s="4851"/>
      <c r="H416" s="4851"/>
      <c r="K416" s="432" t="s">
        <v>233</v>
      </c>
    </row>
    <row r="417" spans="1:8" ht="12.75" customHeight="1">
      <c r="C417" s="641" t="s">
        <v>1275</v>
      </c>
      <c r="D417" s="639" t="s">
        <v>1845</v>
      </c>
      <c r="E417" s="4851" t="s">
        <v>2986</v>
      </c>
      <c r="F417" s="4851"/>
      <c r="G417" s="4851"/>
      <c r="H417" s="4851"/>
    </row>
    <row r="418" spans="1:8" ht="12.75" customHeight="1">
      <c r="E418" s="4851" t="s">
        <v>3122</v>
      </c>
      <c r="F418" s="4851"/>
      <c r="G418" s="4851"/>
      <c r="H418" s="4851"/>
    </row>
    <row r="419" spans="1:8" ht="12.75" customHeight="1">
      <c r="D419" s="642" t="s">
        <v>2984</v>
      </c>
      <c r="E419" s="4851" t="s">
        <v>3123</v>
      </c>
      <c r="F419" s="4851"/>
      <c r="G419" s="4851"/>
      <c r="H419" s="4851"/>
    </row>
    <row r="420" spans="1:8" ht="9" customHeight="1" thickBot="1"/>
    <row r="421" spans="1:8" ht="16.149999999999999" customHeight="1" thickBot="1">
      <c r="A421" s="4852">
        <v>70</v>
      </c>
      <c r="B421" s="4853"/>
      <c r="C421" s="1451" t="s">
        <v>975</v>
      </c>
    </row>
    <row r="422" spans="1:8" ht="9" customHeight="1">
      <c r="A422" s="611"/>
    </row>
    <row r="423" spans="1:8" ht="28.15" customHeight="1">
      <c r="A423" s="4851" t="s">
        <v>4089</v>
      </c>
      <c r="B423" s="4851"/>
      <c r="C423" s="4851"/>
      <c r="D423" s="4851"/>
      <c r="E423" s="4851"/>
      <c r="F423" s="4851"/>
      <c r="G423" s="4851"/>
      <c r="H423" s="4851"/>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1843</v>
      </c>
      <c r="E427" s="640"/>
      <c r="F427" s="4851" t="s">
        <v>2888</v>
      </c>
      <c r="G427" s="4851"/>
      <c r="H427" s="4851"/>
    </row>
    <row r="428" spans="1:8" ht="12.75" customHeight="1">
      <c r="C428" s="641" t="s">
        <v>1275</v>
      </c>
      <c r="D428" s="639" t="s">
        <v>1845</v>
      </c>
      <c r="E428" s="4851" t="s">
        <v>2985</v>
      </c>
      <c r="F428" s="4851"/>
      <c r="G428" s="4851"/>
      <c r="H428" s="4851"/>
    </row>
    <row r="429" spans="1:8" ht="12.75" customHeight="1">
      <c r="C429" s="1449" t="s">
        <v>4083</v>
      </c>
      <c r="E429" s="4851" t="s">
        <v>3122</v>
      </c>
      <c r="F429" s="4851"/>
      <c r="G429" s="4851"/>
      <c r="H429" s="4851"/>
    </row>
    <row r="430" spans="1:8" ht="12.75" customHeight="1">
      <c r="C430" s="1450"/>
      <c r="D430" s="1448" t="s">
        <v>2984</v>
      </c>
      <c r="E430" s="4854" t="s">
        <v>3123</v>
      </c>
      <c r="F430" s="4854"/>
      <c r="G430" s="4854"/>
      <c r="H430" s="4854"/>
    </row>
    <row r="431" spans="1:8" ht="3" customHeight="1">
      <c r="D431" s="639"/>
      <c r="E431" s="1025"/>
      <c r="F431" s="1025"/>
      <c r="G431" s="1025"/>
      <c r="H431" s="1025"/>
    </row>
    <row r="432" spans="1:8" ht="12.75" customHeight="1">
      <c r="C432" s="617" t="s">
        <v>2887</v>
      </c>
      <c r="D432" s="639" t="s">
        <v>1843</v>
      </c>
      <c r="E432" s="640"/>
      <c r="F432" s="636" t="s">
        <v>2888</v>
      </c>
      <c r="G432" s="636"/>
      <c r="H432" s="636"/>
    </row>
    <row r="433" spans="1:8" ht="12.75" customHeight="1">
      <c r="C433" s="641" t="s">
        <v>1275</v>
      </c>
      <c r="D433" s="639" t="s">
        <v>1845</v>
      </c>
      <c r="E433" s="4851" t="s">
        <v>2985</v>
      </c>
      <c r="F433" s="4851"/>
      <c r="G433" s="4851"/>
      <c r="H433" s="4851"/>
    </row>
    <row r="434" spans="1:8" ht="12.75" customHeight="1">
      <c r="C434" s="1449" t="s">
        <v>4083</v>
      </c>
      <c r="E434" s="4851" t="s">
        <v>3122</v>
      </c>
      <c r="F434" s="4851"/>
      <c r="G434" s="4851"/>
      <c r="H434" s="4851"/>
    </row>
    <row r="435" spans="1:8" ht="12.75" customHeight="1">
      <c r="C435" s="1450"/>
      <c r="D435" s="1448" t="s">
        <v>2984</v>
      </c>
      <c r="E435" s="4854" t="s">
        <v>3123</v>
      </c>
      <c r="F435" s="4854"/>
      <c r="G435" s="4854"/>
      <c r="H435" s="4854"/>
    </row>
    <row r="436" spans="1:8" ht="3" customHeight="1">
      <c r="D436" s="639"/>
      <c r="E436" s="1025"/>
      <c r="F436" s="1025"/>
      <c r="G436" s="1025"/>
      <c r="H436" s="1025"/>
    </row>
    <row r="437" spans="1:8" ht="12.75" customHeight="1">
      <c r="C437" s="617" t="s">
        <v>2887</v>
      </c>
      <c r="D437" s="639" t="s">
        <v>1843</v>
      </c>
      <c r="E437" s="640"/>
      <c r="F437" s="636" t="s">
        <v>2888</v>
      </c>
      <c r="G437" s="636"/>
      <c r="H437" s="636"/>
    </row>
    <row r="438" spans="1:8" ht="12.75" customHeight="1">
      <c r="C438" s="641" t="s">
        <v>1275</v>
      </c>
      <c r="D438" s="639" t="s">
        <v>1845</v>
      </c>
      <c r="E438" s="4851" t="s">
        <v>2985</v>
      </c>
      <c r="F438" s="4851"/>
      <c r="G438" s="4851"/>
      <c r="H438" s="4851"/>
    </row>
    <row r="439" spans="1:8" ht="12.75" customHeight="1">
      <c r="C439" s="1449" t="s">
        <v>4083</v>
      </c>
      <c r="E439" s="4851" t="s">
        <v>3122</v>
      </c>
      <c r="F439" s="4851"/>
      <c r="G439" s="4851"/>
      <c r="H439" s="4851"/>
    </row>
    <row r="440" spans="1:8" ht="12.75" customHeight="1">
      <c r="C440" s="1450"/>
      <c r="D440" s="1448" t="s">
        <v>2984</v>
      </c>
      <c r="E440" s="4854" t="s">
        <v>3123</v>
      </c>
      <c r="F440" s="4854"/>
      <c r="G440" s="4854"/>
      <c r="H440" s="4854"/>
    </row>
    <row r="441" spans="1:8" ht="6" customHeight="1">
      <c r="D441" s="639"/>
      <c r="E441" s="1025"/>
      <c r="F441" s="1025"/>
      <c r="G441" s="1025"/>
      <c r="H441" s="1025"/>
    </row>
    <row r="442" spans="1:8">
      <c r="A442" s="620" t="s">
        <v>2980</v>
      </c>
      <c r="B442" s="637">
        <f>IF('Part V-Revenues &amp; Expenses'!$L$57=0,"",'Part V-Revenues &amp; Expenses'!$L$57)</f>
        <v>4</v>
      </c>
      <c r="C442" s="620" t="s">
        <v>2981</v>
      </c>
      <c r="D442" s="638" t="s">
        <v>3124</v>
      </c>
    </row>
    <row r="443" spans="1:8" ht="1.9" customHeight="1"/>
    <row r="444" spans="1:8" ht="12.75" customHeight="1">
      <c r="C444" s="617" t="s">
        <v>2887</v>
      </c>
      <c r="D444" s="639" t="s">
        <v>1843</v>
      </c>
      <c r="E444" s="640"/>
      <c r="F444" s="636" t="s">
        <v>2888</v>
      </c>
      <c r="G444" s="636"/>
      <c r="H444" s="636"/>
    </row>
    <row r="445" spans="1:8" ht="12.75" customHeight="1">
      <c r="C445" s="641" t="s">
        <v>1275</v>
      </c>
      <c r="D445" s="639" t="s">
        <v>1845</v>
      </c>
      <c r="E445" s="4851" t="s">
        <v>2985</v>
      </c>
      <c r="F445" s="4851"/>
      <c r="G445" s="4851"/>
      <c r="H445" s="4851"/>
    </row>
    <row r="446" spans="1:8" ht="12.75" customHeight="1">
      <c r="C446" s="1449" t="s">
        <v>4083</v>
      </c>
      <c r="E446" s="4851" t="s">
        <v>3122</v>
      </c>
      <c r="F446" s="4851"/>
      <c r="G446" s="4851"/>
      <c r="H446" s="4851"/>
    </row>
    <row r="447" spans="1:8" ht="12.75" customHeight="1">
      <c r="C447" s="1450"/>
      <c r="D447" s="642" t="s">
        <v>2984</v>
      </c>
      <c r="E447" s="4851" t="s">
        <v>3123</v>
      </c>
      <c r="F447" s="4851"/>
      <c r="G447" s="4851"/>
      <c r="H447" s="4851"/>
    </row>
    <row r="448" spans="1:8" ht="3" customHeight="1">
      <c r="D448" s="639"/>
      <c r="E448" s="1025"/>
      <c r="F448" s="1025"/>
      <c r="G448" s="1025"/>
      <c r="H448" s="1025"/>
    </row>
    <row r="449" spans="1:8" ht="12.75" customHeight="1">
      <c r="C449" s="617" t="s">
        <v>2887</v>
      </c>
      <c r="D449" s="639" t="s">
        <v>1843</v>
      </c>
      <c r="E449" s="640"/>
      <c r="F449" s="636" t="s">
        <v>2888</v>
      </c>
      <c r="G449" s="636"/>
      <c r="H449" s="636"/>
    </row>
    <row r="450" spans="1:8" ht="12.75" customHeight="1">
      <c r="C450" s="641" t="s">
        <v>1275</v>
      </c>
      <c r="D450" s="639" t="s">
        <v>1845</v>
      </c>
      <c r="E450" s="4851" t="s">
        <v>2985</v>
      </c>
      <c r="F450" s="4851"/>
      <c r="G450" s="4851"/>
      <c r="H450" s="4851"/>
    </row>
    <row r="451" spans="1:8" ht="12.75" customHeight="1">
      <c r="C451" s="1449" t="s">
        <v>4083</v>
      </c>
      <c r="E451" s="4851" t="s">
        <v>3122</v>
      </c>
      <c r="F451" s="4851"/>
      <c r="G451" s="4851"/>
      <c r="H451" s="4851"/>
    </row>
    <row r="452" spans="1:8" ht="12.75" customHeight="1">
      <c r="C452" s="1450"/>
      <c r="D452" s="1448" t="s">
        <v>2984</v>
      </c>
      <c r="E452" s="4854" t="s">
        <v>3123</v>
      </c>
      <c r="F452" s="4854"/>
      <c r="G452" s="4854"/>
      <c r="H452" s="4854"/>
    </row>
    <row r="453" spans="1:8" ht="3" customHeight="1">
      <c r="D453" s="639"/>
      <c r="E453" s="1025"/>
      <c r="F453" s="1025"/>
      <c r="G453" s="1025"/>
      <c r="H453" s="1025"/>
    </row>
    <row r="454" spans="1:8" ht="12.75" customHeight="1">
      <c r="C454" s="617" t="s">
        <v>2887</v>
      </c>
      <c r="D454" s="639" t="s">
        <v>1843</v>
      </c>
      <c r="E454" s="640"/>
      <c r="F454" s="636" t="s">
        <v>2888</v>
      </c>
      <c r="G454" s="636"/>
      <c r="H454" s="636"/>
    </row>
    <row r="455" spans="1:8" ht="12.75" customHeight="1">
      <c r="C455" s="641" t="s">
        <v>1275</v>
      </c>
      <c r="D455" s="639" t="s">
        <v>1845</v>
      </c>
      <c r="E455" s="4851" t="s">
        <v>2985</v>
      </c>
      <c r="F455" s="4851"/>
      <c r="G455" s="4851"/>
      <c r="H455" s="4851"/>
    </row>
    <row r="456" spans="1:8" ht="12.75" customHeight="1">
      <c r="C456" s="1449" t="s">
        <v>4083</v>
      </c>
      <c r="E456" s="4851" t="s">
        <v>3122</v>
      </c>
      <c r="F456" s="4851"/>
      <c r="G456" s="4851"/>
      <c r="H456" s="4851"/>
    </row>
    <row r="457" spans="1:8" ht="12.75" customHeight="1">
      <c r="C457" s="1450"/>
      <c r="D457" s="1448" t="s">
        <v>2984</v>
      </c>
      <c r="E457" s="4854" t="s">
        <v>3123</v>
      </c>
      <c r="F457" s="4854"/>
      <c r="G457" s="4854"/>
      <c r="H457" s="4854"/>
    </row>
    <row r="458" spans="1:8" ht="6" customHeight="1">
      <c r="D458" s="639"/>
      <c r="E458" s="1025"/>
      <c r="F458" s="1025"/>
      <c r="G458" s="1025"/>
      <c r="H458" s="1025"/>
    </row>
    <row r="459" spans="1:8">
      <c r="A459" s="620" t="s">
        <v>2980</v>
      </c>
      <c r="B459" s="637">
        <f>IF('Part V-Revenues &amp; Expenses'!$M$57=0,"",'Part V-Revenues &amp; Expenses'!$M$57)</f>
        <v>6</v>
      </c>
      <c r="C459" s="620" t="s">
        <v>2982</v>
      </c>
      <c r="D459" s="638" t="s">
        <v>3125</v>
      </c>
    </row>
    <row r="460" spans="1:8" ht="1.9" customHeight="1"/>
    <row r="461" spans="1:8" ht="12.75" customHeight="1">
      <c r="C461" s="617" t="s">
        <v>2887</v>
      </c>
      <c r="D461" s="639" t="s">
        <v>1843</v>
      </c>
      <c r="E461" s="640"/>
      <c r="F461" s="636" t="s">
        <v>2888</v>
      </c>
      <c r="G461" s="636"/>
      <c r="H461" s="636"/>
    </row>
    <row r="462" spans="1:8" ht="12.75" customHeight="1">
      <c r="C462" s="641" t="s">
        <v>1275</v>
      </c>
      <c r="D462" s="639" t="s">
        <v>1845</v>
      </c>
      <c r="E462" s="4851" t="s">
        <v>2985</v>
      </c>
      <c r="F462" s="4851"/>
      <c r="G462" s="4851"/>
      <c r="H462" s="4851"/>
    </row>
    <row r="463" spans="1:8" ht="12.75" customHeight="1">
      <c r="C463" s="1449" t="s">
        <v>4083</v>
      </c>
      <c r="E463" s="4851" t="s">
        <v>3122</v>
      </c>
      <c r="F463" s="4851"/>
      <c r="G463" s="4851"/>
      <c r="H463" s="4851"/>
    </row>
    <row r="464" spans="1:8" ht="12.75" customHeight="1">
      <c r="C464" s="1450"/>
      <c r="D464" s="642" t="s">
        <v>2984</v>
      </c>
      <c r="E464" s="4851" t="s">
        <v>3123</v>
      </c>
      <c r="F464" s="4851"/>
      <c r="G464" s="4851"/>
      <c r="H464" s="4851"/>
    </row>
    <row r="465" spans="1:8" ht="3" customHeight="1">
      <c r="D465" s="639"/>
      <c r="E465" s="1025"/>
      <c r="F465" s="1025"/>
      <c r="G465" s="1025"/>
      <c r="H465" s="1025"/>
    </row>
    <row r="466" spans="1:8" ht="12.75" customHeight="1">
      <c r="C466" s="617" t="s">
        <v>2887</v>
      </c>
      <c r="D466" s="639" t="s">
        <v>1843</v>
      </c>
      <c r="E466" s="640"/>
      <c r="F466" s="636" t="s">
        <v>2888</v>
      </c>
      <c r="G466" s="636"/>
      <c r="H466" s="636"/>
    </row>
    <row r="467" spans="1:8" ht="12.75" customHeight="1">
      <c r="C467" s="641" t="s">
        <v>1275</v>
      </c>
      <c r="D467" s="639" t="s">
        <v>1845</v>
      </c>
      <c r="E467" s="4851" t="s">
        <v>2985</v>
      </c>
      <c r="F467" s="4851"/>
      <c r="G467" s="4851"/>
      <c r="H467" s="4851"/>
    </row>
    <row r="468" spans="1:8" ht="12.75" customHeight="1">
      <c r="C468" s="1449" t="s">
        <v>4083</v>
      </c>
      <c r="E468" s="4851" t="s">
        <v>3122</v>
      </c>
      <c r="F468" s="4851"/>
      <c r="G468" s="4851"/>
      <c r="H468" s="4851"/>
    </row>
    <row r="469" spans="1:8" ht="12.75" customHeight="1">
      <c r="C469" s="1450"/>
      <c r="D469" s="1448" t="s">
        <v>2984</v>
      </c>
      <c r="E469" s="4854" t="s">
        <v>3123</v>
      </c>
      <c r="F469" s="4854"/>
      <c r="G469" s="4854"/>
      <c r="H469" s="4854"/>
    </row>
    <row r="470" spans="1:8" ht="3" customHeight="1">
      <c r="D470" s="639"/>
      <c r="E470" s="1025"/>
      <c r="F470" s="1025"/>
      <c r="G470" s="1025"/>
      <c r="H470" s="1025"/>
    </row>
    <row r="471" spans="1:8" ht="12.75" customHeight="1">
      <c r="C471" s="617" t="s">
        <v>2887</v>
      </c>
      <c r="D471" s="639" t="s">
        <v>1843</v>
      </c>
      <c r="E471" s="640"/>
      <c r="F471" s="636" t="s">
        <v>2888</v>
      </c>
      <c r="G471" s="636"/>
      <c r="H471" s="636"/>
    </row>
    <row r="472" spans="1:8" ht="12.75" customHeight="1">
      <c r="C472" s="641" t="s">
        <v>1275</v>
      </c>
      <c r="D472" s="639" t="s">
        <v>1845</v>
      </c>
      <c r="E472" s="4851" t="s">
        <v>2985</v>
      </c>
      <c r="F472" s="4851"/>
      <c r="G472" s="4851"/>
      <c r="H472" s="4851"/>
    </row>
    <row r="473" spans="1:8" ht="12.75" customHeight="1">
      <c r="C473" s="1449" t="s">
        <v>4083</v>
      </c>
      <c r="E473" s="4851" t="s">
        <v>3122</v>
      </c>
      <c r="F473" s="4851"/>
      <c r="G473" s="4851"/>
      <c r="H473" s="4851"/>
    </row>
    <row r="474" spans="1:8" ht="12.75" customHeight="1">
      <c r="C474" s="1450"/>
      <c r="D474" s="1448" t="s">
        <v>2984</v>
      </c>
      <c r="E474" s="4854" t="s">
        <v>3123</v>
      </c>
      <c r="F474" s="4854"/>
      <c r="G474" s="4854"/>
      <c r="H474" s="4854"/>
    </row>
    <row r="475" spans="1:8" ht="6" customHeight="1">
      <c r="D475" s="639"/>
      <c r="E475" s="1025"/>
      <c r="F475" s="1025"/>
      <c r="G475" s="1025"/>
      <c r="H475" s="1025"/>
    </row>
    <row r="476" spans="1:8">
      <c r="A476" s="620" t="s">
        <v>2980</v>
      </c>
      <c r="B476" s="637">
        <f>IF('Part V-Revenues &amp; Expenses'!$N$57=0,"",'Part V-Revenues &amp; Expenses'!$N$57)</f>
        <v>2</v>
      </c>
      <c r="C476" s="620" t="s">
        <v>2983</v>
      </c>
      <c r="D476" s="638" t="s">
        <v>3126</v>
      </c>
    </row>
    <row r="477" spans="1:8" ht="1.9" customHeight="1"/>
    <row r="478" spans="1:8" ht="12.75" customHeight="1">
      <c r="C478" s="617" t="s">
        <v>2887</v>
      </c>
      <c r="D478" s="639" t="s">
        <v>1843</v>
      </c>
      <c r="E478" s="640"/>
      <c r="F478" s="636" t="s">
        <v>2888</v>
      </c>
      <c r="G478" s="636"/>
      <c r="H478" s="636"/>
    </row>
    <row r="479" spans="1:8" ht="12.75" customHeight="1">
      <c r="C479" s="641" t="s">
        <v>1275</v>
      </c>
      <c r="D479" s="639" t="s">
        <v>1845</v>
      </c>
      <c r="E479" s="4851" t="s">
        <v>2985</v>
      </c>
      <c r="F479" s="4851"/>
      <c r="G479" s="4851"/>
      <c r="H479" s="4851"/>
    </row>
    <row r="480" spans="1:8" ht="12.75" customHeight="1">
      <c r="C480" s="1449" t="s">
        <v>4083</v>
      </c>
      <c r="E480" s="4851" t="s">
        <v>3122</v>
      </c>
      <c r="F480" s="4851"/>
      <c r="G480" s="4851"/>
      <c r="H480" s="4851"/>
    </row>
    <row r="481" spans="1:11" ht="12.75" customHeight="1">
      <c r="C481" s="1450"/>
      <c r="D481" s="642" t="s">
        <v>2984</v>
      </c>
      <c r="E481" s="4851" t="s">
        <v>3123</v>
      </c>
      <c r="F481" s="4851"/>
      <c r="G481" s="4851"/>
      <c r="H481" s="4851"/>
    </row>
    <row r="482" spans="1:11" ht="3" customHeight="1">
      <c r="D482" s="639"/>
      <c r="E482" s="1025"/>
      <c r="F482" s="1025"/>
      <c r="G482" s="1025"/>
      <c r="H482" s="1025"/>
    </row>
    <row r="483" spans="1:11" ht="12.75" customHeight="1">
      <c r="C483" s="617" t="s">
        <v>2887</v>
      </c>
      <c r="D483" s="639" t="s">
        <v>1843</v>
      </c>
      <c r="E483" s="640"/>
      <c r="F483" s="636" t="s">
        <v>2888</v>
      </c>
      <c r="G483" s="636"/>
      <c r="H483" s="636"/>
    </row>
    <row r="484" spans="1:11" ht="12.75" customHeight="1">
      <c r="C484" s="641" t="s">
        <v>1275</v>
      </c>
      <c r="D484" s="639" t="s">
        <v>1845</v>
      </c>
      <c r="E484" s="4851" t="s">
        <v>2985</v>
      </c>
      <c r="F484" s="4851"/>
      <c r="G484" s="4851"/>
      <c r="H484" s="4851"/>
    </row>
    <row r="485" spans="1:11" ht="12.75" customHeight="1">
      <c r="C485" s="1449" t="s">
        <v>4083</v>
      </c>
      <c r="E485" s="4851" t="s">
        <v>3122</v>
      </c>
      <c r="F485" s="4851"/>
      <c r="G485" s="4851"/>
      <c r="H485" s="4851"/>
    </row>
    <row r="486" spans="1:11" ht="12.75" customHeight="1">
      <c r="C486" s="1450"/>
      <c r="D486" s="1448" t="s">
        <v>2984</v>
      </c>
      <c r="E486" s="4854" t="s">
        <v>3123</v>
      </c>
      <c r="F486" s="4854"/>
      <c r="G486" s="4854"/>
      <c r="H486" s="4854"/>
    </row>
    <row r="487" spans="1:11" ht="3" customHeight="1">
      <c r="D487" s="639"/>
      <c r="E487" s="1025"/>
      <c r="F487" s="1025"/>
      <c r="G487" s="1025"/>
      <c r="H487" s="1025"/>
    </row>
    <row r="488" spans="1:11" ht="12.75" customHeight="1">
      <c r="C488" s="617" t="s">
        <v>2887</v>
      </c>
      <c r="D488" s="639" t="s">
        <v>1843</v>
      </c>
      <c r="E488" s="640"/>
      <c r="F488" s="636" t="s">
        <v>2888</v>
      </c>
      <c r="G488" s="636"/>
      <c r="H488" s="636"/>
    </row>
    <row r="489" spans="1:11" ht="12.75" customHeight="1">
      <c r="C489" s="641" t="s">
        <v>1275</v>
      </c>
      <c r="D489" s="639" t="s">
        <v>1845</v>
      </c>
      <c r="E489" s="4851" t="s">
        <v>2985</v>
      </c>
      <c r="F489" s="4851"/>
      <c r="G489" s="4851"/>
      <c r="H489" s="4851"/>
    </row>
    <row r="490" spans="1:11" ht="12.75" customHeight="1">
      <c r="C490" s="1449" t="s">
        <v>4083</v>
      </c>
      <c r="E490" s="4851" t="s">
        <v>3122</v>
      </c>
      <c r="F490" s="4851"/>
      <c r="G490" s="4851"/>
      <c r="H490" s="4851"/>
    </row>
    <row r="491" spans="1:11" ht="12.75" customHeight="1">
      <c r="C491" s="1450"/>
      <c r="D491" s="1448" t="s">
        <v>2984</v>
      </c>
      <c r="E491" s="4854" t="s">
        <v>3123</v>
      </c>
      <c r="F491" s="4854"/>
      <c r="G491" s="4854"/>
      <c r="H491" s="4854"/>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1843</v>
      </c>
      <c r="E495" s="640"/>
      <c r="F495" s="4851" t="s">
        <v>2888</v>
      </c>
      <c r="G495" s="4851"/>
      <c r="H495" s="4851"/>
      <c r="K495" s="432" t="s">
        <v>233</v>
      </c>
    </row>
    <row r="496" spans="1:11" ht="12.75" customHeight="1">
      <c r="C496" s="641" t="s">
        <v>1275</v>
      </c>
      <c r="D496" s="639" t="s">
        <v>1845</v>
      </c>
      <c r="E496" s="4851" t="s">
        <v>2986</v>
      </c>
      <c r="F496" s="4851"/>
      <c r="G496" s="4851"/>
      <c r="H496" s="4851"/>
    </row>
    <row r="497" spans="1:8" ht="12.75" customHeight="1">
      <c r="E497" s="4851" t="s">
        <v>3122</v>
      </c>
      <c r="F497" s="4851"/>
      <c r="G497" s="4851"/>
      <c r="H497" s="4851"/>
    </row>
    <row r="498" spans="1:8" ht="12.75" customHeight="1">
      <c r="D498" s="642" t="s">
        <v>2984</v>
      </c>
      <c r="E498" s="4851" t="s">
        <v>3123</v>
      </c>
      <c r="F498" s="4851"/>
      <c r="G498" s="4851"/>
      <c r="H498" s="4851"/>
    </row>
    <row r="499" spans="1:8" ht="9" customHeight="1" thickBot="1"/>
    <row r="500" spans="1:8" ht="16.149999999999999" customHeight="1" thickBot="1">
      <c r="A500" s="4852">
        <v>80</v>
      </c>
      <c r="B500" s="4853"/>
      <c r="C500" s="1451" t="s">
        <v>975</v>
      </c>
    </row>
    <row r="501" spans="1:8" ht="9" customHeight="1">
      <c r="A501" s="611"/>
    </row>
    <row r="502" spans="1:8" ht="28.15" customHeight="1">
      <c r="A502" s="4851" t="s">
        <v>4090</v>
      </c>
      <c r="B502" s="4851"/>
      <c r="C502" s="4851"/>
      <c r="D502" s="4851"/>
      <c r="E502" s="4851"/>
      <c r="F502" s="4851"/>
      <c r="G502" s="4851"/>
      <c r="H502" s="4851"/>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1843</v>
      </c>
      <c r="E506" s="640"/>
      <c r="F506" s="4851" t="s">
        <v>2888</v>
      </c>
      <c r="G506" s="4851"/>
      <c r="H506" s="4851"/>
    </row>
    <row r="507" spans="1:8" ht="12.75" customHeight="1">
      <c r="C507" s="641" t="s">
        <v>1275</v>
      </c>
      <c r="D507" s="639" t="s">
        <v>1845</v>
      </c>
      <c r="E507" s="4851" t="s">
        <v>2985</v>
      </c>
      <c r="F507" s="4851"/>
      <c r="G507" s="4851"/>
      <c r="H507" s="4851"/>
    </row>
    <row r="508" spans="1:8" ht="12.75" customHeight="1">
      <c r="C508" s="1449" t="s">
        <v>4083</v>
      </c>
      <c r="E508" s="4851" t="s">
        <v>3122</v>
      </c>
      <c r="F508" s="4851"/>
      <c r="G508" s="4851"/>
      <c r="H508" s="4851"/>
    </row>
    <row r="509" spans="1:8" ht="12.75" customHeight="1">
      <c r="C509" s="1450"/>
      <c r="D509" s="1448" t="s">
        <v>2984</v>
      </c>
      <c r="E509" s="4854" t="s">
        <v>3123</v>
      </c>
      <c r="F509" s="4854"/>
      <c r="G509" s="4854"/>
      <c r="H509" s="4854"/>
    </row>
    <row r="510" spans="1:8" ht="3" customHeight="1">
      <c r="D510" s="639"/>
      <c r="E510" s="1025"/>
      <c r="F510" s="1025"/>
      <c r="G510" s="1025"/>
      <c r="H510" s="1025"/>
    </row>
    <row r="511" spans="1:8" ht="12.75" customHeight="1">
      <c r="C511" s="617" t="s">
        <v>2887</v>
      </c>
      <c r="D511" s="639" t="s">
        <v>1843</v>
      </c>
      <c r="E511" s="640"/>
      <c r="F511" s="636" t="s">
        <v>2888</v>
      </c>
      <c r="G511" s="636"/>
      <c r="H511" s="636"/>
    </row>
    <row r="512" spans="1:8" ht="12.75" customHeight="1">
      <c r="C512" s="641" t="s">
        <v>1275</v>
      </c>
      <c r="D512" s="639" t="s">
        <v>1845</v>
      </c>
      <c r="E512" s="4851" t="s">
        <v>2985</v>
      </c>
      <c r="F512" s="4851"/>
      <c r="G512" s="4851"/>
      <c r="H512" s="4851"/>
    </row>
    <row r="513" spans="1:8" ht="12.75" customHeight="1">
      <c r="C513" s="1449" t="s">
        <v>4083</v>
      </c>
      <c r="E513" s="4851" t="s">
        <v>3122</v>
      </c>
      <c r="F513" s="4851"/>
      <c r="G513" s="4851"/>
      <c r="H513" s="4851"/>
    </row>
    <row r="514" spans="1:8" ht="12.75" customHeight="1">
      <c r="C514" s="1450"/>
      <c r="D514" s="1448" t="s">
        <v>2984</v>
      </c>
      <c r="E514" s="4854" t="s">
        <v>3123</v>
      </c>
      <c r="F514" s="4854"/>
      <c r="G514" s="4854"/>
      <c r="H514" s="4854"/>
    </row>
    <row r="515" spans="1:8" ht="3" customHeight="1">
      <c r="D515" s="639"/>
      <c r="E515" s="1025"/>
      <c r="F515" s="1025"/>
      <c r="G515" s="1025"/>
      <c r="H515" s="1025"/>
    </row>
    <row r="516" spans="1:8" ht="12.75" customHeight="1">
      <c r="C516" s="617" t="s">
        <v>2887</v>
      </c>
      <c r="D516" s="639" t="s">
        <v>1843</v>
      </c>
      <c r="E516" s="640"/>
      <c r="F516" s="636" t="s">
        <v>2888</v>
      </c>
      <c r="G516" s="636"/>
      <c r="H516" s="636"/>
    </row>
    <row r="517" spans="1:8" ht="12.75" customHeight="1">
      <c r="C517" s="641" t="s">
        <v>1275</v>
      </c>
      <c r="D517" s="639" t="s">
        <v>1845</v>
      </c>
      <c r="E517" s="4851" t="s">
        <v>2985</v>
      </c>
      <c r="F517" s="4851"/>
      <c r="G517" s="4851"/>
      <c r="H517" s="4851"/>
    </row>
    <row r="518" spans="1:8" ht="12.75" customHeight="1">
      <c r="C518" s="1449" t="s">
        <v>4083</v>
      </c>
      <c r="E518" s="4851" t="s">
        <v>3122</v>
      </c>
      <c r="F518" s="4851"/>
      <c r="G518" s="4851"/>
      <c r="H518" s="4851"/>
    </row>
    <row r="519" spans="1:8" ht="12.75" customHeight="1">
      <c r="C519" s="1450"/>
      <c r="D519" s="1448" t="s">
        <v>2984</v>
      </c>
      <c r="E519" s="4854" t="s">
        <v>3123</v>
      </c>
      <c r="F519" s="4854"/>
      <c r="G519" s="4854"/>
      <c r="H519" s="4854"/>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1843</v>
      </c>
      <c r="E523" s="640"/>
      <c r="F523" s="636" t="s">
        <v>2888</v>
      </c>
      <c r="G523" s="636"/>
      <c r="H523" s="636"/>
    </row>
    <row r="524" spans="1:8" ht="12.75" customHeight="1">
      <c r="C524" s="641" t="s">
        <v>1275</v>
      </c>
      <c r="D524" s="639" t="s">
        <v>1845</v>
      </c>
      <c r="E524" s="4851" t="s">
        <v>2985</v>
      </c>
      <c r="F524" s="4851"/>
      <c r="G524" s="4851"/>
      <c r="H524" s="4851"/>
    </row>
    <row r="525" spans="1:8" ht="12.75" customHeight="1">
      <c r="C525" s="1449" t="s">
        <v>4083</v>
      </c>
      <c r="E525" s="4851" t="s">
        <v>3122</v>
      </c>
      <c r="F525" s="4851"/>
      <c r="G525" s="4851"/>
      <c r="H525" s="4851"/>
    </row>
    <row r="526" spans="1:8" ht="12.75" customHeight="1">
      <c r="C526" s="1450"/>
      <c r="D526" s="642" t="s">
        <v>2984</v>
      </c>
      <c r="E526" s="4851" t="s">
        <v>3123</v>
      </c>
      <c r="F526" s="4851"/>
      <c r="G526" s="4851"/>
      <c r="H526" s="4851"/>
    </row>
    <row r="527" spans="1:8" ht="3" customHeight="1">
      <c r="D527" s="639"/>
      <c r="E527" s="1025"/>
      <c r="F527" s="1025"/>
      <c r="G527" s="1025"/>
      <c r="H527" s="1025"/>
    </row>
    <row r="528" spans="1:8" ht="12.75" customHeight="1">
      <c r="C528" s="617" t="s">
        <v>2887</v>
      </c>
      <c r="D528" s="639" t="s">
        <v>1843</v>
      </c>
      <c r="E528" s="640"/>
      <c r="F528" s="636" t="s">
        <v>2888</v>
      </c>
      <c r="G528" s="636"/>
      <c r="H528" s="636"/>
    </row>
    <row r="529" spans="1:8" ht="12.75" customHeight="1">
      <c r="C529" s="641" t="s">
        <v>1275</v>
      </c>
      <c r="D529" s="639" t="s">
        <v>1845</v>
      </c>
      <c r="E529" s="4851" t="s">
        <v>2985</v>
      </c>
      <c r="F529" s="4851"/>
      <c r="G529" s="4851"/>
      <c r="H529" s="4851"/>
    </row>
    <row r="530" spans="1:8" ht="12.75" customHeight="1">
      <c r="C530" s="1449" t="s">
        <v>4083</v>
      </c>
      <c r="E530" s="4851" t="s">
        <v>3122</v>
      </c>
      <c r="F530" s="4851"/>
      <c r="G530" s="4851"/>
      <c r="H530" s="4851"/>
    </row>
    <row r="531" spans="1:8" ht="12.75" customHeight="1">
      <c r="C531" s="1450"/>
      <c r="D531" s="1448" t="s">
        <v>2984</v>
      </c>
      <c r="E531" s="4854" t="s">
        <v>3123</v>
      </c>
      <c r="F531" s="4854"/>
      <c r="G531" s="4854"/>
      <c r="H531" s="4854"/>
    </row>
    <row r="532" spans="1:8" ht="3" customHeight="1">
      <c r="D532" s="639"/>
      <c r="E532" s="1025"/>
      <c r="F532" s="1025"/>
      <c r="G532" s="1025"/>
      <c r="H532" s="1025"/>
    </row>
    <row r="533" spans="1:8" ht="12.75" customHeight="1">
      <c r="C533" s="617" t="s">
        <v>2887</v>
      </c>
      <c r="D533" s="639" t="s">
        <v>1843</v>
      </c>
      <c r="E533" s="640"/>
      <c r="F533" s="636" t="s">
        <v>2888</v>
      </c>
      <c r="G533" s="636"/>
      <c r="H533" s="636"/>
    </row>
    <row r="534" spans="1:8" ht="12.75" customHeight="1">
      <c r="C534" s="641" t="s">
        <v>1275</v>
      </c>
      <c r="D534" s="639" t="s">
        <v>1845</v>
      </c>
      <c r="E534" s="4851" t="s">
        <v>2985</v>
      </c>
      <c r="F534" s="4851"/>
      <c r="G534" s="4851"/>
      <c r="H534" s="4851"/>
    </row>
    <row r="535" spans="1:8" ht="12.75" customHeight="1">
      <c r="C535" s="1449" t="s">
        <v>4083</v>
      </c>
      <c r="E535" s="4851" t="s">
        <v>3122</v>
      </c>
      <c r="F535" s="4851"/>
      <c r="G535" s="4851"/>
      <c r="H535" s="4851"/>
    </row>
    <row r="536" spans="1:8" ht="12.75" customHeight="1">
      <c r="C536" s="1450"/>
      <c r="D536" s="1448" t="s">
        <v>2984</v>
      </c>
      <c r="E536" s="4854" t="s">
        <v>3123</v>
      </c>
      <c r="F536" s="4854"/>
      <c r="G536" s="4854"/>
      <c r="H536" s="4854"/>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1843</v>
      </c>
      <c r="E540" s="640"/>
      <c r="F540" s="636" t="s">
        <v>2888</v>
      </c>
      <c r="G540" s="636"/>
      <c r="H540" s="636"/>
    </row>
    <row r="541" spans="1:8" ht="12.75" customHeight="1">
      <c r="C541" s="641" t="s">
        <v>1275</v>
      </c>
      <c r="D541" s="639" t="s">
        <v>1845</v>
      </c>
      <c r="E541" s="4851" t="s">
        <v>2985</v>
      </c>
      <c r="F541" s="4851"/>
      <c r="G541" s="4851"/>
      <c r="H541" s="4851"/>
    </row>
    <row r="542" spans="1:8" ht="12.75" customHeight="1">
      <c r="C542" s="1449" t="s">
        <v>4083</v>
      </c>
      <c r="E542" s="4851" t="s">
        <v>3122</v>
      </c>
      <c r="F542" s="4851"/>
      <c r="G542" s="4851"/>
      <c r="H542" s="4851"/>
    </row>
    <row r="543" spans="1:8" ht="12.75" customHeight="1">
      <c r="C543" s="1450"/>
      <c r="D543" s="642" t="s">
        <v>2984</v>
      </c>
      <c r="E543" s="4851" t="s">
        <v>3123</v>
      </c>
      <c r="F543" s="4851"/>
      <c r="G543" s="4851"/>
      <c r="H543" s="4851"/>
    </row>
    <row r="544" spans="1:8" ht="3" customHeight="1">
      <c r="D544" s="639"/>
      <c r="E544" s="1025"/>
      <c r="F544" s="1025"/>
      <c r="G544" s="1025"/>
      <c r="H544" s="1025"/>
    </row>
    <row r="545" spans="1:8" ht="12.75" customHeight="1">
      <c r="C545" s="617" t="s">
        <v>2887</v>
      </c>
      <c r="D545" s="639" t="s">
        <v>1843</v>
      </c>
      <c r="E545" s="640"/>
      <c r="F545" s="636" t="s">
        <v>2888</v>
      </c>
      <c r="G545" s="636"/>
      <c r="H545" s="636"/>
    </row>
    <row r="546" spans="1:8" ht="12.75" customHeight="1">
      <c r="C546" s="641" t="s">
        <v>1275</v>
      </c>
      <c r="D546" s="639" t="s">
        <v>1845</v>
      </c>
      <c r="E546" s="4851" t="s">
        <v>2985</v>
      </c>
      <c r="F546" s="4851"/>
      <c r="G546" s="4851"/>
      <c r="H546" s="4851"/>
    </row>
    <row r="547" spans="1:8" ht="12.75" customHeight="1">
      <c r="C547" s="1449" t="s">
        <v>4083</v>
      </c>
      <c r="E547" s="4851" t="s">
        <v>3122</v>
      </c>
      <c r="F547" s="4851"/>
      <c r="G547" s="4851"/>
      <c r="H547" s="4851"/>
    </row>
    <row r="548" spans="1:8" ht="12.75" customHeight="1">
      <c r="C548" s="1450"/>
      <c r="D548" s="1448" t="s">
        <v>2984</v>
      </c>
      <c r="E548" s="4854" t="s">
        <v>3123</v>
      </c>
      <c r="F548" s="4854"/>
      <c r="G548" s="4854"/>
      <c r="H548" s="4854"/>
    </row>
    <row r="549" spans="1:8" ht="3" customHeight="1">
      <c r="D549" s="639"/>
      <c r="E549" s="1025"/>
      <c r="F549" s="1025"/>
      <c r="G549" s="1025"/>
      <c r="H549" s="1025"/>
    </row>
    <row r="550" spans="1:8" ht="12.75" customHeight="1">
      <c r="C550" s="617" t="s">
        <v>2887</v>
      </c>
      <c r="D550" s="639" t="s">
        <v>1843</v>
      </c>
      <c r="E550" s="640"/>
      <c r="F550" s="636" t="s">
        <v>2888</v>
      </c>
      <c r="G550" s="636"/>
      <c r="H550" s="636"/>
    </row>
    <row r="551" spans="1:8" ht="12.75" customHeight="1">
      <c r="C551" s="641" t="s">
        <v>1275</v>
      </c>
      <c r="D551" s="639" t="s">
        <v>1845</v>
      </c>
      <c r="E551" s="4851" t="s">
        <v>2985</v>
      </c>
      <c r="F551" s="4851"/>
      <c r="G551" s="4851"/>
      <c r="H551" s="4851"/>
    </row>
    <row r="552" spans="1:8" ht="12.75" customHeight="1">
      <c r="C552" s="1449" t="s">
        <v>4083</v>
      </c>
      <c r="E552" s="4851" t="s">
        <v>3122</v>
      </c>
      <c r="F552" s="4851"/>
      <c r="G552" s="4851"/>
      <c r="H552" s="4851"/>
    </row>
    <row r="553" spans="1:8" ht="12.75" customHeight="1">
      <c r="C553" s="1450"/>
      <c r="D553" s="1448" t="s">
        <v>2984</v>
      </c>
      <c r="E553" s="4854" t="s">
        <v>3123</v>
      </c>
      <c r="F553" s="4854"/>
      <c r="G553" s="4854"/>
      <c r="H553" s="4854"/>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1843</v>
      </c>
      <c r="E557" s="640"/>
      <c r="F557" s="636" t="s">
        <v>2888</v>
      </c>
      <c r="G557" s="636"/>
      <c r="H557" s="636"/>
    </row>
    <row r="558" spans="1:8" ht="12.75" customHeight="1">
      <c r="C558" s="641" t="s">
        <v>1275</v>
      </c>
      <c r="D558" s="639" t="s">
        <v>1845</v>
      </c>
      <c r="E558" s="4851" t="s">
        <v>2985</v>
      </c>
      <c r="F558" s="4851"/>
      <c r="G558" s="4851"/>
      <c r="H558" s="4851"/>
    </row>
    <row r="559" spans="1:8" ht="12.75" customHeight="1">
      <c r="C559" s="1449" t="s">
        <v>4083</v>
      </c>
      <c r="E559" s="4851" t="s">
        <v>3122</v>
      </c>
      <c r="F559" s="4851"/>
      <c r="G559" s="4851"/>
      <c r="H559" s="4851"/>
    </row>
    <row r="560" spans="1:8" ht="12.75" customHeight="1">
      <c r="C560" s="1450"/>
      <c r="D560" s="642" t="s">
        <v>2984</v>
      </c>
      <c r="E560" s="4851" t="s">
        <v>3123</v>
      </c>
      <c r="F560" s="4851"/>
      <c r="G560" s="4851"/>
      <c r="H560" s="4851"/>
    </row>
    <row r="561" spans="1:11" ht="3" customHeight="1">
      <c r="D561" s="639"/>
      <c r="E561" s="1025"/>
      <c r="F561" s="1025"/>
      <c r="G561" s="1025"/>
      <c r="H561" s="1025"/>
    </row>
    <row r="562" spans="1:11" ht="12.75" customHeight="1">
      <c r="C562" s="617" t="s">
        <v>2887</v>
      </c>
      <c r="D562" s="639" t="s">
        <v>1843</v>
      </c>
      <c r="E562" s="640"/>
      <c r="F562" s="636" t="s">
        <v>2888</v>
      </c>
      <c r="G562" s="636"/>
      <c r="H562" s="636"/>
    </row>
    <row r="563" spans="1:11" ht="12.75" customHeight="1">
      <c r="C563" s="641" t="s">
        <v>1275</v>
      </c>
      <c r="D563" s="639" t="s">
        <v>1845</v>
      </c>
      <c r="E563" s="4851" t="s">
        <v>2985</v>
      </c>
      <c r="F563" s="4851"/>
      <c r="G563" s="4851"/>
      <c r="H563" s="4851"/>
    </row>
    <row r="564" spans="1:11" ht="12.75" customHeight="1">
      <c r="C564" s="1449" t="s">
        <v>4083</v>
      </c>
      <c r="E564" s="4851" t="s">
        <v>3122</v>
      </c>
      <c r="F564" s="4851"/>
      <c r="G564" s="4851"/>
      <c r="H564" s="4851"/>
    </row>
    <row r="565" spans="1:11" ht="12.75" customHeight="1">
      <c r="C565" s="1450"/>
      <c r="D565" s="1448" t="s">
        <v>2984</v>
      </c>
      <c r="E565" s="4854" t="s">
        <v>3123</v>
      </c>
      <c r="F565" s="4854"/>
      <c r="G565" s="4854"/>
      <c r="H565" s="4854"/>
    </row>
    <row r="566" spans="1:11" ht="3" customHeight="1">
      <c r="D566" s="639"/>
      <c r="E566" s="1025"/>
      <c r="F566" s="1025"/>
      <c r="G566" s="1025"/>
      <c r="H566" s="1025"/>
    </row>
    <row r="567" spans="1:11" ht="12.75" customHeight="1">
      <c r="C567" s="617" t="s">
        <v>2887</v>
      </c>
      <c r="D567" s="639" t="s">
        <v>1843</v>
      </c>
      <c r="E567" s="640"/>
      <c r="F567" s="636" t="s">
        <v>2888</v>
      </c>
      <c r="G567" s="636"/>
      <c r="H567" s="636"/>
    </row>
    <row r="568" spans="1:11" ht="12.75" customHeight="1">
      <c r="C568" s="641" t="s">
        <v>1275</v>
      </c>
      <c r="D568" s="639" t="s">
        <v>1845</v>
      </c>
      <c r="E568" s="4851" t="s">
        <v>2985</v>
      </c>
      <c r="F568" s="4851"/>
      <c r="G568" s="4851"/>
      <c r="H568" s="4851"/>
    </row>
    <row r="569" spans="1:11" ht="12.75" customHeight="1">
      <c r="C569" s="1449" t="s">
        <v>4083</v>
      </c>
      <c r="E569" s="4851" t="s">
        <v>3122</v>
      </c>
      <c r="F569" s="4851"/>
      <c r="G569" s="4851"/>
      <c r="H569" s="4851"/>
    </row>
    <row r="570" spans="1:11" ht="12.75" customHeight="1">
      <c r="C570" s="1450"/>
      <c r="D570" s="1448" t="s">
        <v>2984</v>
      </c>
      <c r="E570" s="4854" t="s">
        <v>3123</v>
      </c>
      <c r="F570" s="4854"/>
      <c r="G570" s="4854"/>
      <c r="H570" s="4854"/>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1843</v>
      </c>
      <c r="E574" s="640"/>
      <c r="F574" s="4851" t="s">
        <v>2888</v>
      </c>
      <c r="G574" s="4851"/>
      <c r="H574" s="4851"/>
      <c r="K574" s="432" t="s">
        <v>233</v>
      </c>
    </row>
    <row r="575" spans="1:11" ht="12.75" customHeight="1">
      <c r="C575" s="641" t="s">
        <v>1275</v>
      </c>
      <c r="D575" s="639" t="s">
        <v>1845</v>
      </c>
      <c r="E575" s="4851" t="s">
        <v>2986</v>
      </c>
      <c r="F575" s="4851"/>
      <c r="G575" s="4851"/>
      <c r="H575" s="4851"/>
    </row>
    <row r="576" spans="1:11" ht="12.75" customHeight="1">
      <c r="E576" s="4851" t="s">
        <v>3122</v>
      </c>
      <c r="F576" s="4851"/>
      <c r="G576" s="4851"/>
      <c r="H576" s="4851"/>
    </row>
    <row r="577" spans="4:8" ht="12.75" customHeight="1">
      <c r="D577" s="642" t="s">
        <v>2984</v>
      </c>
      <c r="E577" s="4851" t="s">
        <v>3123</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Westbury, Decatur, DeKalb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3460</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33" t="s">
        <v>87</v>
      </c>
      <c r="I6" s="3107"/>
      <c r="J6" s="3107"/>
      <c r="K6" s="3107"/>
      <c r="L6" s="3107"/>
      <c r="M6" s="3107"/>
      <c r="N6" s="3108"/>
      <c r="O6" s="259" t="s">
        <v>1846</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2060</v>
      </c>
      <c r="J9" s="3099"/>
      <c r="K9" s="3100"/>
      <c r="L9" s="261" t="s">
        <v>3195</v>
      </c>
      <c r="M9" s="3101"/>
      <c r="N9" s="3102"/>
      <c r="O9" s="259" t="s">
        <v>1837</v>
      </c>
      <c r="P9" s="261"/>
      <c r="Q9" s="3030"/>
      <c r="R9" s="3031"/>
      <c r="S9" s="3032"/>
      <c r="Z9" s="1706">
        <v>9</v>
      </c>
    </row>
    <row r="10" spans="1:26" s="144" customFormat="1" ht="11.25" customHeight="1">
      <c r="D10" s="260"/>
      <c r="E10" s="246" t="s">
        <v>3461</v>
      </c>
      <c r="H10" s="3103"/>
      <c r="I10" s="3104"/>
      <c r="J10" s="711"/>
      <c r="K10" s="262" t="s">
        <v>1841</v>
      </c>
      <c r="L10" s="3105"/>
      <c r="M10" s="3040"/>
      <c r="N10" s="3040"/>
      <c r="O10" s="3037"/>
      <c r="P10" s="3037"/>
      <c r="Q10" s="3040"/>
      <c r="R10" s="3040"/>
      <c r="S10" s="3106"/>
      <c r="Z10" s="1706">
        <v>10</v>
      </c>
    </row>
    <row r="11" spans="1:26" s="144" customFormat="1" ht="11.25" customHeight="1">
      <c r="D11" s="260"/>
      <c r="E11" s="945" t="s">
        <v>3460</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33"/>
      <c r="I15" s="3107"/>
      <c r="J15" s="3107"/>
      <c r="K15" s="3107"/>
      <c r="L15" s="3107"/>
      <c r="M15" s="3107"/>
      <c r="N15" s="3108"/>
      <c r="O15" s="259" t="s">
        <v>1846</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2458</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2060</v>
      </c>
      <c r="L18" s="3117"/>
      <c r="M18" s="3118"/>
      <c r="N18" s="261"/>
      <c r="O18" s="259" t="s">
        <v>1837</v>
      </c>
      <c r="P18" s="261"/>
      <c r="Q18" s="3030"/>
      <c r="R18" s="3031"/>
      <c r="S18" s="3032"/>
      <c r="Z18" s="1706">
        <v>18</v>
      </c>
    </row>
    <row r="19" spans="4:26" s="144" customFormat="1" ht="11.25" customHeight="1">
      <c r="D19" s="260"/>
      <c r="E19" s="246" t="s">
        <v>3461</v>
      </c>
      <c r="H19" s="3103"/>
      <c r="I19" s="3109"/>
      <c r="J19" s="255"/>
      <c r="K19" s="262" t="s">
        <v>1841</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33"/>
      <c r="I21" s="3107"/>
      <c r="J21" s="3107"/>
      <c r="K21" s="3107"/>
      <c r="L21" s="3107"/>
      <c r="M21" s="3107"/>
      <c r="N21" s="3108"/>
      <c r="O21" s="259" t="s">
        <v>1846</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2458</v>
      </c>
      <c r="L23" s="3075"/>
      <c r="M23" s="3110"/>
      <c r="N23" s="3116"/>
      <c r="O23" s="259" t="s">
        <v>1600</v>
      </c>
      <c r="P23" s="261"/>
      <c r="Q23" s="3030"/>
      <c r="R23" s="3031"/>
      <c r="S23" s="3032"/>
      <c r="Z23" s="1706">
        <v>23</v>
      </c>
    </row>
    <row r="24" spans="4:26" s="144" customFormat="1" ht="11.25" customHeight="1">
      <c r="E24" s="246" t="s">
        <v>1671</v>
      </c>
      <c r="H24" s="997"/>
      <c r="I24" s="261"/>
      <c r="J24" s="261"/>
      <c r="K24" s="676" t="s">
        <v>2060</v>
      </c>
      <c r="L24" s="3117"/>
      <c r="M24" s="3118"/>
      <c r="N24" s="261"/>
      <c r="O24" s="259" t="s">
        <v>1837</v>
      </c>
      <c r="P24" s="261"/>
      <c r="Q24" s="3030"/>
      <c r="R24" s="3031"/>
      <c r="S24" s="3032"/>
      <c r="Z24" s="1706">
        <v>24</v>
      </c>
    </row>
    <row r="25" spans="4:26" s="144" customFormat="1" ht="11.25" customHeight="1">
      <c r="D25" s="260"/>
      <c r="E25" s="246" t="s">
        <v>3461</v>
      </c>
      <c r="H25" s="3103"/>
      <c r="I25" s="3109"/>
      <c r="J25" s="255"/>
      <c r="K25" s="262" t="s">
        <v>1841</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33"/>
      <c r="I27" s="3107"/>
      <c r="J27" s="3107"/>
      <c r="K27" s="3107"/>
      <c r="L27" s="3107"/>
      <c r="M27" s="3107"/>
      <c r="N27" s="3108"/>
      <c r="O27" s="259" t="s">
        <v>1846</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2458</v>
      </c>
      <c r="L29" s="3075"/>
      <c r="M29" s="3110"/>
      <c r="N29" s="3116"/>
      <c r="O29" s="259" t="s">
        <v>1600</v>
      </c>
      <c r="P29" s="261"/>
      <c r="Q29" s="3030"/>
      <c r="R29" s="3031"/>
      <c r="S29" s="3032"/>
      <c r="Z29" s="1706">
        <v>29</v>
      </c>
    </row>
    <row r="30" spans="4:26" s="144" customFormat="1" ht="11.25" customHeight="1">
      <c r="E30" s="246" t="s">
        <v>1671</v>
      </c>
      <c r="H30" s="997"/>
      <c r="I30" s="261"/>
      <c r="J30" s="261"/>
      <c r="K30" s="676" t="s">
        <v>2060</v>
      </c>
      <c r="L30" s="3117"/>
      <c r="M30" s="3118"/>
      <c r="N30" s="261"/>
      <c r="O30" s="259" t="s">
        <v>1837</v>
      </c>
      <c r="P30" s="261"/>
      <c r="Q30" s="3030"/>
      <c r="R30" s="3031"/>
      <c r="S30" s="3032"/>
      <c r="Z30" s="1706">
        <v>30</v>
      </c>
    </row>
    <row r="31" spans="4:26" s="144" customFormat="1" ht="11.25" customHeight="1">
      <c r="D31" s="260"/>
      <c r="E31" s="246" t="s">
        <v>3461</v>
      </c>
      <c r="H31" s="3103"/>
      <c r="I31" s="3109"/>
      <c r="J31" s="255"/>
      <c r="K31" s="262" t="s">
        <v>1841</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3460</v>
      </c>
      <c r="L33" s="261"/>
      <c r="M33" s="261"/>
      <c r="N33" s="261"/>
      <c r="O33" s="261"/>
      <c r="P33" s="261"/>
      <c r="Q33" s="261"/>
      <c r="R33" s="261"/>
      <c r="S33" s="261"/>
      <c r="Z33" s="1706">
        <v>33</v>
      </c>
    </row>
    <row r="34" spans="3:26" s="144" customFormat="1" ht="11.25" customHeight="1">
      <c r="D34" s="243" t="s">
        <v>1962</v>
      </c>
      <c r="E34" s="144" t="s">
        <v>699</v>
      </c>
      <c r="H34" s="3033"/>
      <c r="I34" s="3107"/>
      <c r="J34" s="3107"/>
      <c r="K34" s="3107"/>
      <c r="L34" s="3107"/>
      <c r="M34" s="3107"/>
      <c r="N34" s="3108"/>
      <c r="O34" s="259" t="s">
        <v>1846</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2458</v>
      </c>
      <c r="L36" s="3075"/>
      <c r="M36" s="3110"/>
      <c r="N36" s="3116"/>
      <c r="O36" s="259" t="s">
        <v>1600</v>
      </c>
      <c r="P36" s="261"/>
      <c r="Q36" s="3030"/>
      <c r="R36" s="3031"/>
      <c r="S36" s="3032"/>
      <c r="Z36" s="1706">
        <v>36</v>
      </c>
    </row>
    <row r="37" spans="3:26" s="144" customFormat="1" ht="11.25" customHeight="1">
      <c r="E37" s="246" t="s">
        <v>1671</v>
      </c>
      <c r="H37" s="997"/>
      <c r="I37" s="261"/>
      <c r="J37" s="261"/>
      <c r="K37" s="676" t="s">
        <v>2060</v>
      </c>
      <c r="L37" s="3117"/>
      <c r="M37" s="3118"/>
      <c r="N37" s="261"/>
      <c r="O37" s="259" t="s">
        <v>1837</v>
      </c>
      <c r="P37" s="261"/>
      <c r="Q37" s="3030"/>
      <c r="R37" s="3031"/>
      <c r="S37" s="3032"/>
      <c r="Z37" s="1706">
        <v>37</v>
      </c>
    </row>
    <row r="38" spans="3:26" s="144" customFormat="1" ht="11.25" customHeight="1">
      <c r="D38" s="260"/>
      <c r="E38" s="246" t="s">
        <v>3461</v>
      </c>
      <c r="H38" s="3103"/>
      <c r="I38" s="3109"/>
      <c r="J38" s="255"/>
      <c r="K38" s="262" t="s">
        <v>1841</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33"/>
      <c r="I40" s="3107"/>
      <c r="J40" s="3107"/>
      <c r="K40" s="3107"/>
      <c r="L40" s="3107"/>
      <c r="M40" s="3107"/>
      <c r="N40" s="3108"/>
      <c r="O40" s="259" t="s">
        <v>1846</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2458</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2060</v>
      </c>
      <c r="L43" s="3117"/>
      <c r="M43" s="3118"/>
      <c r="N43" s="261"/>
      <c r="O43" s="259" t="s">
        <v>1837</v>
      </c>
      <c r="P43" s="261"/>
      <c r="Q43" s="3030"/>
      <c r="R43" s="3031"/>
      <c r="S43" s="3032"/>
      <c r="Z43" s="1706">
        <v>43</v>
      </c>
    </row>
    <row r="44" spans="3:26" s="144" customFormat="1" ht="11.25" customHeight="1">
      <c r="D44" s="260"/>
      <c r="E44" s="246" t="s">
        <v>3461</v>
      </c>
      <c r="H44" s="3103"/>
      <c r="I44" s="3109"/>
      <c r="J44" s="255"/>
      <c r="K44" s="262" t="s">
        <v>1841</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1846</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2458</v>
      </c>
      <c r="L49" s="3075"/>
      <c r="M49" s="3110"/>
      <c r="N49" s="3116"/>
      <c r="O49" s="259" t="s">
        <v>1600</v>
      </c>
      <c r="P49" s="261"/>
      <c r="Q49" s="3030"/>
      <c r="R49" s="3031"/>
      <c r="S49" s="3032"/>
      <c r="Z49" s="1706">
        <v>49</v>
      </c>
    </row>
    <row r="50" spans="1:26" s="144" customFormat="1" ht="11.25" customHeight="1">
      <c r="E50" s="246" t="s">
        <v>1671</v>
      </c>
      <c r="H50" s="997"/>
      <c r="I50" s="261"/>
      <c r="J50" s="261"/>
      <c r="K50" s="676" t="s">
        <v>2060</v>
      </c>
      <c r="L50" s="3117"/>
      <c r="M50" s="3118"/>
      <c r="N50" s="261"/>
      <c r="O50" s="259" t="s">
        <v>1837</v>
      </c>
      <c r="P50" s="261"/>
      <c r="Q50" s="3030"/>
      <c r="R50" s="3031"/>
      <c r="S50" s="3032"/>
      <c r="Z50" s="1706">
        <v>50</v>
      </c>
    </row>
    <row r="51" spans="1:26" s="144" customFormat="1" ht="11.25" customHeight="1">
      <c r="D51" s="260"/>
      <c r="E51" s="246" t="s">
        <v>3461</v>
      </c>
      <c r="H51" s="3103"/>
      <c r="I51" s="3109"/>
      <c r="J51" s="255"/>
      <c r="K51" s="262" t="s">
        <v>1841</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33"/>
      <c r="I55" s="3107"/>
      <c r="J55" s="3107"/>
      <c r="K55" s="3107"/>
      <c r="L55" s="3107"/>
      <c r="M55" s="3107"/>
      <c r="N55" s="3108"/>
      <c r="O55" s="259" t="s">
        <v>1846</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2458</v>
      </c>
      <c r="L57" s="3075"/>
      <c r="M57" s="3110"/>
      <c r="N57" s="3116"/>
      <c r="O57" s="259" t="s">
        <v>1600</v>
      </c>
      <c r="P57" s="261"/>
      <c r="Q57" s="3030"/>
      <c r="R57" s="3031"/>
      <c r="S57" s="3032"/>
      <c r="Z57" s="1706">
        <v>57</v>
      </c>
    </row>
    <row r="58" spans="1:26" s="144" customFormat="1" ht="11.25" customHeight="1">
      <c r="E58" s="246" t="s">
        <v>1671</v>
      </c>
      <c r="H58" s="997"/>
      <c r="I58" s="261"/>
      <c r="J58" s="261"/>
      <c r="K58" s="676" t="s">
        <v>2060</v>
      </c>
      <c r="L58" s="3117"/>
      <c r="M58" s="3118"/>
      <c r="N58" s="261"/>
      <c r="O58" s="259" t="s">
        <v>1837</v>
      </c>
      <c r="P58" s="261"/>
      <c r="Q58" s="3030"/>
      <c r="R58" s="3031"/>
      <c r="S58" s="3032"/>
      <c r="Z58" s="1706">
        <v>58</v>
      </c>
    </row>
    <row r="59" spans="1:26" s="144" customFormat="1" ht="11.25" customHeight="1">
      <c r="D59" s="260"/>
      <c r="E59" s="246" t="s">
        <v>3461</v>
      </c>
      <c r="H59" s="3103"/>
      <c r="I59" s="3109"/>
      <c r="J59" s="255"/>
      <c r="K59" s="262" t="s">
        <v>1841</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33"/>
      <c r="I61" s="3107"/>
      <c r="J61" s="3107"/>
      <c r="K61" s="3107"/>
      <c r="L61" s="3107"/>
      <c r="M61" s="3107"/>
      <c r="N61" s="3108"/>
      <c r="O61" s="259" t="s">
        <v>1846</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2458</v>
      </c>
      <c r="L63" s="3075"/>
      <c r="M63" s="3110"/>
      <c r="N63" s="3116"/>
      <c r="O63" s="259" t="s">
        <v>1600</v>
      </c>
      <c r="P63" s="261"/>
      <c r="Q63" s="3030"/>
      <c r="R63" s="3031"/>
      <c r="S63" s="3032"/>
      <c r="Z63" s="1706">
        <v>63</v>
      </c>
    </row>
    <row r="64" spans="1:26" s="144" customFormat="1" ht="11.25" customHeight="1">
      <c r="E64" s="246" t="s">
        <v>1671</v>
      </c>
      <c r="H64" s="997"/>
      <c r="I64" s="261"/>
      <c r="J64" s="261"/>
      <c r="K64" s="676" t="s">
        <v>2060</v>
      </c>
      <c r="L64" s="3117"/>
      <c r="M64" s="3118"/>
      <c r="N64" s="261"/>
      <c r="O64" s="259" t="s">
        <v>1837</v>
      </c>
      <c r="P64" s="261"/>
      <c r="Q64" s="3030"/>
      <c r="R64" s="3031"/>
      <c r="S64" s="3032"/>
      <c r="Z64" s="1706">
        <v>64</v>
      </c>
    </row>
    <row r="65" spans="1:26" s="144" customFormat="1" ht="11.25" customHeight="1">
      <c r="D65" s="260"/>
      <c r="E65" s="246" t="s">
        <v>3461</v>
      </c>
      <c r="H65" s="3103"/>
      <c r="I65" s="3109"/>
      <c r="J65" s="255"/>
      <c r="K65" s="262" t="s">
        <v>1841</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1846</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2458</v>
      </c>
      <c r="L69" s="3075"/>
      <c r="M69" s="3110"/>
      <c r="N69" s="3116"/>
      <c r="O69" s="259" t="s">
        <v>1600</v>
      </c>
      <c r="P69" s="261"/>
      <c r="Q69" s="3030"/>
      <c r="R69" s="3031"/>
      <c r="S69" s="3032"/>
      <c r="Z69" s="1706">
        <v>69</v>
      </c>
    </row>
    <row r="70" spans="1:26" s="144" customFormat="1" ht="11.25" customHeight="1">
      <c r="E70" s="246" t="s">
        <v>1671</v>
      </c>
      <c r="H70" s="997"/>
      <c r="I70" s="261"/>
      <c r="J70" s="261"/>
      <c r="K70" s="676" t="s">
        <v>2060</v>
      </c>
      <c r="L70" s="3117"/>
      <c r="M70" s="3118"/>
      <c r="N70" s="261"/>
      <c r="O70" s="259" t="s">
        <v>1837</v>
      </c>
      <c r="P70" s="261"/>
      <c r="Q70" s="3030"/>
      <c r="R70" s="3031"/>
      <c r="S70" s="3032"/>
      <c r="Z70" s="1706">
        <v>70</v>
      </c>
    </row>
    <row r="71" spans="1:26" s="144" customFormat="1" ht="11.25" customHeight="1">
      <c r="D71" s="260"/>
      <c r="E71" s="246" t="s">
        <v>3461</v>
      </c>
      <c r="H71" s="3103"/>
      <c r="I71" s="3109"/>
      <c r="J71" s="255"/>
      <c r="K71" s="262" t="s">
        <v>1841</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33"/>
      <c r="I73" s="3107"/>
      <c r="J73" s="3107"/>
      <c r="K73" s="3107"/>
      <c r="L73" s="3107"/>
      <c r="M73" s="3107"/>
      <c r="N73" s="3108"/>
      <c r="O73" s="259" t="s">
        <v>1846</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2458</v>
      </c>
      <c r="L75" s="3075"/>
      <c r="M75" s="3110"/>
      <c r="N75" s="3116"/>
      <c r="O75" s="259" t="s">
        <v>1600</v>
      </c>
      <c r="P75" s="261"/>
      <c r="Q75" s="3030"/>
      <c r="R75" s="3031"/>
      <c r="S75" s="3032"/>
      <c r="Z75" s="1706">
        <v>75</v>
      </c>
    </row>
    <row r="76" spans="1:26" s="144" customFormat="1" ht="11.25" customHeight="1">
      <c r="E76" s="246" t="s">
        <v>1671</v>
      </c>
      <c r="H76" s="997"/>
      <c r="I76" s="261"/>
      <c r="J76" s="261"/>
      <c r="K76" s="676" t="s">
        <v>2060</v>
      </c>
      <c r="L76" s="3117"/>
      <c r="M76" s="3118"/>
      <c r="N76" s="261"/>
      <c r="O76" s="259" t="s">
        <v>1837</v>
      </c>
      <c r="P76" s="261"/>
      <c r="Q76" s="3030"/>
      <c r="R76" s="3031"/>
      <c r="S76" s="3032"/>
      <c r="Z76" s="1706">
        <v>76</v>
      </c>
    </row>
    <row r="77" spans="1:26" s="144" customFormat="1" ht="11.25" customHeight="1">
      <c r="D77" s="260"/>
      <c r="E77" s="246" t="s">
        <v>3461</v>
      </c>
      <c r="H77" s="3103"/>
      <c r="I77" s="3109"/>
      <c r="J77" s="255"/>
      <c r="K77" s="262" t="s">
        <v>1841</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33"/>
      <c r="I81" s="3107"/>
      <c r="J81" s="3107"/>
      <c r="K81" s="3107"/>
      <c r="L81" s="3107"/>
      <c r="M81" s="3107"/>
      <c r="N81" s="3108"/>
      <c r="O81" s="259" t="s">
        <v>1846</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2458</v>
      </c>
      <c r="L83" s="3075"/>
      <c r="M83" s="3110"/>
      <c r="N83" s="3116"/>
      <c r="O83" s="259" t="s">
        <v>1600</v>
      </c>
      <c r="P83" s="261"/>
      <c r="Q83" s="3030"/>
      <c r="R83" s="3031"/>
      <c r="S83" s="3032"/>
      <c r="Z83" s="1706">
        <v>83</v>
      </c>
    </row>
    <row r="84" spans="2:26" s="144" customFormat="1" ht="11.25" customHeight="1">
      <c r="E84" s="246" t="s">
        <v>1671</v>
      </c>
      <c r="H84" s="997"/>
      <c r="I84" s="261"/>
      <c r="J84" s="261"/>
      <c r="K84" s="676" t="s">
        <v>2060</v>
      </c>
      <c r="L84" s="3117"/>
      <c r="M84" s="3118"/>
      <c r="N84" s="261"/>
      <c r="O84" s="259" t="s">
        <v>1837</v>
      </c>
      <c r="P84" s="261"/>
      <c r="Q84" s="3030"/>
      <c r="R84" s="3031"/>
      <c r="S84" s="3032"/>
      <c r="Z84" s="1706">
        <v>84</v>
      </c>
    </row>
    <row r="85" spans="2:26" s="144" customFormat="1" ht="11.25" customHeight="1">
      <c r="D85" s="260"/>
      <c r="E85" s="246" t="s">
        <v>3461</v>
      </c>
      <c r="H85" s="3103"/>
      <c r="I85" s="3109"/>
      <c r="J85" s="255"/>
      <c r="K85" s="262" t="s">
        <v>1841</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33"/>
      <c r="I87" s="3107"/>
      <c r="J87" s="3107"/>
      <c r="K87" s="3107"/>
      <c r="L87" s="3107"/>
      <c r="M87" s="3107"/>
      <c r="N87" s="3108"/>
      <c r="O87" s="259" t="s">
        <v>1846</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2458</v>
      </c>
      <c r="L89" s="3075"/>
      <c r="M89" s="3110"/>
      <c r="N89" s="3116"/>
      <c r="O89" s="259" t="s">
        <v>1600</v>
      </c>
      <c r="P89" s="261"/>
      <c r="Q89" s="3030"/>
      <c r="R89" s="3031"/>
      <c r="S89" s="3032"/>
      <c r="Z89" s="1706">
        <v>89</v>
      </c>
    </row>
    <row r="90" spans="2:26" s="144" customFormat="1" ht="11.25" customHeight="1">
      <c r="E90" s="246" t="s">
        <v>1671</v>
      </c>
      <c r="H90" s="997"/>
      <c r="I90" s="261"/>
      <c r="J90" s="261"/>
      <c r="K90" s="676" t="s">
        <v>2060</v>
      </c>
      <c r="L90" s="3117"/>
      <c r="M90" s="3118"/>
      <c r="N90" s="261"/>
      <c r="O90" s="259" t="s">
        <v>1837</v>
      </c>
      <c r="P90" s="261"/>
      <c r="Q90" s="3030"/>
      <c r="R90" s="3031"/>
      <c r="S90" s="3032"/>
      <c r="Z90" s="1706">
        <v>90</v>
      </c>
    </row>
    <row r="91" spans="2:26" s="144" customFormat="1" ht="11.25" customHeight="1">
      <c r="D91" s="260"/>
      <c r="E91" s="246" t="s">
        <v>3461</v>
      </c>
      <c r="H91" s="3103"/>
      <c r="I91" s="3109"/>
      <c r="J91" s="255"/>
      <c r="K91" s="262" t="s">
        <v>1841</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1846</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2458</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2060</v>
      </c>
      <c r="L96" s="3117"/>
      <c r="M96" s="3118"/>
      <c r="N96" s="261"/>
      <c r="O96" s="259" t="s">
        <v>1837</v>
      </c>
      <c r="P96" s="261"/>
      <c r="Q96" s="3030"/>
      <c r="R96" s="3031"/>
      <c r="S96" s="3032"/>
      <c r="Z96" s="1706">
        <v>96</v>
      </c>
    </row>
    <row r="97" spans="2:26" s="144" customFormat="1" ht="11.25" customHeight="1">
      <c r="D97" s="260"/>
      <c r="E97" s="246" t="s">
        <v>3461</v>
      </c>
      <c r="H97" s="3103"/>
      <c r="I97" s="3109"/>
      <c r="J97" s="255"/>
      <c r="K97" s="262" t="s">
        <v>1841</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33"/>
      <c r="I99" s="3107"/>
      <c r="J99" s="3107"/>
      <c r="K99" s="3107"/>
      <c r="L99" s="3107"/>
      <c r="M99" s="3107"/>
      <c r="N99" s="3108"/>
      <c r="O99" s="259" t="s">
        <v>1846</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2458</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2060</v>
      </c>
      <c r="L102" s="3117"/>
      <c r="M102" s="3118"/>
      <c r="N102" s="261"/>
      <c r="O102" s="259" t="s">
        <v>1837</v>
      </c>
      <c r="P102" s="261"/>
      <c r="Q102" s="3030"/>
      <c r="R102" s="3031"/>
      <c r="S102" s="3032"/>
      <c r="Z102" s="1706">
        <v>102</v>
      </c>
    </row>
    <row r="103" spans="2:26" ht="11.25" customHeight="1">
      <c r="E103" s="246" t="s">
        <v>3461</v>
      </c>
      <c r="F103" s="144"/>
      <c r="G103" s="144"/>
      <c r="H103" s="3103"/>
      <c r="I103" s="3109"/>
      <c r="J103" s="255"/>
      <c r="K103" s="262" t="s">
        <v>1841</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1846</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2458</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2060</v>
      </c>
      <c r="L108" s="3117"/>
      <c r="M108" s="3118"/>
      <c r="N108" s="261"/>
      <c r="O108" s="259" t="s">
        <v>1837</v>
      </c>
      <c r="P108" s="261"/>
      <c r="Q108" s="3030"/>
      <c r="R108" s="3031"/>
      <c r="S108" s="3032"/>
      <c r="Z108" s="1706">
        <v>108</v>
      </c>
    </row>
    <row r="109" spans="2:26" ht="11.25" customHeight="1">
      <c r="E109" s="246" t="s">
        <v>3461</v>
      </c>
      <c r="F109" s="144"/>
      <c r="G109" s="144"/>
      <c r="H109" s="3103"/>
      <c r="I109" s="3109"/>
      <c r="J109" s="255"/>
      <c r="K109" s="262" t="s">
        <v>1841</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1846</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2458</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2060</v>
      </c>
      <c r="L114" s="3117"/>
      <c r="M114" s="3118"/>
      <c r="N114" s="261"/>
      <c r="O114" s="259" t="s">
        <v>1837</v>
      </c>
      <c r="P114" s="261"/>
      <c r="Q114" s="3030"/>
      <c r="R114" s="3031"/>
      <c r="S114" s="3032"/>
      <c r="Z114" s="1706">
        <v>114</v>
      </c>
    </row>
    <row r="115" spans="1:26" s="144" customFormat="1" ht="11.25" customHeight="1">
      <c r="D115" s="260"/>
      <c r="E115" s="246" t="s">
        <v>3461</v>
      </c>
      <c r="H115" s="3103"/>
      <c r="I115" s="3109"/>
      <c r="J115" s="255"/>
      <c r="K115" s="262" t="s">
        <v>1841</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6468</v>
      </c>
      <c r="H120" s="3033"/>
      <c r="I120" s="3034"/>
      <c r="J120" s="3035"/>
      <c r="K120" s="262" t="s">
        <v>1670</v>
      </c>
      <c r="L120" s="3033"/>
      <c r="M120" s="3107"/>
      <c r="N120" s="3108"/>
      <c r="O120" s="259" t="s">
        <v>3141</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2060</v>
      </c>
      <c r="J122" s="3137"/>
      <c r="K122" s="3116"/>
      <c r="L122" s="262" t="s">
        <v>1841</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3141</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2060</v>
      </c>
      <c r="J126" s="3137"/>
      <c r="K126" s="3116"/>
      <c r="L126" s="262" t="s">
        <v>1841</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3141</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2060</v>
      </c>
      <c r="J130" s="3137"/>
      <c r="K130" s="3116"/>
      <c r="L130" s="262" t="s">
        <v>1841</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3141</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2060</v>
      </c>
      <c r="J134" s="3137"/>
      <c r="K134" s="3116"/>
      <c r="L134" s="262" t="s">
        <v>1841</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3141</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2060</v>
      </c>
      <c r="J138" s="3137"/>
      <c r="K138" s="3116"/>
      <c r="L138" s="262" t="s">
        <v>1841</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3141</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2060</v>
      </c>
      <c r="J142" s="3137"/>
      <c r="K142" s="3116"/>
      <c r="L142" s="262" t="s">
        <v>1841</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6466</v>
      </c>
      <c r="H144" s="3033"/>
      <c r="I144" s="3034"/>
      <c r="J144" s="3035"/>
      <c r="K144" s="262" t="s">
        <v>1670</v>
      </c>
      <c r="L144" s="3033"/>
      <c r="M144" s="3107"/>
      <c r="N144" s="3108"/>
      <c r="O144" s="259" t="s">
        <v>3141</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2060</v>
      </c>
      <c r="J146" s="3137"/>
      <c r="K146" s="3116"/>
      <c r="L146" s="262" t="s">
        <v>1841</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33"/>
      <c r="I148" s="3034"/>
      <c r="J148" s="3035"/>
      <c r="K148" s="262" t="s">
        <v>1670</v>
      </c>
      <c r="L148" s="3033"/>
      <c r="M148" s="3107"/>
      <c r="N148" s="3108"/>
      <c r="O148" s="259" t="s">
        <v>3141</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2060</v>
      </c>
      <c r="J150" s="3137"/>
      <c r="K150" s="3116"/>
      <c r="L150" s="262" t="s">
        <v>1841</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3880</v>
      </c>
      <c r="H152" s="480"/>
      <c r="I152" s="480"/>
      <c r="J152" s="480"/>
      <c r="K152" s="480"/>
      <c r="L152" s="480"/>
      <c r="M152" s="480"/>
      <c r="N152" s="480"/>
      <c r="O152" s="480"/>
      <c r="P152" s="480"/>
      <c r="Q152" s="480"/>
      <c r="R152" s="480"/>
      <c r="S152" s="480"/>
      <c r="Z152" s="1706">
        <v>152</v>
      </c>
    </row>
    <row r="153" spans="1:26" ht="13.5" thickBot="1">
      <c r="A153" s="3197" t="s">
        <v>3296</v>
      </c>
      <c r="B153" s="3197"/>
      <c r="C153" s="3197"/>
      <c r="D153" s="3197"/>
      <c r="E153" s="3197"/>
      <c r="H153" s="1263" t="s">
        <v>2307</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1843</v>
      </c>
      <c r="C154" s="256" t="s">
        <v>2520</v>
      </c>
      <c r="E154" s="256"/>
      <c r="H154" s="1216" t="s">
        <v>3838</v>
      </c>
      <c r="I154" s="3096"/>
      <c r="J154" s="3097"/>
      <c r="K154" s="3097"/>
      <c r="L154" s="3097"/>
      <c r="M154" s="3097"/>
      <c r="N154" s="3097"/>
      <c r="O154" s="3097"/>
      <c r="P154" s="3097"/>
      <c r="Q154" s="3097"/>
      <c r="R154" s="3097"/>
      <c r="S154" s="3098"/>
      <c r="U154" s="3027" t="s">
        <v>1882</v>
      </c>
      <c r="V154" s="3027"/>
      <c r="Z154" s="1706">
        <v>154</v>
      </c>
    </row>
    <row r="155" spans="1:26" s="144" customFormat="1" ht="15" customHeight="1" thickBot="1">
      <c r="B155" s="476" t="s">
        <v>1845</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2331</v>
      </c>
      <c r="C156" s="256" t="s">
        <v>2556</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2521</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3074</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1741</v>
      </c>
      <c r="C159" s="256" t="s">
        <v>3075</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2522</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3063</v>
      </c>
      <c r="F166" s="3166"/>
      <c r="G166" s="3166"/>
      <c r="H166" s="3166"/>
      <c r="I166" s="3167"/>
      <c r="J166" s="3171" t="s">
        <v>3064</v>
      </c>
      <c r="K166" s="3174" t="s">
        <v>2578</v>
      </c>
      <c r="L166" s="3174" t="s">
        <v>2579</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3218</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2307</v>
      </c>
      <c r="J170" s="3173"/>
      <c r="K170" s="3176"/>
      <c r="L170" s="3175"/>
      <c r="M170" s="1218" t="s">
        <v>2307</v>
      </c>
      <c r="N170" s="3189" t="s">
        <v>2577</v>
      </c>
      <c r="O170" s="3189"/>
      <c r="P170" s="3189"/>
      <c r="Q170" s="3189"/>
      <c r="R170" s="3189"/>
      <c r="S170" s="3190"/>
      <c r="Z170" s="1706">
        <v>170</v>
      </c>
    </row>
    <row r="171" spans="1:26" s="144" customFormat="1" ht="23.25" customHeight="1">
      <c r="A171" s="3154" t="s">
        <v>3058</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3059</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1882</v>
      </c>
      <c r="V172" s="3027"/>
      <c r="Z172" s="1706">
        <v>172</v>
      </c>
    </row>
    <row r="173" spans="1:26" s="144" customFormat="1" ht="23.25" customHeight="1">
      <c r="A173" s="3149" t="s">
        <v>3060</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3061</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3062</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2568</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2569</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2570</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2572</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2571</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2573</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Westbury</v>
      </c>
    </row>
    <row r="2" spans="1:14">
      <c r="A2" s="560" t="s">
        <v>2882</v>
      </c>
      <c r="H2" s="432" t="str">
        <f>'Sensitivity Analysis'!E8</f>
        <v>2023-5</v>
      </c>
    </row>
    <row r="3" spans="1:14" ht="3" customHeight="1"/>
    <row r="4" spans="1:14" ht="69.599999999999994" customHeight="1">
      <c r="A4" s="4855" t="s">
        <v>2978</v>
      </c>
      <c r="B4" s="4855"/>
      <c r="C4" s="4855"/>
      <c r="D4" s="4855"/>
      <c r="E4" s="4855"/>
      <c r="F4" s="4855"/>
      <c r="G4" s="4855"/>
      <c r="H4" s="4855"/>
      <c r="I4" s="4855"/>
      <c r="J4" s="4855"/>
      <c r="K4" s="4855"/>
      <c r="L4" s="4897">
        <f>SUM('Part VI-Pro Forma'!B15:B17)/12</f>
        <v>221445.927</v>
      </c>
      <c r="M4" s="4897"/>
      <c r="N4" s="1493" t="s">
        <v>3663</v>
      </c>
    </row>
    <row r="5" spans="1:14" ht="1.5" customHeight="1"/>
    <row r="6" spans="1:14" ht="12.75" customHeight="1">
      <c r="B6" s="635" t="s">
        <v>2239</v>
      </c>
      <c r="C6" s="617" t="s">
        <v>2883</v>
      </c>
      <c r="D6" s="617"/>
      <c r="E6" s="617"/>
      <c r="F6" s="617"/>
      <c r="G6" s="617"/>
      <c r="H6" s="617"/>
    </row>
    <row r="7" spans="1:14" ht="12.75" customHeight="1">
      <c r="B7" s="635" t="s">
        <v>2240</v>
      </c>
      <c r="C7" s="4855" t="s">
        <v>2884</v>
      </c>
      <c r="D7" s="4855"/>
      <c r="E7" s="4855"/>
      <c r="F7" s="4855"/>
      <c r="G7" s="4855"/>
      <c r="H7" s="4855"/>
      <c r="I7" s="4855"/>
      <c r="J7" s="4855"/>
      <c r="K7" s="4855"/>
      <c r="L7" s="4855"/>
      <c r="M7" s="4855"/>
    </row>
    <row r="8" spans="1:14" ht="3" customHeight="1"/>
    <row r="9" spans="1:14">
      <c r="A9" s="432" t="s">
        <v>2885</v>
      </c>
    </row>
    <row r="10" spans="1:14" ht="1.5" customHeight="1"/>
    <row r="11" spans="1:14" ht="26.25" customHeight="1">
      <c r="A11" s="636" t="s">
        <v>1840</v>
      </c>
      <c r="B11" s="4855" t="s">
        <v>2975</v>
      </c>
      <c r="C11" s="4855"/>
      <c r="D11" s="4855"/>
      <c r="E11" s="4855"/>
      <c r="F11" s="4855"/>
      <c r="G11" s="4855"/>
      <c r="H11" s="4855"/>
      <c r="I11" s="4855"/>
      <c r="J11" s="4855"/>
      <c r="K11" s="4855"/>
      <c r="L11" s="4856">
        <f>'Part II-Sources of Funds'!I51+'Part II-Sources of Funds'!I52</f>
        <v>39523867.849445313</v>
      </c>
      <c r="M11" s="4856"/>
    </row>
    <row r="12" spans="1:14" ht="1.5" customHeight="1">
      <c r="G12" s="617"/>
      <c r="H12" s="617"/>
    </row>
    <row r="13" spans="1:14" ht="25.9" customHeight="1">
      <c r="A13" s="636" t="s">
        <v>1842</v>
      </c>
      <c r="B13" s="4855" t="s">
        <v>2976</v>
      </c>
      <c r="C13" s="4855"/>
      <c r="D13" s="4855"/>
      <c r="E13" s="4855"/>
      <c r="F13" s="4855"/>
      <c r="G13" s="4855"/>
      <c r="H13" s="4855"/>
      <c r="I13" s="4855"/>
      <c r="J13" s="4855"/>
      <c r="K13" s="4855"/>
      <c r="L13" s="4857" t="s">
        <v>2813</v>
      </c>
      <c r="M13" s="4857"/>
    </row>
    <row r="14" spans="1:14">
      <c r="A14" s="636"/>
      <c r="B14" s="4812"/>
      <c r="C14" s="4812"/>
      <c r="D14" s="4812"/>
      <c r="E14" s="4812"/>
      <c r="F14" s="4812"/>
      <c r="G14" s="4812"/>
      <c r="H14" s="4812"/>
    </row>
    <row r="15" spans="1:14" ht="3" customHeight="1"/>
    <row r="16" spans="1:14">
      <c r="A16" s="636" t="s">
        <v>698</v>
      </c>
      <c r="B16" s="432" t="s">
        <v>2979</v>
      </c>
      <c r="L16" s="4858" t="s">
        <v>2652</v>
      </c>
      <c r="M16" s="4858"/>
    </row>
    <row r="17" spans="1:19" ht="1.5" customHeight="1">
      <c r="L17" s="620"/>
    </row>
    <row r="18" spans="1:19" ht="12" customHeight="1">
      <c r="A18" s="636" t="s">
        <v>1961</v>
      </c>
      <c r="B18" s="617" t="s">
        <v>2977</v>
      </c>
      <c r="C18" s="636"/>
      <c r="D18" s="636"/>
      <c r="E18" s="636"/>
      <c r="L18" s="4812" t="s">
        <v>2514</v>
      </c>
      <c r="M18" s="4812"/>
    </row>
    <row r="19" spans="1:19" ht="12" hidden="1" customHeight="1">
      <c r="B19" s="4812"/>
      <c r="C19" s="4812"/>
      <c r="D19" s="4812"/>
      <c r="E19" s="4812"/>
      <c r="F19" s="4812"/>
      <c r="G19" s="4812"/>
      <c r="H19" s="4812"/>
    </row>
    <row r="20" spans="1:19" ht="13.5" customHeight="1"/>
    <row r="21" spans="1:19" ht="12" customHeight="1">
      <c r="A21" s="560" t="s">
        <v>2886</v>
      </c>
    </row>
    <row r="22" spans="1:19" ht="3" customHeight="1"/>
    <row r="23" spans="1:19" ht="42.6" customHeight="1">
      <c r="A23" s="4859" t="s">
        <v>4080</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4</v>
      </c>
      <c r="G26" s="1585">
        <f>'Part V-Revenues &amp; Expenses'!M57</f>
        <v>6</v>
      </c>
      <c r="H26" s="1585">
        <f>'Part V-Revenues &amp; Expenses'!N57</f>
        <v>2</v>
      </c>
      <c r="I26" s="1585">
        <f>'Part V-Revenues &amp; Expenses'!O57</f>
        <v>0</v>
      </c>
      <c r="J26" s="1586">
        <f>'Part V-Revenues &amp; Expenses'!P57</f>
        <v>12</v>
      </c>
      <c r="K26" s="432"/>
      <c r="S26" s="432"/>
    </row>
    <row r="27" spans="1:19" ht="15" customHeight="1">
      <c r="C27" s="736" t="s">
        <v>1081</v>
      </c>
      <c r="D27" s="439"/>
      <c r="E27" s="1584">
        <f>'Part V-Revenues &amp; Expenses'!K58</f>
        <v>0</v>
      </c>
      <c r="F27" s="1585">
        <f>'Part V-Revenues &amp; Expenses'!L58</f>
        <v>40</v>
      </c>
      <c r="G27" s="1585">
        <f>'Part V-Revenues &amp; Expenses'!M58</f>
        <v>67</v>
      </c>
      <c r="H27" s="1585">
        <f>'Part V-Revenues &amp; Expenses'!N58</f>
        <v>34</v>
      </c>
      <c r="I27" s="1585">
        <f>'Part V-Revenues &amp; Expenses'!O58</f>
        <v>0</v>
      </c>
      <c r="J27" s="1586">
        <f>'Part V-Revenues &amp; Expenses'!P58</f>
        <v>141</v>
      </c>
      <c r="K27" s="432"/>
      <c r="S27" s="432"/>
    </row>
    <row r="28" spans="1:19" ht="15" customHeight="1">
      <c r="C28" s="736" t="s">
        <v>112</v>
      </c>
      <c r="D28" s="439"/>
      <c r="E28" s="1584">
        <f>'Part V-Revenues &amp; Expenses'!K59</f>
        <v>0</v>
      </c>
      <c r="F28" s="1585">
        <f>'Part V-Revenues &amp; Expenses'!L59</f>
        <v>16</v>
      </c>
      <c r="G28" s="1585">
        <f>'Part V-Revenues &amp; Expenses'!M59</f>
        <v>27</v>
      </c>
      <c r="H28" s="1585">
        <f>'Part V-Revenues &amp; Expenses'!N59</f>
        <v>14</v>
      </c>
      <c r="I28" s="1585">
        <f>'Part V-Revenues &amp; Expenses'!O59</f>
        <v>0</v>
      </c>
      <c r="J28" s="1586">
        <f>'Part V-Revenues &amp; Expenses'!P59</f>
        <v>57</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60</v>
      </c>
      <c r="G32" s="1579">
        <f>'Part V-Revenues &amp; Expenses'!M63</f>
        <v>100</v>
      </c>
      <c r="H32" s="1579">
        <f>'Part V-Revenues &amp; Expenses'!N63</f>
        <v>50</v>
      </c>
      <c r="I32" s="1579">
        <f>'Part V-Revenues &amp; Expenses'!O63</f>
        <v>0</v>
      </c>
      <c r="J32" s="1588">
        <f>'Part V-Revenues &amp; Expenses'!P63</f>
        <v>210</v>
      </c>
      <c r="K32" s="432"/>
      <c r="S32" s="432"/>
    </row>
    <row r="33" spans="1:12" s="432" customFormat="1" ht="13.15" customHeight="1" thickBot="1">
      <c r="K33" s="1492"/>
    </row>
    <row r="34" spans="1:12" s="432" customFormat="1" ht="14.25" customHeight="1" thickBot="1">
      <c r="A34" s="1492"/>
      <c r="B34" s="4871" t="s">
        <v>6171</v>
      </c>
      <c r="E34" s="4872" t="s">
        <v>6067</v>
      </c>
      <c r="F34" s="4873"/>
      <c r="G34" s="4873"/>
      <c r="H34" s="4873"/>
      <c r="I34" s="4873"/>
      <c r="J34" s="4873"/>
      <c r="K34" s="4873"/>
      <c r="L34" s="4874"/>
    </row>
    <row r="35" spans="1:12" s="432" customFormat="1" ht="14.25" customHeight="1">
      <c r="A35" s="1492"/>
      <c r="B35" s="4871"/>
      <c r="C35" s="4875" t="s">
        <v>6172</v>
      </c>
      <c r="D35" s="4871" t="s">
        <v>6173</v>
      </c>
      <c r="E35" s="4876" t="s">
        <v>6070</v>
      </c>
      <c r="F35" s="4877"/>
      <c r="G35" s="4880" t="s">
        <v>1275</v>
      </c>
      <c r="H35" s="4882" t="s">
        <v>6066</v>
      </c>
      <c r="I35" s="4883"/>
      <c r="J35" s="4883"/>
      <c r="K35" s="4883"/>
      <c r="L35" s="4884"/>
    </row>
    <row r="36" spans="1:12" s="432" customFormat="1" ht="23.25" customHeight="1">
      <c r="A36" s="4875" t="s">
        <v>975</v>
      </c>
      <c r="B36" s="4871"/>
      <c r="C36" s="4875"/>
      <c r="D36" s="4871"/>
      <c r="E36" s="4878"/>
      <c r="F36" s="4879"/>
      <c r="G36" s="4881"/>
      <c r="H36" s="4885" t="s">
        <v>6068</v>
      </c>
      <c r="I36" s="4886"/>
      <c r="J36" s="4889" t="s">
        <v>1275</v>
      </c>
      <c r="K36" s="4886" t="s">
        <v>6069</v>
      </c>
      <c r="L36" s="4891"/>
    </row>
    <row r="37" spans="1:12" s="432" customFormat="1" ht="23.25" customHeight="1">
      <c r="A37" s="4875"/>
      <c r="B37" s="4871"/>
      <c r="C37" s="4875"/>
      <c r="D37" s="4871"/>
      <c r="E37" s="4878"/>
      <c r="F37" s="4879"/>
      <c r="G37" s="4881"/>
      <c r="H37" s="4885"/>
      <c r="I37" s="4886"/>
      <c r="J37" s="4890"/>
      <c r="K37" s="4886"/>
      <c r="L37" s="4891"/>
    </row>
    <row r="38" spans="1:12" s="432" customFormat="1" ht="23.25" customHeight="1">
      <c r="A38" s="4871"/>
      <c r="B38" s="4871"/>
      <c r="C38" s="4871"/>
      <c r="D38" s="4871"/>
      <c r="E38" s="4878"/>
      <c r="F38" s="4879"/>
      <c r="G38" s="4881"/>
      <c r="H38" s="4887"/>
      <c r="I38" s="4888"/>
      <c r="J38" s="4890"/>
      <c r="K38" s="4888"/>
      <c r="L38" s="4892"/>
    </row>
    <row r="39" spans="1:12" s="432" customFormat="1" ht="13.15" customHeight="1">
      <c r="A39" s="1571">
        <f>'Part V-Revenues &amp; Expenses'!B18</f>
        <v>50</v>
      </c>
      <c r="B39" s="1572">
        <f>'Part V-Revenues &amp; Expenses'!E18</f>
        <v>16</v>
      </c>
      <c r="C39" s="1573" t="str">
        <f>_xlfn.CONCAT('Part V-Revenues &amp; Expenses'!C18," / ",'Part V-Revenues &amp; Expenses'!D18)</f>
        <v>1 / 1</v>
      </c>
      <c r="D39" s="1572">
        <f>'Part V-Revenues &amp; Expenses'!F18</f>
        <v>653</v>
      </c>
      <c r="E39" s="4895">
        <f>'Part V-Revenues &amp; Expenses'!H18</f>
        <v>1513</v>
      </c>
      <c r="F39" s="4896"/>
      <c r="G39" s="439"/>
      <c r="H39" s="4865"/>
      <c r="I39" s="4866"/>
      <c r="J39" s="4866"/>
      <c r="K39" s="4866"/>
      <c r="L39" s="4867"/>
    </row>
    <row r="40" spans="1:12" s="432" customFormat="1" ht="13.15" customHeight="1">
      <c r="A40" s="1574">
        <f>'Part V-Revenues &amp; Expenses'!B19</f>
        <v>50</v>
      </c>
      <c r="B40" s="1575">
        <f>'Part V-Revenues &amp; Expenses'!E19</f>
        <v>4</v>
      </c>
      <c r="C40" s="1576" t="str">
        <f>_xlfn.CONCAT('Part V-Revenues &amp; Expenses'!C19," / ",'Part V-Revenues &amp; Expenses'!D19)</f>
        <v>2 / 2</v>
      </c>
      <c r="D40" s="1575">
        <f>'Part V-Revenues &amp; Expenses'!F19</f>
        <v>963</v>
      </c>
      <c r="E40" s="4863">
        <f>'Part V-Revenues &amp; Expenses'!H19</f>
        <v>1708</v>
      </c>
      <c r="F40" s="4864"/>
      <c r="G40" s="439"/>
      <c r="H40" s="4860"/>
      <c r="I40" s="4861"/>
      <c r="J40" s="4861"/>
      <c r="K40" s="4861"/>
      <c r="L40" s="4862"/>
    </row>
    <row r="41" spans="1:12" s="432" customFormat="1" ht="13.15" customHeight="1">
      <c r="A41" s="1574">
        <f>'Part V-Revenues &amp; Expenses'!B20</f>
        <v>50</v>
      </c>
      <c r="B41" s="1575">
        <f>'Part V-Revenues &amp; Expenses'!E20</f>
        <v>23</v>
      </c>
      <c r="C41" s="1576" t="str">
        <f>_xlfn.CONCAT('Part V-Revenues &amp; Expenses'!C20," / ",'Part V-Revenues &amp; Expenses'!D20)</f>
        <v>2 / 2</v>
      </c>
      <c r="D41" s="1575">
        <f>'Part V-Revenues &amp; Expenses'!F20</f>
        <v>963</v>
      </c>
      <c r="E41" s="4863">
        <f>'Part V-Revenues &amp; Expenses'!H20</f>
        <v>1126</v>
      </c>
      <c r="F41" s="4864"/>
      <c r="G41" s="439"/>
      <c r="H41" s="4860"/>
      <c r="I41" s="4861"/>
      <c r="J41" s="4861"/>
      <c r="K41" s="4861"/>
      <c r="L41" s="4862"/>
    </row>
    <row r="42" spans="1:12" s="432" customFormat="1" ht="13.15" customHeight="1">
      <c r="A42" s="1574">
        <f>'Part V-Revenues &amp; Expenses'!B21</f>
        <v>50</v>
      </c>
      <c r="B42" s="1575">
        <f>'Part V-Revenues &amp; Expenses'!E21</f>
        <v>14</v>
      </c>
      <c r="C42" s="1576" t="str">
        <f>_xlfn.CONCAT('Part V-Revenues &amp; Expenses'!C21," / ",'Part V-Revenues &amp; Expenses'!D21)</f>
        <v>3 / 2</v>
      </c>
      <c r="D42" s="1575">
        <f>'Part V-Revenues &amp; Expenses'!F21</f>
        <v>1150</v>
      </c>
      <c r="E42" s="4863">
        <f>'Part V-Revenues &amp; Expenses'!H21</f>
        <v>1307</v>
      </c>
      <c r="F42" s="4864"/>
      <c r="G42" s="439"/>
      <c r="H42" s="4860"/>
      <c r="I42" s="4861"/>
      <c r="J42" s="4861"/>
      <c r="K42" s="4861"/>
      <c r="L42" s="4862"/>
    </row>
    <row r="43" spans="1:12" s="432" customFormat="1" ht="13.15" customHeight="1">
      <c r="A43" s="1574">
        <f>'Part V-Revenues &amp; Expenses'!B22</f>
        <v>60</v>
      </c>
      <c r="B43" s="1575">
        <f>'Part V-Revenues &amp; Expenses'!E22</f>
        <v>40</v>
      </c>
      <c r="C43" s="1576" t="str">
        <f>_xlfn.CONCAT('Part V-Revenues &amp; Expenses'!C22," / ",'Part V-Revenues &amp; Expenses'!D22)</f>
        <v>1 / 1</v>
      </c>
      <c r="D43" s="1575">
        <f>'Part V-Revenues &amp; Expenses'!F22</f>
        <v>653</v>
      </c>
      <c r="E43" s="4863">
        <f>'Part V-Revenues &amp; Expenses'!H22</f>
        <v>1078</v>
      </c>
      <c r="F43" s="4864"/>
      <c r="G43" s="439"/>
      <c r="H43" s="4860"/>
      <c r="I43" s="4861"/>
      <c r="J43" s="4861"/>
      <c r="K43" s="4861"/>
      <c r="L43" s="4862"/>
    </row>
    <row r="44" spans="1:12" s="432" customFormat="1" ht="13.15" customHeight="1">
      <c r="A44" s="1574">
        <f>'Part V-Revenues &amp; Expenses'!B23</f>
        <v>60</v>
      </c>
      <c r="B44" s="1575">
        <f>'Part V-Revenues &amp; Expenses'!E23</f>
        <v>67</v>
      </c>
      <c r="C44" s="1576" t="str">
        <f>_xlfn.CONCAT('Part V-Revenues &amp; Expenses'!C23," / ",'Part V-Revenues &amp; Expenses'!D23)</f>
        <v>2 / 2</v>
      </c>
      <c r="D44" s="1575">
        <f>'Part V-Revenues &amp; Expenses'!F23</f>
        <v>963</v>
      </c>
      <c r="E44" s="4863">
        <f>'Part V-Revenues &amp; Expenses'!H23</f>
        <v>1109</v>
      </c>
      <c r="F44" s="4864"/>
      <c r="G44" s="439"/>
      <c r="H44" s="4860"/>
      <c r="I44" s="4861"/>
      <c r="J44" s="4861"/>
      <c r="K44" s="4861"/>
      <c r="L44" s="4862"/>
    </row>
    <row r="45" spans="1:12" s="432" customFormat="1" ht="13.15" customHeight="1">
      <c r="A45" s="1574">
        <f>'Part V-Revenues &amp; Expenses'!B24</f>
        <v>60</v>
      </c>
      <c r="B45" s="1575">
        <f>'Part V-Revenues &amp; Expenses'!E24</f>
        <v>34</v>
      </c>
      <c r="C45" s="1576" t="str">
        <f>_xlfn.CONCAT('Part V-Revenues &amp; Expenses'!C24," / ",'Part V-Revenues &amp; Expenses'!D24)</f>
        <v>3 / 2</v>
      </c>
      <c r="D45" s="1575">
        <f>'Part V-Revenues &amp; Expenses'!F24</f>
        <v>1150</v>
      </c>
      <c r="E45" s="4863">
        <f>'Part V-Revenues &amp; Expenses'!H24</f>
        <v>1328</v>
      </c>
      <c r="F45" s="4864"/>
      <c r="G45" s="439"/>
      <c r="H45" s="4860"/>
      <c r="I45" s="4861"/>
      <c r="J45" s="4861"/>
      <c r="K45" s="4861"/>
      <c r="L45" s="4862"/>
    </row>
    <row r="46" spans="1:12" s="432" customFormat="1" ht="13.15" customHeight="1">
      <c r="A46" s="1574">
        <f>'Part V-Revenues &amp; Expenses'!B25</f>
        <v>70</v>
      </c>
      <c r="B46" s="1575">
        <f>'Part V-Revenues &amp; Expenses'!E25</f>
        <v>4</v>
      </c>
      <c r="C46" s="1576" t="str">
        <f>_xlfn.CONCAT('Part V-Revenues &amp; Expenses'!C25," / ",'Part V-Revenues &amp; Expenses'!D25)</f>
        <v>1 / 1</v>
      </c>
      <c r="D46" s="1575">
        <f>'Part V-Revenues &amp; Expenses'!F25</f>
        <v>653</v>
      </c>
      <c r="E46" s="4863">
        <f>'Part V-Revenues &amp; Expenses'!H25</f>
        <v>1094</v>
      </c>
      <c r="F46" s="4864"/>
      <c r="G46" s="439"/>
      <c r="H46" s="4860"/>
      <c r="I46" s="4861"/>
      <c r="J46" s="4861"/>
      <c r="K46" s="4861"/>
      <c r="L46" s="4862"/>
    </row>
    <row r="47" spans="1:12" s="432" customFormat="1" ht="13.15" customHeight="1">
      <c r="A47" s="1574">
        <f>'Part V-Revenues &amp; Expenses'!B26</f>
        <v>70</v>
      </c>
      <c r="B47" s="1575">
        <f>'Part V-Revenues &amp; Expenses'!E26</f>
        <v>6</v>
      </c>
      <c r="C47" s="1576" t="str">
        <f>_xlfn.CONCAT('Part V-Revenues &amp; Expenses'!C26," / ",'Part V-Revenues &amp; Expenses'!D26)</f>
        <v>2 / 2</v>
      </c>
      <c r="D47" s="1575">
        <f>'Part V-Revenues &amp; Expenses'!F26</f>
        <v>963</v>
      </c>
      <c r="E47" s="4863">
        <f>'Part V-Revenues &amp; Expenses'!H26</f>
        <v>1361</v>
      </c>
      <c r="F47" s="4864"/>
      <c r="G47" s="439"/>
      <c r="H47" s="4860"/>
      <c r="I47" s="4861"/>
      <c r="J47" s="4861"/>
      <c r="K47" s="4861"/>
      <c r="L47" s="4862"/>
    </row>
    <row r="48" spans="1:12" s="432" customFormat="1" ht="13.15" customHeight="1">
      <c r="A48" s="1574">
        <f>'Part V-Revenues &amp; Expenses'!B27</f>
        <v>70</v>
      </c>
      <c r="B48" s="1575">
        <f>'Part V-Revenues &amp; Expenses'!E27</f>
        <v>2</v>
      </c>
      <c r="C48" s="1576" t="str">
        <f>_xlfn.CONCAT('Part V-Revenues &amp; Expenses'!C27," / ",'Part V-Revenues &amp; Expenses'!D27)</f>
        <v>3 / 2</v>
      </c>
      <c r="D48" s="1575">
        <f>'Part V-Revenues &amp; Expenses'!F27</f>
        <v>1150</v>
      </c>
      <c r="E48" s="4863">
        <f>'Part V-Revenues &amp; Expenses'!H27</f>
        <v>1613</v>
      </c>
      <c r="F48" s="4864"/>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3">
        <f>'Part V-Revenues &amp; Expenses'!H48</f>
        <v>0</v>
      </c>
      <c r="F69" s="4894"/>
      <c r="G69" s="1580"/>
      <c r="H69" s="4868"/>
      <c r="I69" s="4869"/>
      <c r="J69" s="4869"/>
      <c r="K69" s="4869"/>
      <c r="L69" s="487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5" t="s">
        <v>3479</v>
      </c>
      <c r="C1" s="4755"/>
      <c r="D1" s="4755"/>
      <c r="E1" s="4755"/>
      <c r="F1" s="4755"/>
      <c r="G1" s="4755"/>
      <c r="H1" s="4755"/>
      <c r="I1" s="4755"/>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907" t="s">
        <v>2889</v>
      </c>
      <c r="C4" s="4907"/>
      <c r="D4" s="4907"/>
      <c r="E4" s="4912" t="s">
        <v>2890</v>
      </c>
      <c r="F4" s="4914"/>
      <c r="G4" s="4912" t="s">
        <v>574</v>
      </c>
      <c r="H4" s="4913"/>
      <c r="I4" s="4914"/>
      <c r="J4" s="1036" t="s">
        <v>2738</v>
      </c>
      <c r="K4" s="1036"/>
      <c r="L4" s="1036"/>
      <c r="M4" s="1036"/>
    </row>
    <row r="5" spans="2:13">
      <c r="B5" s="4908">
        <f>'Closing term sheet'!C8</f>
        <v>0</v>
      </c>
      <c r="C5" s="4909"/>
      <c r="D5" s="4909"/>
      <c r="E5" s="4918"/>
      <c r="F5" s="4919"/>
      <c r="G5" s="4915" t="str">
        <f>'Closing term sheet'!C28</f>
        <v>Westbury</v>
      </c>
      <c r="H5" s="4916"/>
      <c r="I5" s="4917"/>
    </row>
    <row r="6" spans="2:13" ht="4.5" customHeight="1">
      <c r="D6" s="1042"/>
      <c r="E6" s="1042"/>
      <c r="F6" s="1042"/>
      <c r="G6" s="1042"/>
      <c r="H6" s="1042"/>
      <c r="I6" s="1042"/>
    </row>
    <row r="7" spans="2:13">
      <c r="B7" s="4903" t="s">
        <v>2891</v>
      </c>
      <c r="C7" s="4903"/>
      <c r="H7" s="4910">
        <f>'Preview term'!E9</f>
        <v>0</v>
      </c>
      <c r="I7" s="4911"/>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55" t="s">
        <v>3487</v>
      </c>
      <c r="I35" s="4920"/>
    </row>
    <row r="36" spans="2:9">
      <c r="B36" s="1059" t="s">
        <v>3486</v>
      </c>
      <c r="C36" s="523"/>
      <c r="D36" s="523"/>
      <c r="F36" s="1258"/>
      <c r="G36" s="617"/>
      <c r="H36" s="4855"/>
      <c r="I36" s="4920"/>
    </row>
    <row r="37" spans="2:9">
      <c r="B37" s="1059" t="s">
        <v>3484</v>
      </c>
      <c r="D37" s="523"/>
      <c r="F37" s="1259"/>
      <c r="G37" s="617"/>
      <c r="H37" s="4855"/>
      <c r="I37" s="4920"/>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27">
        <f>'Closing term sheet'!$C$30</f>
        <v>0</v>
      </c>
      <c r="G48" s="4928"/>
      <c r="H48" s="4928"/>
      <c r="I48" s="4929"/>
    </row>
    <row r="49" spans="2:9">
      <c r="B49" s="1051" t="s">
        <v>2906</v>
      </c>
      <c r="D49" s="523" t="s">
        <v>2907</v>
      </c>
      <c r="F49" s="4930"/>
      <c r="G49" s="4931"/>
      <c r="H49" s="4931"/>
      <c r="I49" s="4932"/>
    </row>
    <row r="50" spans="2:9">
      <c r="B50" s="1051" t="s">
        <v>2908</v>
      </c>
      <c r="F50" s="1042"/>
      <c r="G50" s="1042"/>
      <c r="H50" s="1042"/>
      <c r="I50" s="1065"/>
    </row>
    <row r="51" spans="2:9" ht="7.5" customHeight="1">
      <c r="B51" s="1047"/>
      <c r="I51" s="1049"/>
    </row>
    <row r="52" spans="2:9">
      <c r="B52" s="1066" t="s">
        <v>3489</v>
      </c>
      <c r="C52" s="4900" t="str">
        <f>'Part I-Project Identification'!F26</f>
        <v>Decatur</v>
      </c>
      <c r="D52" s="4901"/>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42612257</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5" t="s">
        <v>2912</v>
      </c>
      <c r="C61" s="4803"/>
      <c r="D61" s="4803"/>
      <c r="E61" s="4803"/>
      <c r="F61" s="4803"/>
      <c r="G61" s="4803"/>
      <c r="H61" s="4803"/>
      <c r="I61" s="4906"/>
    </row>
    <row r="62" spans="2:9" ht="7.5" customHeight="1">
      <c r="B62" s="4902"/>
      <c r="C62" s="4802"/>
      <c r="D62" s="4802"/>
      <c r="G62" s="1072"/>
      <c r="I62" s="1049"/>
    </row>
    <row r="63" spans="2:9">
      <c r="B63" s="1066" t="s">
        <v>2914</v>
      </c>
      <c r="D63" s="1058">
        <v>4</v>
      </c>
      <c r="G63" s="4903" t="s">
        <v>2913</v>
      </c>
      <c r="H63" s="4903"/>
      <c r="I63" s="490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5" t="s">
        <v>2925</v>
      </c>
      <c r="C81" s="4803"/>
      <c r="D81" s="4803"/>
      <c r="E81" s="4803"/>
      <c r="F81" s="4803"/>
      <c r="G81" s="4803"/>
      <c r="H81" s="4803"/>
      <c r="I81" s="4906"/>
    </row>
    <row r="82" spans="2:9">
      <c r="B82" s="1047"/>
      <c r="I82" s="1049"/>
    </row>
    <row r="83" spans="2:9">
      <c r="B83" s="1047" t="s">
        <v>2926</v>
      </c>
      <c r="I83" s="1049"/>
    </row>
    <row r="84" spans="2:9">
      <c r="B84" s="1047"/>
      <c r="C84" s="432" t="s">
        <v>2927</v>
      </c>
      <c r="F84" s="4924">
        <f>'Closing term sheet'!D63</f>
        <v>42612257</v>
      </c>
      <c r="G84" s="4924"/>
      <c r="I84" s="1049"/>
    </row>
    <row r="85" spans="2:9">
      <c r="B85" s="1047"/>
      <c r="C85" s="432" t="s">
        <v>2928</v>
      </c>
      <c r="F85" s="4899">
        <f>'Part II-Sources of Funds'!I47+'Part II-Sources of Funds'!L47</f>
        <v>1422115.2115650256</v>
      </c>
      <c r="G85" s="4899"/>
      <c r="I85" s="1049"/>
    </row>
    <row r="86" spans="2:9">
      <c r="B86" s="1047"/>
      <c r="C86" s="432" t="s">
        <v>2929</v>
      </c>
      <c r="F86" s="4898"/>
      <c r="G86" s="4898"/>
      <c r="I86" s="1049"/>
    </row>
    <row r="87" spans="2:9">
      <c r="B87" s="1047"/>
      <c r="C87" s="523" t="s">
        <v>2930</v>
      </c>
      <c r="F87" s="4899">
        <v>11000</v>
      </c>
      <c r="G87" s="4899"/>
      <c r="I87" s="1049"/>
    </row>
    <row r="88" spans="2:9">
      <c r="B88" s="1047"/>
      <c r="C88" s="432" t="s">
        <v>2931</v>
      </c>
      <c r="F88" s="4926"/>
      <c r="G88" s="4926"/>
      <c r="I88" s="1049"/>
    </row>
    <row r="89" spans="2:9">
      <c r="B89" s="1047"/>
      <c r="C89" s="560" t="s">
        <v>2932</v>
      </c>
      <c r="F89" s="4922">
        <f>SUM(F84:G88)</f>
        <v>44045372.211565025</v>
      </c>
      <c r="G89" s="4922"/>
      <c r="I89" s="1049"/>
    </row>
    <row r="90" spans="2:9">
      <c r="B90" s="1047"/>
      <c r="F90" s="4923"/>
      <c r="G90" s="4923"/>
      <c r="I90" s="1049"/>
    </row>
    <row r="91" spans="2:9">
      <c r="B91" s="1047" t="s">
        <v>2933</v>
      </c>
      <c r="I91" s="1049"/>
    </row>
    <row r="92" spans="2:9">
      <c r="B92" s="1047"/>
      <c r="C92" s="432" t="s">
        <v>2934</v>
      </c>
      <c r="F92" s="4924"/>
      <c r="G92" s="4924"/>
      <c r="I92" s="1049"/>
    </row>
    <row r="93" spans="2:9">
      <c r="B93" s="1047"/>
      <c r="C93" s="432" t="s">
        <v>2935</v>
      </c>
      <c r="F93" s="4925"/>
      <c r="G93" s="4925"/>
      <c r="I93" s="1049"/>
    </row>
    <row r="94" spans="2:9">
      <c r="B94" s="1047"/>
      <c r="C94" s="432" t="s">
        <v>2936</v>
      </c>
      <c r="F94" s="4921" t="s">
        <v>2813</v>
      </c>
      <c r="G94" s="4921"/>
      <c r="I94" s="1049"/>
    </row>
    <row r="95" spans="2:9">
      <c r="B95" s="1047"/>
      <c r="C95" s="560" t="s">
        <v>2937</v>
      </c>
      <c r="F95" s="4922">
        <f>+SUM(F92:G94)</f>
        <v>0</v>
      </c>
      <c r="G95" s="4922"/>
      <c r="I95" s="1049"/>
    </row>
    <row r="96" spans="2:9">
      <c r="B96" s="1047"/>
      <c r="I96" s="1049"/>
    </row>
    <row r="97" spans="2:9">
      <c r="B97" s="1047" t="s">
        <v>2938</v>
      </c>
      <c r="I97" s="1049"/>
    </row>
    <row r="98" spans="2:9">
      <c r="B98" s="1047"/>
      <c r="C98" s="432" t="s">
        <v>2939</v>
      </c>
      <c r="F98" s="4924"/>
      <c r="G98" s="4924"/>
      <c r="I98" s="1049"/>
    </row>
    <row r="99" spans="2:9">
      <c r="B99" s="1047"/>
      <c r="C99" s="432" t="s">
        <v>2940</v>
      </c>
      <c r="F99" s="4925"/>
      <c r="G99" s="4925"/>
      <c r="I99" s="1049"/>
    </row>
    <row r="100" spans="2:9">
      <c r="B100" s="1047"/>
      <c r="C100" s="432" t="s">
        <v>2941</v>
      </c>
      <c r="F100" s="4926"/>
      <c r="G100" s="4926"/>
      <c r="I100" s="1049"/>
    </row>
    <row r="101" spans="2:9">
      <c r="B101" s="1047"/>
      <c r="C101" s="560" t="s">
        <v>2942</v>
      </c>
      <c r="F101" s="4922">
        <f>+SUM(F98:G100)</f>
        <v>0</v>
      </c>
      <c r="G101" s="4922"/>
      <c r="I101" s="1049"/>
    </row>
    <row r="102" spans="2:9">
      <c r="B102" s="1047"/>
      <c r="I102" s="1049"/>
    </row>
    <row r="103" spans="2:9">
      <c r="B103" s="1066" t="s">
        <v>2943</v>
      </c>
      <c r="F103" s="4921">
        <f>'Part II-Sources of Funds'!I48+'Part II-Sources of Funds'!I49</f>
        <v>0</v>
      </c>
      <c r="G103" s="4921"/>
      <c r="I103" s="1049"/>
    </row>
    <row r="104" spans="2:9">
      <c r="B104" s="1047"/>
      <c r="I104" s="1076" t="s">
        <v>2944</v>
      </c>
    </row>
    <row r="105" spans="2:9">
      <c r="B105" s="1047" t="s">
        <v>2945</v>
      </c>
      <c r="F105" s="4921">
        <f>+F103+F101+F95+F89</f>
        <v>44045372.211565025</v>
      </c>
      <c r="G105" s="492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3" t="s">
        <v>6617</v>
      </c>
      <c r="R11" s="495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36">
        <v>0.1</v>
      </c>
      <c r="R12" s="493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35" t="s">
        <v>3907</v>
      </c>
      <c r="R13" s="4935"/>
      <c r="S13" s="144"/>
      <c r="T13" s="144"/>
      <c r="U13" s="144"/>
      <c r="AA13" s="68"/>
      <c r="AB13" s="68"/>
    </row>
    <row r="14" spans="1:28" s="145" customFormat="1" ht="12.75" hidden="1" customHeight="1">
      <c r="A14" s="147"/>
      <c r="B14" s="147"/>
      <c r="C14" s="147"/>
      <c r="K14" s="236" t="s">
        <v>3908</v>
      </c>
      <c r="L14" s="236"/>
      <c r="N14" s="234"/>
      <c r="O14" s="147"/>
      <c r="P14" s="144"/>
      <c r="Q14" s="4933">
        <v>0.2</v>
      </c>
      <c r="R14" s="4934"/>
      <c r="S14" s="144"/>
      <c r="T14" s="144"/>
      <c r="U14" s="144"/>
      <c r="AA14" s="68"/>
      <c r="AB14" s="68"/>
    </row>
    <row r="15" spans="1:28" s="145" customFormat="1" ht="12.75" hidden="1" customHeight="1">
      <c r="A15" s="147"/>
      <c r="B15" s="147"/>
      <c r="C15" s="147"/>
      <c r="K15" s="236" t="s">
        <v>3909</v>
      </c>
      <c r="L15" s="236"/>
      <c r="N15" s="234"/>
      <c r="O15" s="147"/>
      <c r="P15" s="144"/>
      <c r="Q15" s="4956">
        <v>0.15</v>
      </c>
      <c r="R15" s="4957"/>
      <c r="S15" s="144"/>
      <c r="T15" s="144"/>
      <c r="U15" s="144"/>
      <c r="AA15" s="68"/>
      <c r="AB15" s="68"/>
    </row>
    <row r="16" spans="1:28" s="145" customFormat="1" ht="12.75" hidden="1" customHeight="1">
      <c r="A16" s="147"/>
      <c r="B16" s="147"/>
      <c r="C16" s="147"/>
      <c r="K16" s="236" t="s">
        <v>3910</v>
      </c>
      <c r="L16" s="236"/>
      <c r="N16" s="234"/>
      <c r="O16" s="147"/>
      <c r="P16" s="144"/>
      <c r="Q16" s="4956">
        <v>0.15</v>
      </c>
      <c r="R16" s="4957"/>
      <c r="S16" s="144"/>
      <c r="T16" s="144"/>
      <c r="U16" s="144"/>
      <c r="AA16" s="68"/>
      <c r="AB16" s="68"/>
    </row>
    <row r="17" spans="1:28" s="145" customFormat="1" ht="12.75" hidden="1" customHeight="1">
      <c r="A17" s="147"/>
      <c r="B17" s="147"/>
      <c r="C17" s="147"/>
      <c r="K17" s="236" t="s">
        <v>3911</v>
      </c>
      <c r="L17" s="236"/>
      <c r="N17" s="234"/>
      <c r="O17" s="147"/>
      <c r="P17" s="144"/>
      <c r="Q17" s="4956">
        <v>0.1</v>
      </c>
      <c r="R17" s="4957"/>
      <c r="S17" s="144"/>
      <c r="T17" s="144"/>
      <c r="U17" s="144"/>
      <c r="AA17" s="68"/>
      <c r="AB17" s="68"/>
    </row>
    <row r="18" spans="1:28" s="145" customFormat="1" ht="12.75" hidden="1" customHeight="1">
      <c r="A18" s="147"/>
      <c r="B18" s="147"/>
      <c r="C18" s="147"/>
      <c r="K18" s="236" t="s">
        <v>3912</v>
      </c>
      <c r="L18" s="236"/>
      <c r="N18" s="234"/>
      <c r="O18" s="147"/>
      <c r="P18" s="144"/>
      <c r="Q18" s="4954">
        <v>0.1</v>
      </c>
      <c r="R18" s="495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43">
        <v>1000</v>
      </c>
      <c r="R42" s="494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3">
        <v>500</v>
      </c>
      <c r="R43" s="4944"/>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40">
        <v>2500</v>
      </c>
      <c r="R44" s="4941"/>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40">
        <v>2500</v>
      </c>
      <c r="R45" s="4941"/>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40">
        <v>2000</v>
      </c>
      <c r="R46" s="4941"/>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43">
        <v>1500</v>
      </c>
      <c r="R47" s="4944"/>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40">
        <v>6500</v>
      </c>
      <c r="R48" s="4941"/>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40">
        <v>5500</v>
      </c>
      <c r="R49" s="4941"/>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0">
        <v>500</v>
      </c>
      <c r="R50" s="4941"/>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40">
        <v>10000</v>
      </c>
      <c r="R51" s="494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40">
        <v>1500</v>
      </c>
      <c r="R53" s="4941"/>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40">
        <v>1500</v>
      </c>
      <c r="R54" s="4941"/>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40">
        <v>2500</v>
      </c>
      <c r="R55" s="4941"/>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42">
        <v>0.08</v>
      </c>
      <c r="R56" s="4942"/>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2">
        <v>0.08</v>
      </c>
      <c r="R57" s="4942"/>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40">
        <v>8000</v>
      </c>
      <c r="R58" s="4941"/>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0"/>
      <c r="R59" s="4941"/>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69">
        <v>800</v>
      </c>
      <c r="R60" s="4970"/>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69">
        <v>1000</v>
      </c>
      <c r="R61" s="4970"/>
      <c r="S61" s="236"/>
      <c r="T61" s="236"/>
      <c r="U61" s="236"/>
      <c r="AA61" s="68"/>
      <c r="AB61" s="68"/>
    </row>
    <row r="62" spans="1:28" s="145" customFormat="1" ht="11.65" customHeight="1">
      <c r="A62" s="147"/>
      <c r="B62" s="147"/>
      <c r="C62" s="147"/>
      <c r="D62" s="144"/>
      <c r="E62" s="144"/>
      <c r="H62" s="147" t="s">
        <v>2446</v>
      </c>
      <c r="I62" s="144"/>
      <c r="J62" s="147" t="s">
        <v>1432</v>
      </c>
      <c r="K62" s="147" t="s">
        <v>3297</v>
      </c>
      <c r="L62" s="147"/>
      <c r="M62" s="147"/>
      <c r="N62" s="147"/>
      <c r="O62" s="147"/>
      <c r="P62" s="144"/>
      <c r="Q62" s="4969">
        <v>800</v>
      </c>
      <c r="R62" s="4970"/>
      <c r="S62" s="236"/>
      <c r="T62" s="236"/>
      <c r="U62" s="236"/>
      <c r="AA62" s="68"/>
      <c r="AB62" s="68"/>
    </row>
    <row r="63" spans="1:28" s="145" customFormat="1" ht="11.65" customHeight="1">
      <c r="A63" s="147"/>
      <c r="B63" s="147"/>
      <c r="C63" s="147"/>
      <c r="D63" s="144"/>
      <c r="E63" s="144"/>
      <c r="H63" s="147" t="s">
        <v>2512</v>
      </c>
      <c r="I63" s="144"/>
      <c r="J63" s="147" t="s">
        <v>2445</v>
      </c>
      <c r="K63" s="147"/>
      <c r="L63" s="147"/>
      <c r="M63" s="147"/>
      <c r="N63" s="147"/>
      <c r="O63" s="147"/>
      <c r="P63" s="144"/>
      <c r="Q63" s="4969">
        <v>1500</v>
      </c>
      <c r="R63" s="4970"/>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90">
        <v>750</v>
      </c>
      <c r="R64" s="4591"/>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43">
        <v>75</v>
      </c>
      <c r="R65" s="4944"/>
      <c r="S65" s="236"/>
      <c r="T65" s="236"/>
      <c r="U65" s="236"/>
      <c r="AA65" s="68"/>
      <c r="AB65" s="68"/>
    </row>
    <row r="66" spans="1:28" ht="11.25" customHeight="1">
      <c r="B66" s="147" t="s">
        <v>1725</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1">
        <v>27500</v>
      </c>
      <c r="R67" s="4971"/>
      <c r="AA67"/>
      <c r="AB67"/>
    </row>
    <row r="68" spans="1:28" ht="11.25" customHeight="1">
      <c r="F68" s="115"/>
      <c r="H68" s="698"/>
      <c r="J68" s="392">
        <v>51</v>
      </c>
      <c r="K68" s="392">
        <v>70</v>
      </c>
      <c r="Q68" s="4949">
        <v>22000</v>
      </c>
      <c r="R68" s="4949"/>
      <c r="AA68"/>
      <c r="AB68"/>
    </row>
    <row r="69" spans="1:28" ht="11.25" customHeight="1">
      <c r="F69" s="115"/>
      <c r="H69" s="1519"/>
      <c r="I69" s="165"/>
      <c r="J69" s="1520">
        <v>71</v>
      </c>
      <c r="K69" s="1521"/>
      <c r="L69" s="165"/>
      <c r="M69" s="165"/>
      <c r="N69" s="165"/>
      <c r="O69" s="165"/>
      <c r="P69" s="1522"/>
      <c r="Q69" s="4972">
        <v>16500</v>
      </c>
      <c r="R69" s="4972"/>
      <c r="AA69"/>
      <c r="AB69"/>
    </row>
    <row r="70" spans="1:28" ht="11.25" customHeight="1">
      <c r="H70" s="1523">
        <v>0.04</v>
      </c>
      <c r="I70" s="1524"/>
      <c r="J70" s="1525">
        <v>1</v>
      </c>
      <c r="K70" s="1525">
        <v>50</v>
      </c>
      <c r="L70" s="1524"/>
      <c r="M70" s="1524"/>
      <c r="N70" s="1524"/>
      <c r="O70" s="1524"/>
      <c r="P70" s="1526"/>
      <c r="Q70" s="4971">
        <v>27500</v>
      </c>
      <c r="R70" s="4971"/>
      <c r="AA70"/>
      <c r="AB70"/>
    </row>
    <row r="71" spans="1:28" ht="11.25" customHeight="1">
      <c r="H71" s="1296"/>
      <c r="J71" s="392">
        <v>51</v>
      </c>
      <c r="K71" s="392">
        <v>70</v>
      </c>
      <c r="Q71" s="4949">
        <v>22000</v>
      </c>
      <c r="R71" s="4949"/>
      <c r="AA71"/>
      <c r="AB71"/>
    </row>
    <row r="72" spans="1:28" ht="11.25" customHeight="1">
      <c r="H72" s="1296"/>
      <c r="J72" s="392">
        <v>71</v>
      </c>
      <c r="K72" s="1296"/>
      <c r="Q72" s="4972">
        <v>16500</v>
      </c>
      <c r="R72" s="4972"/>
      <c r="AA72"/>
      <c r="AB72"/>
    </row>
    <row r="73" spans="1:28" ht="11.25" customHeight="1">
      <c r="F73" s="236" t="s">
        <v>3915</v>
      </c>
      <c r="H73" s="370"/>
      <c r="I73" s="44"/>
      <c r="AA73"/>
      <c r="AB73"/>
    </row>
    <row r="74" spans="1:28" ht="11.25" customHeight="1">
      <c r="H74" s="1297">
        <v>0.09</v>
      </c>
      <c r="I74" s="236"/>
      <c r="Q74" s="4973">
        <v>2000000</v>
      </c>
      <c r="R74" s="4973"/>
      <c r="AA74"/>
      <c r="AB74"/>
    </row>
    <row r="75" spans="1:28" ht="11.25" customHeight="1">
      <c r="H75" s="1297">
        <v>0.04</v>
      </c>
      <c r="I75" s="236"/>
      <c r="Q75" s="4973">
        <v>3500000</v>
      </c>
      <c r="R75" s="4973"/>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45">
        <v>3500000</v>
      </c>
      <c r="R77" s="4946"/>
      <c r="S77" s="236"/>
      <c r="T77" s="236"/>
      <c r="U77" s="236"/>
      <c r="AA77" s="68"/>
      <c r="AB77" s="68"/>
    </row>
    <row r="78" spans="1:28" s="145" customFormat="1" ht="13.5" hidden="1">
      <c r="A78" s="147"/>
      <c r="B78" s="147"/>
      <c r="C78" s="147"/>
      <c r="D78" s="144"/>
      <c r="E78" s="144"/>
      <c r="F78" s="147" t="s">
        <v>1594</v>
      </c>
      <c r="G78" s="147"/>
      <c r="H78" s="147" t="s">
        <v>2119</v>
      </c>
      <c r="I78" s="144"/>
      <c r="J78" s="147" t="s">
        <v>911</v>
      </c>
      <c r="K78" s="147"/>
      <c r="L78" s="147"/>
      <c r="M78" s="147"/>
      <c r="N78" s="147"/>
      <c r="O78" s="147"/>
      <c r="P78" s="144"/>
      <c r="Q78" s="4947">
        <v>0.15</v>
      </c>
      <c r="R78" s="4948"/>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7">
        <v>0.15</v>
      </c>
      <c r="R79" s="494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5" hidden="1">
      <c r="A83" s="147"/>
      <c r="B83" s="314"/>
      <c r="C83" s="147"/>
      <c r="D83" s="144"/>
      <c r="E83" s="144"/>
      <c r="F83" s="147" t="s">
        <v>1634</v>
      </c>
      <c r="G83" s="147"/>
      <c r="H83" s="147"/>
      <c r="I83" s="144"/>
      <c r="J83" s="147" t="s">
        <v>2187</v>
      </c>
      <c r="K83" s="147"/>
      <c r="L83" s="147"/>
      <c r="M83" s="147"/>
      <c r="N83" s="147"/>
      <c r="O83" s="147"/>
      <c r="P83" s="144"/>
      <c r="Q83" s="4947">
        <v>0.15</v>
      </c>
      <c r="R83" s="4948"/>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47" t="s">
        <v>2189</v>
      </c>
      <c r="R84" s="4948"/>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3">
        <v>3000</v>
      </c>
      <c r="R90" s="494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38">
        <v>0.02</v>
      </c>
      <c r="R98" s="493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8">
        <v>0.02</v>
      </c>
      <c r="R99" s="493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60">
        <v>0.1</v>
      </c>
      <c r="R106" s="4960"/>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64">
        <v>1225000</v>
      </c>
      <c r="R107" s="4964"/>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65">
        <v>1105000</v>
      </c>
      <c r="R108" s="4965"/>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39">
        <v>1225000</v>
      </c>
      <c r="R109" s="4939"/>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39">
        <v>1105000</v>
      </c>
      <c r="R110" s="4939"/>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67">
        <v>1105000</v>
      </c>
      <c r="R111" s="4968"/>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61">
        <v>1150000</v>
      </c>
      <c r="R112" s="4961"/>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2444</v>
      </c>
      <c r="K113" s="147"/>
      <c r="L113" s="147"/>
      <c r="M113" s="147"/>
      <c r="O113" s="147"/>
      <c r="P113" s="144"/>
      <c r="Q113" s="4981" t="s">
        <v>6760</v>
      </c>
      <c r="R113" s="4981"/>
      <c r="S113" s="230"/>
      <c r="T113" s="230"/>
      <c r="U113" s="144"/>
      <c r="V113" s="322"/>
      <c r="W113" s="322"/>
      <c r="X113" s="322"/>
      <c r="AA113" s="68"/>
      <c r="AB113" s="68"/>
    </row>
    <row r="114" spans="1:28" ht="12.75" customHeight="1">
      <c r="G114" s="2009"/>
      <c r="H114" s="147" t="s">
        <v>2391</v>
      </c>
      <c r="J114" s="4992">
        <v>0.35</v>
      </c>
      <c r="K114" s="4992"/>
      <c r="L114" s="147"/>
      <c r="M114" s="147"/>
      <c r="N114" s="147"/>
      <c r="O114" s="147"/>
      <c r="P114" s="144"/>
      <c r="Q114" s="4966">
        <v>1105000</v>
      </c>
      <c r="R114" s="4966"/>
    </row>
    <row r="115" spans="1:28" ht="11.25" customHeight="1">
      <c r="G115" s="147"/>
      <c r="H115" s="147" t="s">
        <v>6100</v>
      </c>
      <c r="I115" s="144"/>
      <c r="J115" s="4993">
        <v>0.35</v>
      </c>
      <c r="K115" s="4993"/>
      <c r="L115" s="147"/>
      <c r="M115" s="147"/>
      <c r="N115" s="147"/>
      <c r="O115" s="147"/>
      <c r="P115" s="144"/>
      <c r="Q115" s="4939">
        <v>1225000</v>
      </c>
      <c r="R115" s="4939"/>
    </row>
    <row r="116" spans="1:28" ht="11.25" customHeight="1">
      <c r="A116" s="229"/>
      <c r="G116" s="147"/>
      <c r="H116" s="147" t="s">
        <v>3021</v>
      </c>
      <c r="I116" s="144"/>
      <c r="J116" s="4980">
        <v>0.3</v>
      </c>
      <c r="K116" s="4980"/>
      <c r="L116" s="147"/>
      <c r="M116" s="147"/>
      <c r="N116" s="147"/>
      <c r="O116" s="147"/>
      <c r="P116" s="144"/>
      <c r="Q116" s="4991">
        <v>1225000</v>
      </c>
      <c r="R116" s="499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2"/>
      <c r="R118" s="4963"/>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3313</v>
      </c>
      <c r="K119" s="147"/>
      <c r="L119" s="147"/>
      <c r="M119" s="147"/>
      <c r="N119" s="147"/>
      <c r="O119" s="147"/>
      <c r="P119" s="144"/>
      <c r="Q119" s="4996">
        <v>4000000</v>
      </c>
      <c r="R119" s="4996"/>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89">
        <v>1035000</v>
      </c>
      <c r="R120" s="499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88">
        <v>0.05</v>
      </c>
      <c r="R122" s="4988"/>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86">
        <v>0.4</v>
      </c>
      <c r="R123" s="4986"/>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87">
        <v>0.02</v>
      </c>
      <c r="R124" s="4987"/>
      <c r="S124" s="144"/>
      <c r="T124" s="144"/>
      <c r="U124" s="144"/>
      <c r="V124" s="715"/>
      <c r="W124" s="715"/>
      <c r="X124" s="148"/>
      <c r="AA124" s="68"/>
      <c r="AB124" s="68"/>
    </row>
    <row r="125" spans="1:28" s="145" customFormat="1" ht="12.75" customHeight="1">
      <c r="A125" s="4997" t="s">
        <v>6756</v>
      </c>
      <c r="B125" s="4997"/>
      <c r="C125" s="2002"/>
      <c r="D125" s="499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7"/>
      <c r="B126" s="4997"/>
      <c r="C126" s="2001">
        <v>2022</v>
      </c>
      <c r="D126" s="5000"/>
      <c r="E126" s="239"/>
      <c r="F126" s="239"/>
      <c r="G126" s="239"/>
      <c r="H126" s="239"/>
      <c r="I126" s="239"/>
    </row>
    <row r="127" spans="1:28" ht="13.5">
      <c r="A127" s="4997"/>
      <c r="B127" s="4997"/>
      <c r="C127" s="147"/>
      <c r="D127" s="5000"/>
      <c r="H127" s="4994" t="s">
        <v>6754</v>
      </c>
      <c r="J127" s="142" t="s">
        <v>748</v>
      </c>
      <c r="K127" s="142"/>
      <c r="L127" s="223"/>
    </row>
    <row r="128" spans="1:28" ht="13.5">
      <c r="C128" s="715" t="s">
        <v>751</v>
      </c>
      <c r="D128" s="1304" t="s">
        <v>2995</v>
      </c>
      <c r="F128" s="715" t="s">
        <v>6752</v>
      </c>
      <c r="H128" s="499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3401</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2212</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2489</v>
      </c>
      <c r="U141" s="392" t="s">
        <v>1503</v>
      </c>
      <c r="W141" s="44" t="s">
        <v>2213</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2213</v>
      </c>
      <c r="U142" s="392" t="s">
        <v>1811</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1928</v>
      </c>
      <c r="Q144" s="241"/>
      <c r="R144" s="147"/>
      <c r="S144" s="236"/>
      <c r="T144" s="392" t="s">
        <v>886</v>
      </c>
      <c r="U144" s="392" t="s">
        <v>1236</v>
      </c>
      <c r="W144" s="44" t="s">
        <v>1929</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1930</v>
      </c>
      <c r="Q145" s="241"/>
      <c r="R145" s="147"/>
      <c r="S145" s="236"/>
      <c r="T145" s="392" t="s">
        <v>436</v>
      </c>
      <c r="U145" s="392" t="s">
        <v>2326</v>
      </c>
      <c r="W145" s="44" t="s">
        <v>1933</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3498</v>
      </c>
      <c r="P146" s="241" t="s">
        <v>1932</v>
      </c>
      <c r="Q146" s="241"/>
      <c r="R146" s="147"/>
      <c r="S146" s="236"/>
      <c r="T146" s="392" t="s">
        <v>1929</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1934</v>
      </c>
      <c r="Q147" s="241"/>
      <c r="R147" s="147"/>
      <c r="S147" s="236"/>
      <c r="T147" s="392" t="s">
        <v>1931</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1936</v>
      </c>
      <c r="Q148" s="241"/>
      <c r="R148" s="147"/>
      <c r="S148" s="236"/>
      <c r="T148" s="392" t="s">
        <v>1933</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1821</v>
      </c>
      <c r="Q149" s="392"/>
      <c r="R149" s="147"/>
      <c r="S149" s="236"/>
      <c r="T149" s="392" t="s">
        <v>1935</v>
      </c>
      <c r="U149" s="392" t="s">
        <v>1239</v>
      </c>
      <c r="W149" s="44" t="s">
        <v>1711</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1822</v>
      </c>
      <c r="U151" s="392" t="s">
        <v>404</v>
      </c>
      <c r="W151" s="44" t="s">
        <v>2350</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2209</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1919</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2089</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2091</v>
      </c>
      <c r="Q157" s="241"/>
      <c r="R157" s="147"/>
      <c r="S157" s="236"/>
      <c r="T157" s="392" t="s">
        <v>424</v>
      </c>
      <c r="U157" s="392" t="s">
        <v>116</v>
      </c>
      <c r="W157" s="44" t="s">
        <v>1922</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2090</v>
      </c>
      <c r="U158" s="392" t="s">
        <v>2290</v>
      </c>
      <c r="W158" s="44" t="s">
        <v>1954</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1711</v>
      </c>
      <c r="U159" s="392" t="s">
        <v>2019</v>
      </c>
      <c r="W159" s="44" t="s">
        <v>1958</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2019</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3018</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3018</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3018</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2062</v>
      </c>
      <c r="X166" s="44" t="s">
        <v>3018</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2150</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1777</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1920</v>
      </c>
      <c r="Q172" s="392"/>
      <c r="R172" s="147"/>
      <c r="S172" s="236"/>
      <c r="T172" s="392" t="s">
        <v>1919</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1921</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1923</v>
      </c>
      <c r="Q174" s="392"/>
      <c r="R174" s="147"/>
      <c r="S174" s="236"/>
      <c r="T174" s="392" t="s">
        <v>1922</v>
      </c>
      <c r="U174" s="392" t="s">
        <v>2289</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1953</v>
      </c>
      <c r="Q175" s="392"/>
      <c r="R175" s="147"/>
      <c r="S175" s="236"/>
      <c r="T175" s="392" t="s">
        <v>1853</v>
      </c>
      <c r="U175" s="392" t="s">
        <v>2015</v>
      </c>
      <c r="W175" s="44" t="s">
        <v>2114</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1955</v>
      </c>
      <c r="Q176" s="392"/>
      <c r="R176" s="147"/>
      <c r="S176" s="236"/>
      <c r="T176" s="392" t="s">
        <v>1924</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1957</v>
      </c>
      <c r="Q177" s="392"/>
      <c r="R177" s="147"/>
      <c r="S177" s="236"/>
      <c r="T177" s="392" t="s">
        <v>1954</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1959</v>
      </c>
      <c r="Q178" s="392"/>
      <c r="R178" s="147"/>
      <c r="S178" s="236"/>
      <c r="T178" s="392" t="s">
        <v>1956</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1958</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1856</v>
      </c>
      <c r="Q181" s="392"/>
      <c r="R181" s="147"/>
      <c r="S181" s="236"/>
      <c r="T181" s="392" t="s">
        <v>2337</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2065</v>
      </c>
      <c r="Q183" s="392"/>
      <c r="R183" s="147"/>
      <c r="S183" s="236"/>
      <c r="T183" s="392" t="s">
        <v>1236</v>
      </c>
      <c r="U183" s="392" t="s">
        <v>315</v>
      </c>
      <c r="W183" s="44" t="s">
        <v>1912</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2067</v>
      </c>
      <c r="Q184" s="392"/>
      <c r="R184" s="147"/>
      <c r="S184" s="236"/>
      <c r="T184" s="392" t="s">
        <v>13</v>
      </c>
      <c r="U184" s="392" t="s">
        <v>1552</v>
      </c>
      <c r="W184" s="44" t="s">
        <v>1914</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3537</v>
      </c>
      <c r="P185" s="241" t="s">
        <v>2069</v>
      </c>
      <c r="Q185" s="392"/>
      <c r="R185" s="147"/>
      <c r="S185" s="236"/>
      <c r="T185" s="236" t="s">
        <v>2066</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3538</v>
      </c>
      <c r="P186" s="241" t="s">
        <v>2096</v>
      </c>
      <c r="Q186" s="392"/>
      <c r="R186" s="147"/>
      <c r="S186" s="236"/>
      <c r="T186" s="392" t="s">
        <v>2068</v>
      </c>
      <c r="U186" s="392" t="s">
        <v>2074</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2070</v>
      </c>
      <c r="U188" s="392" t="s">
        <v>115</v>
      </c>
      <c r="W188" s="44" t="s">
        <v>2286</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3541</v>
      </c>
      <c r="P189" s="241" t="s">
        <v>2002</v>
      </c>
      <c r="Q189" s="392"/>
      <c r="R189" s="147"/>
      <c r="S189" s="236"/>
      <c r="T189" s="392" t="s">
        <v>1626</v>
      </c>
      <c r="U189" s="392" t="s">
        <v>2292</v>
      </c>
      <c r="W189" s="44" t="s">
        <v>2295</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2003</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1862</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3545</v>
      </c>
      <c r="P193" s="241" t="s">
        <v>2252</v>
      </c>
      <c r="Q193" s="241"/>
      <c r="R193" s="147"/>
      <c r="S193" s="236"/>
      <c r="T193" s="236" t="s">
        <v>2004</v>
      </c>
      <c r="U193" s="236" t="s">
        <v>2383</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1985</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1906</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2061</v>
      </c>
      <c r="Q196" s="241"/>
      <c r="R196" s="147"/>
      <c r="S196" s="236"/>
      <c r="T196" s="392" t="s">
        <v>2251</v>
      </c>
      <c r="U196" s="392" t="s">
        <v>1780</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2062</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2053</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2054</v>
      </c>
      <c r="Q202" s="241"/>
      <c r="R202" s="147"/>
      <c r="S202" s="236"/>
      <c r="T202" s="392" t="s">
        <v>667</v>
      </c>
      <c r="U202" s="392" t="s">
        <v>2383</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2056</v>
      </c>
      <c r="Q203" s="241"/>
      <c r="R203" s="147"/>
      <c r="S203" s="236"/>
      <c r="T203" s="392" t="s">
        <v>2359</v>
      </c>
      <c r="U203" s="392" t="s">
        <v>2286</v>
      </c>
      <c r="W203" s="44" t="s">
        <v>1826</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2055</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2057</v>
      </c>
      <c r="U205" s="392" t="s">
        <v>2377</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2098</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2122</v>
      </c>
      <c r="Q207" s="241"/>
      <c r="R207" s="147"/>
      <c r="S207" s="236"/>
      <c r="T207" s="392" t="s">
        <v>2097</v>
      </c>
      <c r="U207" s="392" t="s">
        <v>303</v>
      </c>
      <c r="W207" s="44" t="s">
        <v>1999</v>
      </c>
      <c r="X207" s="44" t="s">
        <v>3018</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2150</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2185</v>
      </c>
      <c r="Q211" s="241"/>
      <c r="R211" s="147"/>
      <c r="S211" s="236"/>
      <c r="T211" s="392" t="s">
        <v>292</v>
      </c>
      <c r="U211" s="392" t="s">
        <v>301</v>
      </c>
      <c r="W211" s="44" t="s">
        <v>1784</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2202</v>
      </c>
      <c r="Q212" s="241"/>
      <c r="R212" s="147"/>
      <c r="S212" s="236"/>
      <c r="T212" s="392" t="s">
        <v>2186</v>
      </c>
      <c r="U212" s="392" t="s">
        <v>189</v>
      </c>
      <c r="W212" s="44" t="s">
        <v>1788</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2204</v>
      </c>
      <c r="Q213" s="241"/>
      <c r="R213" s="147"/>
      <c r="S213" s="236"/>
      <c r="T213" s="392" t="s">
        <v>2203</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2205</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2178</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2179</v>
      </c>
      <c r="U217" s="392" t="s">
        <v>2290</v>
      </c>
      <c r="W217" s="44" t="s">
        <v>2311</v>
      </c>
      <c r="X217" s="44" t="s">
        <v>3018</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1691</v>
      </c>
      <c r="X220" s="44" t="s">
        <v>3018</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1693</v>
      </c>
      <c r="X221" s="44" t="s">
        <v>3018</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1755</v>
      </c>
      <c r="X222" s="44" t="s">
        <v>3018</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2027</v>
      </c>
      <c r="W223" s="44" t="s">
        <v>2074</v>
      </c>
      <c r="X223" s="44" t="s">
        <v>3018</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2113</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2115</v>
      </c>
      <c r="Q225" s="241"/>
      <c r="R225" s="147"/>
      <c r="S225" s="236"/>
      <c r="T225" s="392" t="s">
        <v>340</v>
      </c>
      <c r="U225" s="392" t="s">
        <v>1026</v>
      </c>
      <c r="W225" s="44" t="s">
        <v>2106</v>
      </c>
      <c r="X225" s="44" t="s">
        <v>3018</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2116</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2117</v>
      </c>
      <c r="Q227" s="241"/>
      <c r="R227" s="147"/>
      <c r="S227" s="236"/>
      <c r="T227" s="392" t="s">
        <v>2114</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2201</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3232</v>
      </c>
      <c r="L230" s="789" t="s">
        <v>399</v>
      </c>
      <c r="M230" s="1961" t="s">
        <v>2391</v>
      </c>
      <c r="N230" s="789" t="s">
        <v>1252</v>
      </c>
      <c r="O230" s="998" t="s">
        <v>3582</v>
      </c>
      <c r="P230" s="241" t="s">
        <v>1460</v>
      </c>
      <c r="Q230" s="241"/>
      <c r="R230" s="147"/>
      <c r="S230" s="236"/>
      <c r="T230" s="392" t="s">
        <v>2118</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2528</v>
      </c>
      <c r="U234" s="392" t="s">
        <v>2072</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1907</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3594</v>
      </c>
      <c r="P242" s="241" t="s">
        <v>1909</v>
      </c>
      <c r="Q242" s="241"/>
      <c r="R242" s="147"/>
      <c r="S242" s="236"/>
      <c r="T242" s="392" t="s">
        <v>227</v>
      </c>
      <c r="U242" s="392" t="s">
        <v>2326</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1911</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3231</v>
      </c>
      <c r="L244" s="789" t="s">
        <v>399</v>
      </c>
      <c r="M244" s="1961" t="s">
        <v>2391</v>
      </c>
      <c r="N244" s="789" t="s">
        <v>1131</v>
      </c>
      <c r="O244" s="998" t="s">
        <v>3596</v>
      </c>
      <c r="P244" s="241" t="s">
        <v>1913</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3597</v>
      </c>
      <c r="P245" s="241" t="s">
        <v>1915</v>
      </c>
      <c r="Q245" s="241"/>
      <c r="R245" s="147"/>
      <c r="S245" s="236"/>
      <c r="T245" s="392" t="s">
        <v>1908</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1917</v>
      </c>
      <c r="Q246" s="241"/>
      <c r="R246" s="147"/>
      <c r="S246" s="236"/>
      <c r="T246" s="392" t="s">
        <v>1910</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1912</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3600</v>
      </c>
      <c r="P248" s="241" t="s">
        <v>2147</v>
      </c>
      <c r="Q248" s="241"/>
      <c r="R248" s="147"/>
      <c r="S248" s="236"/>
      <c r="T248" s="392" t="s">
        <v>1914</v>
      </c>
      <c r="U248" s="392" t="s">
        <v>2379</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3601</v>
      </c>
      <c r="P249" s="241" t="s">
        <v>2148</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1861</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1916</v>
      </c>
      <c r="U251" s="392" t="s">
        <v>192</v>
      </c>
      <c r="W251" s="44" t="s">
        <v>2112</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3605</v>
      </c>
      <c r="P253" s="241" t="s">
        <v>1177</v>
      </c>
      <c r="Q253" s="241"/>
      <c r="R253" s="147"/>
      <c r="S253" s="236"/>
      <c r="T253" s="392" t="s">
        <v>1918</v>
      </c>
      <c r="U253" s="392" t="s">
        <v>192</v>
      </c>
      <c r="W253" s="44" t="s">
        <v>1804</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1861</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3607</v>
      </c>
      <c r="P255" s="241" t="s">
        <v>2296</v>
      </c>
      <c r="Q255" s="241"/>
      <c r="R255" s="147"/>
      <c r="S255" s="236"/>
      <c r="T255" s="392" t="s">
        <v>2149</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3609</v>
      </c>
      <c r="P257" s="241" t="s">
        <v>78</v>
      </c>
      <c r="Q257" s="241"/>
      <c r="R257" s="147"/>
      <c r="S257" s="236"/>
      <c r="T257" s="392" t="s">
        <v>1175</v>
      </c>
      <c r="U257" s="392" t="s">
        <v>2074</v>
      </c>
      <c r="W257" s="44" t="s">
        <v>2127</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2025</v>
      </c>
      <c r="W262" s="44" t="s">
        <v>645</v>
      </c>
      <c r="X262" s="44" t="s">
        <v>3018</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2170</v>
      </c>
      <c r="X263" s="44" t="s">
        <v>3018</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3616</v>
      </c>
      <c r="P264" s="241" t="s">
        <v>1161</v>
      </c>
      <c r="Q264" s="241"/>
      <c r="R264" s="147"/>
      <c r="S264" s="236"/>
      <c r="T264" s="392" t="s">
        <v>1154</v>
      </c>
      <c r="U264" s="392" t="s">
        <v>1810</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2014</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3620</v>
      </c>
      <c r="P268" s="241" t="s">
        <v>836</v>
      </c>
      <c r="Q268" s="241"/>
      <c r="R268" s="147"/>
      <c r="S268" s="236"/>
      <c r="T268" s="392" t="s">
        <v>1162</v>
      </c>
      <c r="U268" s="392" t="s">
        <v>2025</v>
      </c>
      <c r="W268" s="44" t="s">
        <v>2221</v>
      </c>
      <c r="X268" s="44" t="s">
        <v>3018</v>
      </c>
      <c r="AA268"/>
      <c r="AB268"/>
      <c r="AC268" s="380"/>
      <c r="AD268" s="68"/>
    </row>
    <row r="269" spans="6:37" ht="10.5" customHeight="1">
      <c r="F269" s="409"/>
      <c r="G269" s="786" t="s">
        <v>2017</v>
      </c>
      <c r="H269" s="786" t="s">
        <v>1137</v>
      </c>
      <c r="I269" s="787" t="s">
        <v>2018</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3018</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3622</v>
      </c>
      <c r="P270" s="241" t="s">
        <v>1983</v>
      </c>
      <c r="Q270" s="241"/>
      <c r="R270" s="147"/>
      <c r="S270" s="236"/>
      <c r="T270" s="392" t="s">
        <v>154</v>
      </c>
      <c r="U270" s="392" t="s">
        <v>2381</v>
      </c>
      <c r="W270" s="44" t="s">
        <v>903</v>
      </c>
      <c r="X270" s="44" t="s">
        <v>3018</v>
      </c>
      <c r="AA270"/>
      <c r="AB270"/>
      <c r="AC270" s="380"/>
      <c r="AD270" s="68"/>
    </row>
    <row r="271" spans="6:37" ht="10.5" customHeight="1">
      <c r="F271" s="409"/>
      <c r="G271" s="786" t="s">
        <v>2021</v>
      </c>
      <c r="H271" s="786" t="s">
        <v>1137</v>
      </c>
      <c r="I271" s="787" t="s">
        <v>2022</v>
      </c>
      <c r="J271" s="787" t="s">
        <v>2400</v>
      </c>
      <c r="K271" s="788" t="s">
        <v>6735</v>
      </c>
      <c r="L271" s="789" t="s">
        <v>398</v>
      </c>
      <c r="M271" s="1961" t="s">
        <v>2391</v>
      </c>
      <c r="N271" s="789" t="s">
        <v>154</v>
      </c>
      <c r="O271" s="998" t="s">
        <v>3623</v>
      </c>
      <c r="P271" s="241" t="s">
        <v>1984</v>
      </c>
      <c r="Q271" s="241"/>
      <c r="R271" s="147"/>
      <c r="S271" s="236"/>
      <c r="T271" s="392" t="s">
        <v>835</v>
      </c>
      <c r="U271" s="392" t="s">
        <v>172</v>
      </c>
      <c r="W271" s="44" t="s">
        <v>1396</v>
      </c>
      <c r="X271" s="44" t="s">
        <v>3018</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3624</v>
      </c>
      <c r="P272" s="241" t="s">
        <v>1903</v>
      </c>
      <c r="Q272" s="241"/>
      <c r="R272" s="147"/>
      <c r="S272" s="236"/>
      <c r="T272" s="236" t="s">
        <v>837</v>
      </c>
      <c r="U272" s="236" t="s">
        <v>310</v>
      </c>
      <c r="W272" s="44" t="s">
        <v>2156</v>
      </c>
      <c r="X272" s="44" t="s">
        <v>3018</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3625</v>
      </c>
      <c r="P273" s="241" t="s">
        <v>1905</v>
      </c>
      <c r="Q273" s="241"/>
      <c r="R273" s="147"/>
      <c r="S273" s="236"/>
      <c r="T273" s="392" t="s">
        <v>839</v>
      </c>
      <c r="U273" s="392" t="s">
        <v>1031</v>
      </c>
      <c r="W273" s="44" t="s">
        <v>764</v>
      </c>
      <c r="X273" s="44" t="s">
        <v>3018</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3626</v>
      </c>
      <c r="P274" s="241" t="s">
        <v>555</v>
      </c>
      <c r="Q274" s="241"/>
      <c r="R274" s="147"/>
      <c r="S274" s="236"/>
      <c r="T274" s="392" t="s">
        <v>2362</v>
      </c>
      <c r="U274" s="392" t="s">
        <v>2286</v>
      </c>
      <c r="W274" s="44" t="s">
        <v>767</v>
      </c>
      <c r="X274" s="44" t="s">
        <v>3018</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3627</v>
      </c>
      <c r="P275" s="241" t="s">
        <v>556</v>
      </c>
      <c r="Q275" s="241"/>
      <c r="R275" s="147"/>
      <c r="S275" s="236"/>
      <c r="T275" s="392" t="s">
        <v>1985</v>
      </c>
      <c r="U275" s="392" t="s">
        <v>1045</v>
      </c>
      <c r="W275" s="44" t="s">
        <v>1412</v>
      </c>
      <c r="X275" s="44" t="s">
        <v>3018</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1904</v>
      </c>
      <c r="U276" s="392" t="s">
        <v>1552</v>
      </c>
      <c r="W276" s="44" t="s">
        <v>456</v>
      </c>
      <c r="X276" s="44" t="s">
        <v>3018</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3629</v>
      </c>
      <c r="P277" s="241" t="s">
        <v>560</v>
      </c>
      <c r="Q277" s="241"/>
      <c r="R277" s="147"/>
      <c r="S277" s="236"/>
      <c r="T277" s="392" t="s">
        <v>1906</v>
      </c>
      <c r="U277" s="392" t="s">
        <v>2330</v>
      </c>
      <c r="W277" s="44" t="s">
        <v>1315</v>
      </c>
      <c r="X277" s="44" t="s">
        <v>3018</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3018</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3018</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3018</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3018</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3635</v>
      </c>
      <c r="P283" s="241" t="s">
        <v>1088</v>
      </c>
      <c r="Q283" s="241"/>
      <c r="R283" s="147"/>
      <c r="S283" s="236"/>
      <c r="T283" s="392" t="s">
        <v>563</v>
      </c>
      <c r="U283" s="392" t="s">
        <v>2023</v>
      </c>
      <c r="W283" s="44" t="s">
        <v>1472</v>
      </c>
      <c r="X283" s="44" t="s">
        <v>3018</v>
      </c>
      <c r="AA283"/>
      <c r="AB283"/>
      <c r="AC283" s="380"/>
      <c r="AD283" s="68"/>
    </row>
    <row r="284" spans="6:30" ht="10.5" customHeight="1">
      <c r="F284" s="409"/>
      <c r="G284" s="786" t="s">
        <v>1779</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3638</v>
      </c>
      <c r="P286" s="241" t="s">
        <v>1823</v>
      </c>
      <c r="Q286" s="241"/>
      <c r="R286" s="147"/>
      <c r="S286" s="236"/>
      <c r="T286" s="392" t="s">
        <v>511</v>
      </c>
      <c r="U286" s="392" t="s">
        <v>613</v>
      </c>
      <c r="W286" s="44" t="s">
        <v>1502</v>
      </c>
      <c r="X286" s="44" t="s">
        <v>3018</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3639</v>
      </c>
      <c r="P287" s="241" t="s">
        <v>1825</v>
      </c>
      <c r="Q287" s="241"/>
      <c r="R287" s="147"/>
      <c r="S287" s="236"/>
      <c r="T287" s="392" t="s">
        <v>513</v>
      </c>
      <c r="U287" s="392" t="s">
        <v>153</v>
      </c>
      <c r="W287" s="44" t="s">
        <v>1023</v>
      </c>
      <c r="X287" s="44" t="s">
        <v>3018</v>
      </c>
      <c r="AA287"/>
      <c r="AB287"/>
      <c r="AC287" s="380"/>
      <c r="AD287" s="68"/>
    </row>
    <row r="288" spans="6:30" ht="10.5" customHeight="1">
      <c r="F288" s="409"/>
      <c r="G288" s="786" t="s">
        <v>1862</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1824</v>
      </c>
      <c r="U291" s="392" t="s">
        <v>2074</v>
      </c>
      <c r="W291" s="44" t="s">
        <v>489</v>
      </c>
      <c r="X291" s="44" t="s">
        <v>3018</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1826</v>
      </c>
      <c r="U292" s="392" t="s">
        <v>2385</v>
      </c>
      <c r="W292" s="44" t="s">
        <v>495</v>
      </c>
      <c r="X292" s="44" t="s">
        <v>3018</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1810</v>
      </c>
      <c r="W293" s="44" t="s">
        <v>507</v>
      </c>
      <c r="X293" s="44" t="s">
        <v>3018</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3646</v>
      </c>
      <c r="P294" s="241" t="s">
        <v>1800</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3647</v>
      </c>
      <c r="P295" s="241" t="s">
        <v>1802</v>
      </c>
      <c r="Q295" s="241"/>
      <c r="R295" s="147"/>
      <c r="S295" s="236"/>
      <c r="T295" s="392" t="s">
        <v>326</v>
      </c>
      <c r="U295" s="392" t="s">
        <v>172</v>
      </c>
      <c r="W295" s="44" t="s">
        <v>1943</v>
      </c>
      <c r="X295" s="44" t="s">
        <v>3018</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3648</v>
      </c>
      <c r="P296" s="241" t="s">
        <v>1998</v>
      </c>
      <c r="Q296" s="241"/>
      <c r="R296" s="147"/>
      <c r="S296" s="236"/>
      <c r="T296" s="236" t="s">
        <v>328</v>
      </c>
      <c r="U296" s="236" t="s">
        <v>2209</v>
      </c>
      <c r="W296" s="44" t="s">
        <v>3015</v>
      </c>
      <c r="X296" s="44" t="s">
        <v>3018</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3649</v>
      </c>
      <c r="P297" s="241" t="s">
        <v>146</v>
      </c>
      <c r="Q297" s="241"/>
      <c r="R297" s="147"/>
      <c r="S297" s="236"/>
      <c r="T297" s="392" t="s">
        <v>330</v>
      </c>
      <c r="U297" s="392" t="s">
        <v>1738</v>
      </c>
      <c r="W297" s="44" t="s">
        <v>2076</v>
      </c>
      <c r="X297" s="44" t="s">
        <v>3018</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3651</v>
      </c>
      <c r="P299" s="241" t="s">
        <v>1477</v>
      </c>
      <c r="Q299" s="241"/>
      <c r="R299" s="147"/>
      <c r="S299" s="236"/>
      <c r="T299" s="392" t="s">
        <v>1801</v>
      </c>
      <c r="U299" s="392" t="s">
        <v>100</v>
      </c>
      <c r="W299" s="44" t="s">
        <v>1706</v>
      </c>
      <c r="X299" s="44" t="s">
        <v>3018</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2099</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3018</v>
      </c>
      <c r="AA301"/>
      <c r="AB301"/>
      <c r="AC301" s="380"/>
      <c r="AD301" s="68"/>
    </row>
    <row r="302" spans="3:30" ht="10.5" customHeight="1">
      <c r="C302" s="4982">
        <v>2019</v>
      </c>
      <c r="D302" s="4998"/>
      <c r="E302" s="4998"/>
      <c r="F302" s="4998"/>
      <c r="G302" s="4982">
        <v>2020</v>
      </c>
      <c r="H302" s="4982"/>
      <c r="I302" s="4982"/>
      <c r="J302" s="4982"/>
      <c r="L302" s="4983" t="s">
        <v>4057</v>
      </c>
      <c r="M302" s="4984"/>
      <c r="N302" s="4984"/>
      <c r="O302" s="4985"/>
      <c r="P302" s="241" t="s">
        <v>740</v>
      </c>
      <c r="Q302" s="241"/>
      <c r="R302" s="147"/>
      <c r="S302" s="236"/>
      <c r="T302" s="236" t="s">
        <v>643</v>
      </c>
      <c r="U302" s="236" t="s">
        <v>2019</v>
      </c>
      <c r="W302" s="44" t="s">
        <v>1361</v>
      </c>
      <c r="X302" s="44" t="s">
        <v>3018</v>
      </c>
      <c r="AA302"/>
      <c r="AB302"/>
      <c r="AC302" s="380"/>
      <c r="AD302" s="68"/>
    </row>
    <row r="303" spans="3:30" ht="10.5" customHeight="1">
      <c r="C303" s="4974" t="s">
        <v>3961</v>
      </c>
      <c r="D303" s="4977" t="s">
        <v>3962</v>
      </c>
      <c r="E303" s="4977" t="s">
        <v>3963</v>
      </c>
      <c r="F303" s="4977" t="s">
        <v>3964</v>
      </c>
      <c r="G303" s="4974" t="s">
        <v>3961</v>
      </c>
      <c r="H303" s="4977" t="s">
        <v>3962</v>
      </c>
      <c r="I303" s="4977" t="s">
        <v>3963</v>
      </c>
      <c r="J303" s="4977" t="s">
        <v>3964</v>
      </c>
      <c r="L303" s="4974" t="s">
        <v>3961</v>
      </c>
      <c r="M303" s="4977" t="s">
        <v>3962</v>
      </c>
      <c r="N303" s="4977" t="s">
        <v>3963</v>
      </c>
      <c r="O303" s="4977" t="s">
        <v>3964</v>
      </c>
      <c r="P303" s="241" t="s">
        <v>2226</v>
      </c>
      <c r="Q303" s="241"/>
      <c r="R303" s="147"/>
      <c r="S303" s="236"/>
      <c r="T303" s="392" t="s">
        <v>148</v>
      </c>
      <c r="U303" s="392" t="s">
        <v>1737</v>
      </c>
      <c r="W303" s="44" t="s">
        <v>1479</v>
      </c>
      <c r="X303" s="44" t="s">
        <v>3018</v>
      </c>
      <c r="AA303"/>
      <c r="AB303"/>
      <c r="AC303" s="68"/>
      <c r="AD303" s="68"/>
    </row>
    <row r="304" spans="3:30" ht="10.5" customHeight="1">
      <c r="C304" s="4975"/>
      <c r="D304" s="4978"/>
      <c r="E304" s="4978"/>
      <c r="F304" s="4978"/>
      <c r="G304" s="4975"/>
      <c r="H304" s="4978"/>
      <c r="I304" s="4978"/>
      <c r="J304" s="4978"/>
      <c r="L304" s="4975"/>
      <c r="M304" s="4978"/>
      <c r="N304" s="4978"/>
      <c r="O304" s="4978"/>
      <c r="P304" s="241" t="s">
        <v>2227</v>
      </c>
      <c r="Q304" s="241"/>
      <c r="R304" s="147"/>
      <c r="S304" s="236"/>
      <c r="T304" s="392" t="s">
        <v>189</v>
      </c>
      <c r="U304" s="392" t="s">
        <v>585</v>
      </c>
      <c r="W304" s="44" t="s">
        <v>1966</v>
      </c>
      <c r="X304" s="44" t="s">
        <v>3018</v>
      </c>
      <c r="AA304"/>
      <c r="AB304"/>
      <c r="AC304" s="380"/>
      <c r="AD304" s="68"/>
    </row>
    <row r="305" spans="3:30" ht="10.5" customHeight="1">
      <c r="C305" s="4975"/>
      <c r="D305" s="4978"/>
      <c r="E305" s="4978"/>
      <c r="F305" s="4978"/>
      <c r="G305" s="4975"/>
      <c r="H305" s="4978"/>
      <c r="I305" s="4978"/>
      <c r="J305" s="4978"/>
      <c r="L305" s="4975"/>
      <c r="M305" s="4978"/>
      <c r="N305" s="4978"/>
      <c r="O305" s="4978"/>
      <c r="P305" s="241" t="s">
        <v>2229</v>
      </c>
      <c r="Q305" s="241"/>
      <c r="R305" s="147"/>
      <c r="S305" s="236"/>
      <c r="T305" s="392" t="s">
        <v>2364</v>
      </c>
      <c r="U305" s="392" t="s">
        <v>1863</v>
      </c>
      <c r="W305" s="44" t="s">
        <v>1968</v>
      </c>
      <c r="X305" s="44" t="s">
        <v>3018</v>
      </c>
      <c r="AA305"/>
      <c r="AB305"/>
      <c r="AC305" s="380"/>
      <c r="AD305" s="68"/>
    </row>
    <row r="306" spans="3:30" ht="10.5" customHeight="1">
      <c r="C306" s="4975"/>
      <c r="D306" s="4978"/>
      <c r="E306" s="4978"/>
      <c r="F306" s="4978"/>
      <c r="G306" s="4975"/>
      <c r="H306" s="4978"/>
      <c r="I306" s="4978"/>
      <c r="J306" s="4978"/>
      <c r="L306" s="4975"/>
      <c r="M306" s="4978"/>
      <c r="N306" s="4978"/>
      <c r="O306" s="4978"/>
      <c r="P306" s="241" t="s">
        <v>2231</v>
      </c>
      <c r="Q306" s="241"/>
      <c r="R306" s="147"/>
      <c r="S306" s="236"/>
      <c r="T306" s="392" t="s">
        <v>737</v>
      </c>
      <c r="U306" s="392" t="s">
        <v>100</v>
      </c>
      <c r="W306" s="44" t="s">
        <v>1352</v>
      </c>
      <c r="X306" s="44" t="s">
        <v>3018</v>
      </c>
      <c r="AA306"/>
      <c r="AB306"/>
      <c r="AC306" s="380"/>
      <c r="AD306" s="68"/>
    </row>
    <row r="307" spans="3:30" ht="10.5" customHeight="1">
      <c r="C307" s="4975"/>
      <c r="D307" s="4978"/>
      <c r="E307" s="4978"/>
      <c r="F307" s="4978"/>
      <c r="G307" s="4975"/>
      <c r="H307" s="4978"/>
      <c r="I307" s="4978"/>
      <c r="J307" s="4978"/>
      <c r="L307" s="4975"/>
      <c r="M307" s="4978"/>
      <c r="N307" s="4978"/>
      <c r="O307" s="4978"/>
      <c r="P307" s="241" t="s">
        <v>2232</v>
      </c>
      <c r="Q307" s="241"/>
      <c r="R307" s="147"/>
      <c r="S307" s="236"/>
      <c r="T307" s="392" t="s">
        <v>739</v>
      </c>
      <c r="U307" s="392" t="s">
        <v>116</v>
      </c>
      <c r="W307" s="44" t="s">
        <v>1453</v>
      </c>
      <c r="X307" s="44" t="s">
        <v>3018</v>
      </c>
      <c r="AA307"/>
      <c r="AB307"/>
      <c r="AC307" s="380"/>
      <c r="AD307" s="68"/>
    </row>
    <row r="308" spans="3:30" ht="10.5" customHeight="1">
      <c r="C308" s="4976"/>
      <c r="D308" s="4979"/>
      <c r="E308" s="4979"/>
      <c r="F308" s="4979"/>
      <c r="G308" s="4976"/>
      <c r="H308" s="4979"/>
      <c r="I308" s="4979"/>
      <c r="J308" s="4979"/>
      <c r="L308" s="4976"/>
      <c r="M308" s="4979"/>
      <c r="N308" s="4979"/>
      <c r="O308" s="497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2287</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1690</v>
      </c>
      <c r="Q325" s="241"/>
      <c r="R325" s="147"/>
      <c r="S325" s="236"/>
      <c r="T325" s="392" t="s">
        <v>2534</v>
      </c>
      <c r="U325" s="392" t="s">
        <v>152</v>
      </c>
      <c r="W325" s="44" t="s">
        <v>2224</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1692</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1795</v>
      </c>
      <c r="Q334" s="241"/>
      <c r="R334" s="147"/>
      <c r="S334" s="236"/>
      <c r="T334" s="236" t="s">
        <v>3780</v>
      </c>
      <c r="U334" s="236" t="s">
        <v>618</v>
      </c>
      <c r="W334" s="44" t="s">
        <v>2314</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1765</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2105</v>
      </c>
      <c r="Q342" s="241"/>
      <c r="R342" s="147"/>
      <c r="S342" s="236"/>
      <c r="T342" s="392" t="s">
        <v>2536</v>
      </c>
      <c r="U342" s="392" t="s">
        <v>192</v>
      </c>
      <c r="W342" s="44" t="s">
        <v>2087</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1972</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2141</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2027</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2542</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2025</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1747</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1749</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2551</v>
      </c>
      <c r="U647" s="392" t="s">
        <v>1811</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1764</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2084</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1829</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1771</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Decatur, Westbury,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3290</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2191</v>
      </c>
      <c r="C9" s="1819"/>
      <c r="D9" s="378"/>
      <c r="E9" s="1622"/>
      <c r="F9" s="2545" t="s">
        <v>3267</v>
      </c>
      <c r="G9" s="1819"/>
      <c r="H9" s="1819"/>
      <c r="I9" s="2465">
        <f>'Part III-A-Uses of Funds'!$J$191</f>
        <v>2652770</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1890</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3672</v>
      </c>
      <c r="C13" s="1819"/>
      <c r="D13" s="2545"/>
      <c r="E13" s="1622"/>
      <c r="F13" s="1819"/>
      <c r="G13" s="1622"/>
      <c r="H13" s="1622"/>
      <c r="I13" s="1622"/>
      <c r="J13" s="1819"/>
      <c r="K13" s="1819"/>
      <c r="L13" s="2547"/>
      <c r="M13" s="1819"/>
      <c r="N13" s="1819"/>
      <c r="O13" s="1819"/>
      <c r="P13" s="1819"/>
    </row>
    <row r="14" spans="1:26">
      <c r="A14" s="1819"/>
      <c r="B14" s="1819" t="s">
        <v>3295</v>
      </c>
      <c r="C14" s="1819"/>
      <c r="D14" s="1819"/>
      <c r="E14" s="1819"/>
      <c r="F14" s="1819" t="str">
        <f>'Part I-Project Identification'!F15</f>
        <v>Prestwick Development Company</v>
      </c>
      <c r="G14" s="1819"/>
      <c r="H14" s="1819"/>
      <c r="I14" s="1819" t="s">
        <v>1670</v>
      </c>
      <c r="J14" s="1819" t="str">
        <f>'Part I-Project Identification'!J15</f>
        <v>Wiley A. Tucker, III</v>
      </c>
      <c r="K14" s="1819"/>
      <c r="L14" s="1819"/>
      <c r="M14" s="2545" t="s">
        <v>1838</v>
      </c>
      <c r="N14" s="1819" t="str">
        <f>'Part I-Project Identification'!N15</f>
        <v>Manager - CEO</v>
      </c>
      <c r="O14" s="1819"/>
      <c r="P14" s="1819"/>
    </row>
    <row r="15" spans="1:26" s="1819" customFormat="1" ht="12.75" customHeight="1">
      <c r="B15" s="2545" t="s">
        <v>1599</v>
      </c>
      <c r="F15" s="2550">
        <f>'Part I-Project Identification'!F16</f>
        <v>4049493871</v>
      </c>
      <c r="G15" s="2550"/>
      <c r="H15" s="2550"/>
      <c r="I15" s="2545" t="s">
        <v>1598</v>
      </c>
      <c r="J15" s="2551">
        <f>'Part I-Project Identification'!J16</f>
        <v>0</v>
      </c>
      <c r="M15" s="2545" t="s">
        <v>1600</v>
      </c>
      <c r="N15" s="2550">
        <f>'Part I-Project Identification'!N16</f>
        <v>4049493871</v>
      </c>
      <c r="O15" s="2550"/>
      <c r="P15" s="2550"/>
      <c r="Q15" s="357"/>
      <c r="R15" s="357"/>
      <c r="S15" s="357"/>
      <c r="V15" s="2552"/>
      <c r="W15" s="2552"/>
      <c r="X15" s="2552"/>
      <c r="Z15" s="1622">
        <v>18</v>
      </c>
    </row>
    <row r="16" spans="1:26" s="1819" customFormat="1">
      <c r="B16" s="2545" t="s">
        <v>1841</v>
      </c>
      <c r="F16" s="2553" t="str">
        <f>'Part I-Project Identification'!F17</f>
        <v>jody@prestwickcompanies.com</v>
      </c>
      <c r="G16" s="2553"/>
      <c r="H16" s="2553"/>
      <c r="I16" s="2553"/>
      <c r="J16" s="2553"/>
      <c r="K16" s="2553"/>
      <c r="L16" s="2553"/>
      <c r="M16" s="2545" t="s">
        <v>1837</v>
      </c>
      <c r="N16" s="2550">
        <f>'Part I-Project Identification'!N17</f>
        <v>4049663824</v>
      </c>
      <c r="O16" s="2550"/>
      <c r="P16" s="2550"/>
      <c r="Q16" s="357"/>
      <c r="R16" s="357"/>
      <c r="S16" s="357"/>
      <c r="U16" s="2552"/>
      <c r="V16" s="2552"/>
      <c r="W16" s="2552"/>
      <c r="X16" s="2552"/>
      <c r="Z16" s="1622">
        <v>19</v>
      </c>
    </row>
    <row r="17" spans="1:26">
      <c r="A17" s="2537"/>
      <c r="B17" s="2536"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Prestwick Development Company</v>
      </c>
      <c r="G18" s="1819"/>
      <c r="H18" s="1819"/>
      <c r="I18" s="1819" t="s">
        <v>1670</v>
      </c>
      <c r="J18" s="1819" t="str">
        <f>'Part I-Project Identification'!J19</f>
        <v>Edrick Harris</v>
      </c>
      <c r="K18" s="1819"/>
      <c r="L18" s="1819"/>
      <c r="M18" s="2545" t="s">
        <v>1838</v>
      </c>
      <c r="N18" s="1819" t="str">
        <f>'Part I-Project Identification'!N19</f>
        <v>Partner - EVP</v>
      </c>
      <c r="O18" s="1819"/>
      <c r="P18" s="1819"/>
    </row>
    <row r="19" spans="1:26" s="1819" customFormat="1" ht="12.75" customHeight="1">
      <c r="B19" s="2545" t="s">
        <v>1599</v>
      </c>
      <c r="F19" s="2550">
        <f>'Part I-Project Identification'!F20</f>
        <v>6787050738</v>
      </c>
      <c r="G19" s="2550"/>
      <c r="H19" s="2550"/>
      <c r="I19" s="2545" t="s">
        <v>1598</v>
      </c>
      <c r="J19" s="2551">
        <f>'Part I-Project Identification'!J20</f>
        <v>0</v>
      </c>
      <c r="M19" s="2545" t="s">
        <v>1600</v>
      </c>
      <c r="N19" s="2550">
        <f>'Part I-Project Identification'!N20</f>
        <v>6787050738</v>
      </c>
      <c r="O19" s="2550"/>
      <c r="P19" s="2550"/>
      <c r="Q19" s="357"/>
      <c r="R19" s="357"/>
      <c r="S19" s="357"/>
      <c r="V19" s="2552"/>
      <c r="W19" s="2552"/>
      <c r="X19" s="2552"/>
      <c r="Z19" s="1622">
        <v>18</v>
      </c>
    </row>
    <row r="20" spans="1:26" s="1819" customFormat="1">
      <c r="B20" s="2545" t="s">
        <v>1841</v>
      </c>
      <c r="F20" s="2553" t="str">
        <f>'Part I-Project Identification'!F21</f>
        <v>edrick@prestwickcompanies.com</v>
      </c>
      <c r="G20" s="2553"/>
      <c r="H20" s="2553"/>
      <c r="I20" s="2553"/>
      <c r="J20" s="2553"/>
      <c r="K20" s="2553"/>
      <c r="L20" s="2553"/>
      <c r="M20" s="2545" t="s">
        <v>1837</v>
      </c>
      <c r="N20" s="2550">
        <f>'Part I-Project Identification'!N21</f>
        <v>4043177597</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Westbury</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Decatur</v>
      </c>
      <c r="G25" s="1819"/>
      <c r="H25" s="1819"/>
      <c r="I25" s="2554" t="s">
        <v>576</v>
      </c>
      <c r="J25" s="1819" t="str">
        <f>'Part I-Project Identification'!J26</f>
        <v>DeKalb</v>
      </c>
      <c r="K25" s="1819"/>
      <c r="L25" s="1819"/>
      <c r="M25" s="2545" t="s">
        <v>426</v>
      </c>
      <c r="N25" s="1819"/>
      <c r="O25" s="1819"/>
      <c r="P25" s="2467" t="str">
        <f>'Part I-Project Identification'!P26</f>
        <v>No</v>
      </c>
    </row>
    <row r="26" spans="1:26" ht="13.5">
      <c r="A26" s="2537"/>
      <c r="B26" s="1819" t="s">
        <v>3906</v>
      </c>
      <c r="C26" s="2555"/>
      <c r="D26" s="1681"/>
      <c r="E26" s="1681"/>
      <c r="F26" s="1819" t="str">
        <f>'Part I-Project Identification'!F27</f>
        <v>Unincorporated County</v>
      </c>
      <c r="G26" s="1819"/>
      <c r="H26" s="1819"/>
      <c r="I26" s="1622"/>
      <c r="J26" s="379" t="s">
        <v>6723</v>
      </c>
      <c r="K26" s="1622"/>
      <c r="L26" s="1819"/>
      <c r="M26" s="2545" t="s">
        <v>6666</v>
      </c>
      <c r="N26" s="1819"/>
      <c r="O26" s="2556">
        <f>'Part I-Project Identification'!O27</f>
        <v>8.0399999999999991</v>
      </c>
      <c r="P26" s="2556"/>
    </row>
    <row r="27" spans="1:26">
      <c r="A27" s="2537"/>
      <c r="B27" s="1819" t="s">
        <v>1455</v>
      </c>
      <c r="C27" s="1819"/>
      <c r="D27" s="1819"/>
      <c r="E27" s="1819"/>
      <c r="F27" s="2545" t="str">
        <f>'Part I-Project Identification'!F28</f>
        <v>No</v>
      </c>
      <c r="G27" s="1819"/>
      <c r="H27" s="1819"/>
      <c r="I27" s="1622"/>
      <c r="J27" s="1622" t="s">
        <v>2499</v>
      </c>
      <c r="K27" s="1622" t="str">
        <f>IF(F27="Yes","Rural","Urban")</f>
        <v>Urban</v>
      </c>
      <c r="L27" s="1819"/>
      <c r="M27" s="2545" t="s">
        <v>2398</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6653</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6652</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3086</v>
      </c>
      <c r="M33" s="1819"/>
      <c r="N33" s="1819"/>
      <c r="O33" s="1819"/>
      <c r="P33" s="1681"/>
    </row>
    <row r="34" spans="1:17">
      <c r="A34" s="2537"/>
      <c r="B34" s="2536"/>
      <c r="C34" s="1819" t="s">
        <v>3932</v>
      </c>
      <c r="D34" s="1819"/>
      <c r="E34" s="1819"/>
      <c r="F34" s="1819"/>
      <c r="G34" s="1819"/>
      <c r="H34" s="1819"/>
      <c r="I34" s="1681"/>
      <c r="J34" s="2554" t="s">
        <v>2483</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81">
      <c r="A40" s="2561" t="str">
        <f>'Part I-Project Identification'!A41</f>
        <v>There was no pre-application round for the 4% applications.</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Westbury, Decatur, DeKalb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2218</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5">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5">
      <c r="A53" s="2537"/>
      <c r="B53" s="1622" t="str">
        <f>'Part II-Sources of Funds'!B10</f>
        <v>No</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5">
      <c r="A55" s="2537"/>
      <c r="B55" s="1622" t="str">
        <f>'Part II-Sources of Funds'!B12</f>
        <v>No</v>
      </c>
      <c r="C55" s="2541" t="s">
        <v>3194</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6662</v>
      </c>
      <c r="D56" s="2563"/>
      <c r="E56" s="1622" t="str">
        <f>'Part II-Sources of Funds'!E13</f>
        <v>Yes</v>
      </c>
      <c r="F56" s="2541" t="s">
        <v>6664</v>
      </c>
      <c r="G56" s="2563"/>
      <c r="H56" s="2563" t="str">
        <f>'Part II-Sources of Funds'!H13</f>
        <v>Housing Authority of DeKalb County</v>
      </c>
      <c r="I56" s="2563"/>
      <c r="J56" s="2563"/>
      <c r="K56" s="2563"/>
      <c r="L56" s="1622" t="str">
        <f>'Part II-Sources of Funds'!L13</f>
        <v>No</v>
      </c>
      <c r="M56" s="2563" t="s">
        <v>6078</v>
      </c>
      <c r="N56" s="2563"/>
      <c r="O56" s="2563"/>
      <c r="P56" s="2563"/>
      <c r="Q56" s="2563"/>
    </row>
    <row r="57" spans="1:17" ht="13.5">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5">
      <c r="A58" s="2537"/>
      <c r="B58" s="1622" t="str">
        <f>'Part II-Sources of Funds'!B15</f>
        <v>No</v>
      </c>
      <c r="C58" s="2563" t="s">
        <v>3219</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5">
      <c r="A59" s="2537"/>
      <c r="B59" s="1622" t="str">
        <f>'Part II-Sources of Funds'!B16</f>
        <v>No</v>
      </c>
      <c r="C59" s="2541" t="s">
        <v>1673</v>
      </c>
      <c r="D59" s="2563"/>
      <c r="E59" s="1622" t="str">
        <f>'Part II-Sources of Funds'!E16</f>
        <v>Yes</v>
      </c>
      <c r="F59" s="2541" t="s">
        <v>6499</v>
      </c>
      <c r="G59" s="2563"/>
      <c r="H59" s="2563"/>
      <c r="I59" s="2565">
        <f>'Part II-Sources of Funds'!I16</f>
        <v>30000000</v>
      </c>
      <c r="J59" s="359"/>
      <c r="K59" s="2563"/>
      <c r="L59" s="1622" t="str">
        <f>'Part II-Sources of Funds'!L16</f>
        <v>No</v>
      </c>
      <c r="M59" s="2566" t="s">
        <v>6077</v>
      </c>
      <c r="N59" s="2563"/>
      <c r="O59" s="2563"/>
      <c r="P59" s="2563"/>
      <c r="Q59" s="2563"/>
    </row>
    <row r="60" spans="1:17" ht="13.5">
      <c r="A60" s="2537"/>
      <c r="B60" s="2563" t="s">
        <v>3878</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2164</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1733</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567" t="str">
        <f>'Part II-Sources of Funds'!H22</f>
        <v>Truist Bank</v>
      </c>
      <c r="I65" s="2567"/>
      <c r="J65" s="2567"/>
      <c r="K65" s="2567"/>
      <c r="L65" s="2469">
        <f>'Part II-Sources of Funds'!L22</f>
        <v>42612257</v>
      </c>
      <c r="M65" s="2469"/>
      <c r="N65" s="2470">
        <f>'Part II-Sources of Funds'!N22</f>
        <v>7.0000000000000007E-2</v>
      </c>
      <c r="O65" s="2470"/>
      <c r="P65" s="2471">
        <f>'Part II-Sources of Funds'!P22</f>
        <v>36</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2046</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38.25">
      <c r="A71" s="1819"/>
      <c r="B71" s="1819" t="s">
        <v>746</v>
      </c>
      <c r="C71" s="1819"/>
      <c r="D71" s="1819"/>
      <c r="E71" s="1819"/>
      <c r="F71" s="2563"/>
      <c r="G71" s="2563"/>
      <c r="H71" s="2567" t="str">
        <f>'Part II-Sources of Funds'!H28</f>
        <v>Truist Community Capital</v>
      </c>
      <c r="I71" s="2567"/>
      <c r="J71" s="2567"/>
      <c r="K71" s="2567"/>
      <c r="L71" s="2469">
        <f>'Part II-Sources of Funds'!L28</f>
        <v>15689568.95767702</v>
      </c>
      <c r="M71" s="2469"/>
      <c r="N71" s="1819"/>
      <c r="O71" s="2563"/>
      <c r="P71" s="2563"/>
      <c r="Q71" s="1819"/>
    </row>
    <row r="72" spans="1:17" ht="38.25">
      <c r="A72" s="1819"/>
      <c r="B72" s="1819" t="s">
        <v>747</v>
      </c>
      <c r="C72" s="1819"/>
      <c r="D72" s="1819"/>
      <c r="E72" s="1819"/>
      <c r="F72" s="2563"/>
      <c r="G72" s="2563"/>
      <c r="H72" s="2567" t="str">
        <f>'Part II-Sources of Funds'!H29</f>
        <v>Truist Community Capital</v>
      </c>
      <c r="I72" s="2567"/>
      <c r="J72" s="2567"/>
      <c r="K72" s="2567"/>
      <c r="L72" s="2469">
        <f>'Part II-Sources of Funds'!L29</f>
        <v>10000945.144462436</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68302771.102139458</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55681789.594854057</v>
      </c>
      <c r="M77" s="2472"/>
      <c r="N77" s="2568"/>
      <c r="O77" s="2563"/>
      <c r="P77" s="2563"/>
      <c r="Q77" s="2563"/>
    </row>
    <row r="78" spans="1:17" ht="13.5">
      <c r="A78" s="1819"/>
      <c r="B78" s="2545" t="s">
        <v>2001</v>
      </c>
      <c r="C78" s="1819"/>
      <c r="D78" s="1819"/>
      <c r="E78" s="1819"/>
      <c r="F78" s="1819"/>
      <c r="G78" s="1819"/>
      <c r="H78" s="1819"/>
      <c r="I78" s="1819"/>
      <c r="J78" s="2563"/>
      <c r="K78" s="2563"/>
      <c r="L78" s="2569">
        <f>L76-L77</f>
        <v>12620981.507285401</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1947</v>
      </c>
      <c r="L81" s="1622" t="s">
        <v>1218</v>
      </c>
      <c r="M81" s="1622" t="s">
        <v>1223</v>
      </c>
      <c r="N81" s="2563"/>
      <c r="O81" s="2563"/>
      <c r="P81" s="2568" t="s">
        <v>31</v>
      </c>
      <c r="Q81" s="2568"/>
    </row>
    <row r="82" spans="1:17">
      <c r="A82" s="1819"/>
      <c r="B82" s="2545" t="s">
        <v>1733</v>
      </c>
      <c r="C82" s="1819"/>
      <c r="D82" s="1819"/>
      <c r="E82" s="1819" t="s">
        <v>1220</v>
      </c>
      <c r="F82" s="1819"/>
      <c r="G82" s="1819"/>
      <c r="H82" s="1819"/>
      <c r="I82" s="1819" t="s">
        <v>3843</v>
      </c>
      <c r="J82" s="1819"/>
      <c r="K82" s="1622" t="s">
        <v>1675</v>
      </c>
      <c r="L82" s="1622" t="s">
        <v>2045</v>
      </c>
      <c r="M82" s="1622" t="s">
        <v>2045</v>
      </c>
      <c r="N82" s="1819" t="s">
        <v>69</v>
      </c>
      <c r="O82" s="1819"/>
      <c r="P82" s="2568"/>
      <c r="Q82" s="2568"/>
    </row>
    <row r="83" spans="1:17">
      <c r="A83" s="1819"/>
      <c r="B83" s="1819" t="s">
        <v>2401</v>
      </c>
      <c r="C83" s="1819"/>
      <c r="D83" s="1819"/>
      <c r="E83" s="2567" t="str">
        <f>'Part II-Sources of Funds'!E40</f>
        <v>Truist Bank</v>
      </c>
      <c r="F83" s="2567"/>
      <c r="G83" s="2567"/>
      <c r="H83" s="2567"/>
      <c r="I83" s="2570">
        <f>'Part II-Sources of Funds'!I40</f>
        <v>19613853</v>
      </c>
      <c r="J83" s="1819"/>
      <c r="K83" s="2571">
        <f>'Part II-Sources of Funds'!K40</f>
        <v>6.3E-2</v>
      </c>
      <c r="L83" s="1622">
        <f>'Part II-Sources of Funds'!L40</f>
        <v>15</v>
      </c>
      <c r="M83" s="1622">
        <f>'Part II-Sources of Funds'!M40</f>
        <v>40</v>
      </c>
      <c r="N83" s="1819" t="str">
        <f>'Part II-Sources of Funds'!N40</f>
        <v>Amortizing</v>
      </c>
      <c r="O83" s="1819"/>
      <c r="P83" s="2473">
        <f>'Part II-Sources of Funds'!P40</f>
        <v>1344571.9668434197</v>
      </c>
      <c r="Q83" s="2473"/>
    </row>
    <row r="84" spans="1:17">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0.40631842857142858</v>
      </c>
      <c r="E88" s="2567" t="str">
        <f>'Part II-Sources of Funds'!E45</f>
        <v>Prestwick Development Company</v>
      </c>
      <c r="F88" s="2567"/>
      <c r="G88" s="2567"/>
      <c r="H88" s="2567"/>
      <c r="I88" s="2570">
        <f>'Part II-Sources of Funds'!I45</f>
        <v>1422114.5</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3405</v>
      </c>
      <c r="C90" s="1819"/>
      <c r="D90" s="2563"/>
      <c r="E90" s="2563" t="s">
        <v>3363</v>
      </c>
      <c r="F90" s="2575">
        <f>'Part II-Sources of Funds'!F47</f>
        <v>6721881.3534182012</v>
      </c>
      <c r="G90" s="2563"/>
      <c r="H90" s="2576" t="s">
        <v>3404</v>
      </c>
      <c r="I90" s="2575">
        <f>'Part II-Sources of Funds'!I47</f>
        <v>1422115</v>
      </c>
      <c r="J90" s="2563"/>
      <c r="K90" s="2576" t="s">
        <v>3406</v>
      </c>
      <c r="L90" s="2577">
        <f>'Part II-Sources of Funds'!L47</f>
        <v>0.21156502550834644</v>
      </c>
      <c r="M90" s="2577"/>
      <c r="N90" s="2473" t="s">
        <v>3847</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2046</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2356</v>
      </c>
      <c r="Q93" s="1819"/>
    </row>
    <row r="94" spans="1:17" ht="38.25">
      <c r="A94" s="1819"/>
      <c r="B94" s="1819" t="s">
        <v>746</v>
      </c>
      <c r="C94" s="1819"/>
      <c r="D94" s="1819"/>
      <c r="E94" s="2567" t="str">
        <f>'Part II-Sources of Funds'!E51</f>
        <v>Truist Community Capital</v>
      </c>
      <c r="F94" s="2567"/>
      <c r="G94" s="2567"/>
      <c r="H94" s="2567"/>
      <c r="I94" s="2570">
        <f>'Part II-Sources of Funds'!I51</f>
        <v>24137798.396426182</v>
      </c>
      <c r="J94" s="1819"/>
      <c r="K94" s="2563"/>
      <c r="L94" s="2581">
        <f>'Part II-Sources of Funds'!L51</f>
        <v>24140207</v>
      </c>
      <c r="M94" s="2581"/>
      <c r="N94" s="2582">
        <f>I94-L94</f>
        <v>-2408.6035738177598</v>
      </c>
      <c r="O94" s="2582"/>
      <c r="P94" s="2583">
        <f>I94/I104</f>
        <v>0.39857767755957696</v>
      </c>
      <c r="Q94" s="1819"/>
    </row>
    <row r="95" spans="1:17" ht="38.25">
      <c r="A95" s="1819"/>
      <c r="B95" s="1819" t="s">
        <v>747</v>
      </c>
      <c r="C95" s="1819"/>
      <c r="D95" s="1819"/>
      <c r="E95" s="2567" t="str">
        <f>'Part II-Sources of Funds'!E52</f>
        <v>Truist Community Capital</v>
      </c>
      <c r="F95" s="2567"/>
      <c r="G95" s="2567"/>
      <c r="H95" s="2567"/>
      <c r="I95" s="2570">
        <f>'Part II-Sources of Funds'!I52</f>
        <v>15386069.453019133</v>
      </c>
      <c r="J95" s="1819"/>
      <c r="K95" s="2563"/>
      <c r="L95" s="2581">
        <f>'Part II-Sources of Funds'!L52</f>
        <v>15386065.999999998</v>
      </c>
      <c r="M95" s="2581"/>
      <c r="N95" s="2582">
        <f>I95-L95</f>
        <v>3.4530191347002983</v>
      </c>
      <c r="O95" s="2582"/>
      <c r="P95" s="2583">
        <f>I95/I104</f>
        <v>0.25406392615586249</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0.65264160371543944</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1731</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1732</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2047</v>
      </c>
      <c r="C103" s="1819"/>
      <c r="D103" s="1819"/>
      <c r="E103" s="1819"/>
      <c r="F103" s="1819"/>
      <c r="G103" s="1819"/>
      <c r="H103" s="2563"/>
      <c r="I103" s="2472">
        <f>SUM(I83:J88)+SUM(I92:J102)</f>
        <v>60559835.349445313</v>
      </c>
      <c r="J103" s="2472"/>
      <c r="K103" s="1819"/>
      <c r="L103" s="1622"/>
      <c r="M103" s="2567"/>
      <c r="N103" s="2567"/>
      <c r="O103" s="2567"/>
      <c r="P103" s="2567"/>
      <c r="Q103" s="1819"/>
    </row>
    <row r="104" spans="1:17" ht="13.5">
      <c r="A104" s="1819"/>
      <c r="B104" s="2545" t="s">
        <v>2048</v>
      </c>
      <c r="C104" s="1819"/>
      <c r="D104" s="1819"/>
      <c r="E104" s="1819"/>
      <c r="F104" s="1819"/>
      <c r="G104" s="1819"/>
      <c r="H104" s="2563"/>
      <c r="I104" s="2472">
        <f>'Part III-A-Uses of Funds'!$G$146</f>
        <v>60559835.021915421</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0.32752989232540131</v>
      </c>
      <c r="J105" s="2569"/>
      <c r="K105" s="1819"/>
      <c r="L105" s="1622"/>
      <c r="M105" s="2567"/>
      <c r="N105" s="2567"/>
      <c r="O105" s="2567"/>
      <c r="P105" s="2567"/>
      <c r="Q105" s="1819"/>
    </row>
    <row r="106" spans="1:17">
      <c r="A106" s="1819" t="s">
        <v>3944</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Westbury,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1854</v>
      </c>
      <c r="C122" s="1819"/>
      <c r="D122" s="1819"/>
      <c r="E122" s="1819"/>
      <c r="F122" s="1819"/>
      <c r="G122" s="2469">
        <f>'Part III-A-Uses of Funds'!G9</f>
        <v>22000</v>
      </c>
      <c r="H122" s="2469"/>
      <c r="I122" s="1819"/>
      <c r="J122" s="2469">
        <f>'Part III-A-Uses of Funds'!J9</f>
        <v>22000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14000</v>
      </c>
      <c r="H123" s="2469"/>
      <c r="I123" s="1819"/>
      <c r="J123" s="2469">
        <f>'Part III-A-Uses of Funds'!J10</f>
        <v>14000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35000</v>
      </c>
      <c r="H124" s="2469"/>
      <c r="I124" s="1819"/>
      <c r="J124" s="2469">
        <f>'Part III-A-Uses of Funds'!J11</f>
        <v>35000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13000</v>
      </c>
      <c r="H125" s="2469"/>
      <c r="I125" s="1819"/>
      <c r="J125" s="2469">
        <f>'Part III-A-Uses of Funds'!J12</f>
        <v>13000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2300</v>
      </c>
      <c r="C126" s="1819"/>
      <c r="D126" s="1819"/>
      <c r="E126" s="1819"/>
      <c r="F126" s="1819"/>
      <c r="G126" s="2469">
        <f>'Part III-A-Uses of Funds'!G13</f>
        <v>15000</v>
      </c>
      <c r="H126" s="2469"/>
      <c r="I126" s="1819"/>
      <c r="J126" s="2469">
        <f>'Part III-A-Uses of Funds'!J13</f>
        <v>15000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Noise Study</v>
      </c>
      <c r="D128" s="2589"/>
      <c r="E128" s="2589"/>
      <c r="F128" s="2589"/>
      <c r="G128" s="2469">
        <f>'Part III-A-Uses of Funds'!G15</f>
        <v>6000</v>
      </c>
      <c r="H128" s="2469"/>
      <c r="I128" s="1819"/>
      <c r="J128" s="2469">
        <f>'Part III-A-Uses of Funds'!J15</f>
        <v>6000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105000</v>
      </c>
      <c r="H131" s="2469"/>
      <c r="I131" s="1819"/>
      <c r="J131" s="2469">
        <f>SUM(J122:J130)</f>
        <v>105000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2036</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2037</v>
      </c>
      <c r="C133" s="1819"/>
      <c r="D133" s="1819"/>
      <c r="E133" s="2592" t="s">
        <v>3221</v>
      </c>
      <c r="F133" s="2593">
        <f>IF('Part I-Project Identification'!$O$27="","",G133/'Part I-Project Identification'!$O$27)</f>
        <v>572139.3034825871</v>
      </c>
      <c r="G133" s="2469">
        <f>'Part III-A-Uses of Funds'!G20</f>
        <v>4600000</v>
      </c>
      <c r="H133" s="2469"/>
      <c r="I133" s="1819"/>
      <c r="J133" s="2467"/>
      <c r="K133" s="2469"/>
      <c r="L133" s="2467"/>
      <c r="M133" s="2467"/>
      <c r="N133" s="2469"/>
      <c r="O133" s="1819"/>
      <c r="P133" s="2467"/>
      <c r="Q133" s="2469"/>
      <c r="R133" s="1819"/>
      <c r="S133" s="2469">
        <f>'Part III-A-Uses of Funds'!S20</f>
        <v>4600000</v>
      </c>
      <c r="T133" s="2469"/>
      <c r="U133" s="1819"/>
      <c r="V133" s="2587"/>
    </row>
    <row r="134" spans="1:22">
      <c r="A134" s="1819"/>
      <c r="B134" s="1819" t="s">
        <v>1054</v>
      </c>
      <c r="C134" s="1819"/>
      <c r="D134" s="1819"/>
      <c r="E134" s="1819"/>
      <c r="F134" s="1819"/>
      <c r="G134" s="2469">
        <f>'Part III-A-Uses of Funds'!G21</f>
        <v>50000</v>
      </c>
      <c r="H134" s="2469"/>
      <c r="I134" s="1819"/>
      <c r="J134" s="2467"/>
      <c r="K134" s="2469"/>
      <c r="L134" s="2467"/>
      <c r="M134" s="2467"/>
      <c r="N134" s="2469"/>
      <c r="O134" s="1819"/>
      <c r="P134" s="2467"/>
      <c r="Q134" s="2469"/>
      <c r="R134" s="1819"/>
      <c r="S134" s="2469">
        <f>'Part III-A-Uses of Funds'!S21</f>
        <v>50000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4650000</v>
      </c>
      <c r="H137" s="2469"/>
      <c r="I137" s="1819"/>
      <c r="J137" s="2467"/>
      <c r="K137" s="2469"/>
      <c r="L137" s="2467"/>
      <c r="M137" s="2469">
        <f>SUM(M135:M136)</f>
        <v>0</v>
      </c>
      <c r="N137" s="2469"/>
      <c r="O137" s="1819"/>
      <c r="P137" s="2467"/>
      <c r="Q137" s="2469"/>
      <c r="R137" s="1819"/>
      <c r="S137" s="2469">
        <f>SUM(S133:S136)</f>
        <v>4650000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273631.84079601994</v>
      </c>
      <c r="G139" s="2469">
        <f>'Part III-A-Uses of Funds'!G26</f>
        <v>2200000</v>
      </c>
      <c r="H139" s="2469"/>
      <c r="I139" s="1819"/>
      <c r="J139" s="2469">
        <f>'Part III-A-Uses of Funds'!J26</f>
        <v>2100000</v>
      </c>
      <c r="K139" s="2469"/>
      <c r="L139" s="2467"/>
      <c r="M139" s="2469">
        <f>'Part III-A-Uses of Funds'!M26</f>
        <v>0</v>
      </c>
      <c r="N139" s="2469"/>
      <c r="O139" s="1819"/>
      <c r="P139" s="2469">
        <f>'Part III-A-Uses of Funds'!P26</f>
        <v>0</v>
      </c>
      <c r="Q139" s="2469"/>
      <c r="R139" s="1819"/>
      <c r="S139" s="2469">
        <f>'Part III-A-Uses of Funds'!S26</f>
        <v>100000</v>
      </c>
      <c r="T139" s="2469"/>
      <c r="U139" s="1819"/>
      <c r="V139" s="2587"/>
    </row>
    <row r="140" spans="1:22">
      <c r="A140" s="1819"/>
      <c r="B140" s="1819" t="s">
        <v>1057</v>
      </c>
      <c r="C140" s="1819"/>
      <c r="D140" s="1819"/>
      <c r="E140" s="1819"/>
      <c r="F140" s="1819"/>
      <c r="G140" s="2469">
        <f>'Part III-A-Uses of Funds'!G27</f>
        <v>20000</v>
      </c>
      <c r="H140" s="2469"/>
      <c r="I140" s="1819"/>
      <c r="J140" s="2469">
        <f>'Part III-A-Uses of Funds'!J27</f>
        <v>0</v>
      </c>
      <c r="K140" s="2469"/>
      <c r="L140" s="2477"/>
      <c r="M140" s="2469"/>
      <c r="N140" s="2469"/>
      <c r="O140" s="1819"/>
      <c r="P140" s="2469"/>
      <c r="Q140" s="2469"/>
      <c r="R140" s="1819"/>
      <c r="S140" s="2469">
        <f>'Part III-A-Uses of Funds'!S27</f>
        <v>20000</v>
      </c>
      <c r="T140" s="2469"/>
      <c r="U140" s="1819"/>
      <c r="V140" s="2587"/>
    </row>
    <row r="141" spans="1:22">
      <c r="A141" s="1819"/>
      <c r="B141" s="1819"/>
      <c r="C141" s="1819"/>
      <c r="D141" s="1819"/>
      <c r="E141" s="1819"/>
      <c r="F141" s="2591" t="s">
        <v>184</v>
      </c>
      <c r="G141" s="2469">
        <f>SUM(G139:G140)</f>
        <v>2220000</v>
      </c>
      <c r="H141" s="2469"/>
      <c r="I141" s="1819"/>
      <c r="J141" s="2469">
        <f>SUM(J139:J140)</f>
        <v>2100000</v>
      </c>
      <c r="K141" s="2469"/>
      <c r="L141" s="2467"/>
      <c r="M141" s="2469">
        <f>M139</f>
        <v>0</v>
      </c>
      <c r="N141" s="2469"/>
      <c r="O141" s="1819"/>
      <c r="P141" s="2469">
        <f>P139</f>
        <v>0</v>
      </c>
      <c r="Q141" s="2469"/>
      <c r="R141" s="1819"/>
      <c r="S141" s="2469">
        <f>SUM(S139:S140)</f>
        <v>120000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33219460</v>
      </c>
      <c r="H143" s="2469"/>
      <c r="I143" s="1819"/>
      <c r="J143" s="2469">
        <f>'Part III-A-Uses of Funds'!J30</f>
        <v>33119460</v>
      </c>
      <c r="K143" s="2469"/>
      <c r="L143" s="2467"/>
      <c r="M143" s="2469">
        <f>'Part III-A-Uses of Funds'!M30</f>
        <v>0</v>
      </c>
      <c r="N143" s="2469"/>
      <c r="O143" s="1819"/>
      <c r="P143" s="2469">
        <f>'Part III-A-Uses of Funds'!P30</f>
        <v>0</v>
      </c>
      <c r="Q143" s="2469"/>
      <c r="R143" s="1819"/>
      <c r="S143" s="2469">
        <f>'Part III-A-Uses of Funds'!S30</f>
        <v>100000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33219460</v>
      </c>
      <c r="H149" s="2469"/>
      <c r="I149" s="1819"/>
      <c r="J149" s="2469">
        <f>SUM(J143:J148)</f>
        <v>33119460</v>
      </c>
      <c r="K149" s="2469"/>
      <c r="L149" s="2467"/>
      <c r="M149" s="2469">
        <f>SUM(M143:M148)</f>
        <v>0</v>
      </c>
      <c r="N149" s="2469"/>
      <c r="O149" s="1819"/>
      <c r="P149" s="2469">
        <f>SUM(P143:P148)</f>
        <v>0</v>
      </c>
      <c r="Q149" s="2469"/>
      <c r="R149" s="1819"/>
      <c r="S149" s="2469">
        <f>SUM(S143:S148)</f>
        <v>100000</v>
      </c>
      <c r="T149" s="2469"/>
      <c r="U149" s="1819"/>
      <c r="V149" s="2587">
        <f>SUM(V143:V148)</f>
        <v>0</v>
      </c>
    </row>
    <row r="150" spans="1:22" ht="13.5">
      <c r="A150" s="1819"/>
      <c r="B150" s="2536" t="s">
        <v>2162</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2163</v>
      </c>
      <c r="C151" s="1819"/>
      <c r="D151" s="2598">
        <f>'DCA Underwriting Assumptions'!$R$38</f>
        <v>0.06</v>
      </c>
      <c r="E151" s="2478">
        <f>ROUNDDOWN(D151*(G141+G149),0)</f>
        <v>2126367</v>
      </c>
      <c r="F151" s="2598">
        <f>IF(($G$24+$G$32)=0,0,G151/($G$24+$G$32))</f>
        <v>0</v>
      </c>
      <c r="G151" s="2469">
        <f>'Part III-A-Uses of Funds'!G38</f>
        <v>2126367</v>
      </c>
      <c r="H151" s="2469"/>
      <c r="I151" s="1819"/>
      <c r="J151" s="2469">
        <f>'Part III-A-Uses of Funds'!J38</f>
        <v>2113167</v>
      </c>
      <c r="K151" s="2469"/>
      <c r="L151" s="2467"/>
      <c r="M151" s="2469">
        <f>'Part III-A-Uses of Funds'!M38</f>
        <v>0</v>
      </c>
      <c r="N151" s="2469"/>
      <c r="O151" s="1819"/>
      <c r="P151" s="2469">
        <f>'Part III-A-Uses of Funds'!P38</f>
        <v>0</v>
      </c>
      <c r="Q151" s="2469"/>
      <c r="R151" s="1819"/>
      <c r="S151" s="2469">
        <f>'Part III-A-Uses of Funds'!S38</f>
        <v>13200</v>
      </c>
      <c r="T151" s="2469"/>
      <c r="U151" s="1819"/>
      <c r="V151" s="2587"/>
    </row>
    <row r="152" spans="1:22" ht="13.5">
      <c r="A152" s="1819"/>
      <c r="B152" s="1819" t="s">
        <v>2475</v>
      </c>
      <c r="C152" s="1819"/>
      <c r="D152" s="2598">
        <f>'DCA Underwriting Assumptions'!$R$39</f>
        <v>0.02</v>
      </c>
      <c r="E152" s="2478">
        <f>ROUNDDOWN(D152*(G141+G149),0)</f>
        <v>708789</v>
      </c>
      <c r="F152" s="2598">
        <f>IF(($G$24+$G$32)=0,0,G152/($G$24+$G$32))</f>
        <v>0</v>
      </c>
      <c r="G152" s="2469">
        <f>'Part III-A-Uses of Funds'!G39</f>
        <v>708789</v>
      </c>
      <c r="H152" s="2469"/>
      <c r="I152" s="378"/>
      <c r="J152" s="2469">
        <f>'Part III-A-Uses of Funds'!J39</f>
        <v>704389</v>
      </c>
      <c r="K152" s="2469"/>
      <c r="L152" s="2467"/>
      <c r="M152" s="2469">
        <f>'Part III-A-Uses of Funds'!M39</f>
        <v>0</v>
      </c>
      <c r="N152" s="2469"/>
      <c r="O152" s="1819"/>
      <c r="P152" s="2469">
        <f>'Part III-A-Uses of Funds'!P39</f>
        <v>0</v>
      </c>
      <c r="Q152" s="2469"/>
      <c r="R152" s="1819"/>
      <c r="S152" s="2469">
        <f>'Part III-A-Uses of Funds'!S39</f>
        <v>4400</v>
      </c>
      <c r="T152" s="2469"/>
      <c r="U152" s="1819"/>
      <c r="V152" s="2587"/>
    </row>
    <row r="153" spans="1:22" ht="13.5">
      <c r="A153" s="1819"/>
      <c r="B153" s="1819" t="s">
        <v>2476</v>
      </c>
      <c r="C153" s="1819"/>
      <c r="D153" s="2598">
        <f>'DCA Underwriting Assumptions'!$R$40</f>
        <v>0.06</v>
      </c>
      <c r="E153" s="2478">
        <f>ROUNDDOWN(D153*(G141+G149),0)</f>
        <v>2126367</v>
      </c>
      <c r="F153" s="2598">
        <f>IF(($G$24+$G$32)=0,0,G153/($G$24+$G$32))</f>
        <v>0</v>
      </c>
      <c r="G153" s="2469">
        <f>'Part III-A-Uses of Funds'!G40</f>
        <v>2126367</v>
      </c>
      <c r="H153" s="2469"/>
      <c r="I153" s="378"/>
      <c r="J153" s="2469">
        <f>'Part III-A-Uses of Funds'!J40</f>
        <v>2113167</v>
      </c>
      <c r="K153" s="2469"/>
      <c r="L153" s="2467"/>
      <c r="M153" s="2469">
        <f>'Part III-A-Uses of Funds'!M40</f>
        <v>0</v>
      </c>
      <c r="N153" s="2469"/>
      <c r="O153" s="1819"/>
      <c r="P153" s="2469">
        <f>'Part III-A-Uses of Funds'!P40</f>
        <v>0</v>
      </c>
      <c r="Q153" s="2469"/>
      <c r="R153" s="1819"/>
      <c r="S153" s="2469">
        <f>'Part III-A-Uses of Funds'!S40</f>
        <v>13200</v>
      </c>
      <c r="T153" s="2469"/>
      <c r="U153" s="1819"/>
      <c r="V153" s="2587"/>
    </row>
    <row r="154" spans="1:22" ht="13.5">
      <c r="A154" s="1819"/>
      <c r="B154" s="2544" t="s">
        <v>3226</v>
      </c>
      <c r="C154" s="1819"/>
      <c r="D154" s="2596">
        <f>SUM(D151:D153)</f>
        <v>0.14000000000000001</v>
      </c>
      <c r="E154" s="2599">
        <f>SUM(E151:E153)</f>
        <v>4961523</v>
      </c>
      <c r="F154" s="2591" t="s">
        <v>184</v>
      </c>
      <c r="G154" s="2469">
        <f>SUM(G151:G153)</f>
        <v>4961523</v>
      </c>
      <c r="H154" s="2469"/>
      <c r="I154" s="1819"/>
      <c r="J154" s="2469">
        <f>SUM(J151:J153)</f>
        <v>4930723</v>
      </c>
      <c r="K154" s="2469"/>
      <c r="L154" s="2467"/>
      <c r="M154" s="2469">
        <f>SUM(M151:M153)</f>
        <v>0</v>
      </c>
      <c r="N154" s="2469"/>
      <c r="O154" s="1819"/>
      <c r="P154" s="2469">
        <f>SUM(P151:P153)</f>
        <v>0</v>
      </c>
      <c r="Q154" s="2469"/>
      <c r="R154" s="1819"/>
      <c r="S154" s="2469">
        <f>SUM(S151:S153)</f>
        <v>30800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6489</v>
      </c>
      <c r="D156" s="1819"/>
      <c r="E156" s="2537"/>
      <c r="F156" s="2537"/>
      <c r="G156" s="2601">
        <f>G141+G149+G154</f>
        <v>40400983</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Site Lighting</v>
      </c>
      <c r="D159" s="2589"/>
      <c r="E159" s="2589"/>
      <c r="F159" s="2589"/>
      <c r="G159" s="2469">
        <f>'Part III-A-Uses of Funds'!G46</f>
        <v>50000</v>
      </c>
      <c r="H159" s="2469"/>
      <c r="I159" s="1819"/>
      <c r="J159" s="2469">
        <f>'Part III-A-Uses of Funds'!J46</f>
        <v>50000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2478</v>
      </c>
      <c r="F161" s="2479">
        <f>C162/'Part V-Revenues &amp; Expenses'!$P$65</f>
        <v>192623.72857142857</v>
      </c>
      <c r="G161" s="2604" t="s">
        <v>6955</v>
      </c>
      <c r="H161" s="1819"/>
      <c r="I161" s="1819"/>
      <c r="J161" s="2480">
        <f>C162/'Part V-Revenues &amp; Expenses'!$P$67</f>
        <v>192623.72857142857</v>
      </c>
      <c r="K161" s="2480"/>
      <c r="L161" s="1819"/>
      <c r="M161" s="2605" t="s">
        <v>6475</v>
      </c>
      <c r="N161" s="2605"/>
      <c r="O161" s="1819"/>
      <c r="P161" s="2480">
        <f>C162/'Part V-Revenues &amp; Expenses'!$K$175</f>
        <v>200.76922275163787</v>
      </c>
      <c r="Q161" s="2480"/>
      <c r="R161" s="1819"/>
      <c r="S161" s="2606" t="s">
        <v>6477</v>
      </c>
      <c r="T161" s="2606"/>
      <c r="U161" s="1819"/>
      <c r="V161" s="2587"/>
    </row>
    <row r="162" spans="1:22" ht="13.5">
      <c r="A162" s="1819"/>
      <c r="B162" s="2607" t="s">
        <v>6488</v>
      </c>
      <c r="C162" s="2608">
        <f>G141+G149+G154+G159</f>
        <v>40450983</v>
      </c>
      <c r="D162" s="1819"/>
      <c r="E162" s="2538"/>
      <c r="F162" s="2479">
        <f>C162/'Part V-Revenues &amp; Expenses'!$P$166</f>
        <v>209.61230697481605</v>
      </c>
      <c r="G162" s="2606" t="s">
        <v>6956</v>
      </c>
      <c r="H162" s="1819"/>
      <c r="I162" s="1819"/>
      <c r="J162" s="2480">
        <f>C162/'Part V-Revenues &amp; Expenses'!$P$168</f>
        <v>209.61230697481605</v>
      </c>
      <c r="K162" s="2480"/>
      <c r="L162" s="1819"/>
      <c r="M162" s="2606" t="s">
        <v>6476</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1820</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2022549.1500000001</v>
      </c>
      <c r="F168" s="2572">
        <f>G168/C162</f>
        <v>4.9938198535249438E-2</v>
      </c>
      <c r="G168" s="2469">
        <f>'Part III-A-Uses of Funds'!G55</f>
        <v>2020049.22</v>
      </c>
      <c r="H168" s="2469"/>
      <c r="I168" s="1819"/>
      <c r="J168" s="2469">
        <f>'Part III-A-Uses of Funds'!J55</f>
        <v>2020049.22</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202243.01057142857</v>
      </c>
      <c r="G170" s="2604" t="s">
        <v>6955</v>
      </c>
      <c r="H170" s="1819"/>
      <c r="I170" s="1819"/>
      <c r="J170" s="2480">
        <f>B171/'Part V-Revenues &amp; Expenses'!$P$67</f>
        <v>202243.01057142857</v>
      </c>
      <c r="K170" s="2480"/>
      <c r="L170" s="1819"/>
      <c r="M170" s="2605" t="s">
        <v>6475</v>
      </c>
      <c r="N170" s="2605"/>
      <c r="O170" s="1819"/>
      <c r="P170" s="2480">
        <f>B171/'Part V-Revenues &amp; Expenses'!$K$175</f>
        <v>210.79527605717689</v>
      </c>
      <c r="Q170" s="2480"/>
      <c r="R170" s="1819"/>
      <c r="S170" s="2606" t="s">
        <v>6477</v>
      </c>
      <c r="T170" s="2606"/>
      <c r="U170" s="1819"/>
      <c r="V170" s="2587"/>
    </row>
    <row r="171" spans="1:22">
      <c r="A171" s="1819"/>
      <c r="B171" s="2608">
        <f>C162+G168</f>
        <v>42471032.219999999</v>
      </c>
      <c r="C171" s="2608"/>
      <c r="D171" s="1819"/>
      <c r="E171" s="2538"/>
      <c r="F171" s="2479">
        <f>B171/'Part V-Revenues &amp; Expenses'!$P$166</f>
        <v>220.07996797595604</v>
      </c>
      <c r="G171" s="2606" t="s">
        <v>6956</v>
      </c>
      <c r="H171" s="1819"/>
      <c r="I171" s="1819"/>
      <c r="J171" s="2480">
        <f>B171/'Part V-Revenues &amp; Expenses'!$P$168</f>
        <v>220.07996797595604</v>
      </c>
      <c r="K171" s="2480"/>
      <c r="L171" s="1819"/>
      <c r="M171" s="2606" t="s">
        <v>6476</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2165</v>
      </c>
      <c r="C176" s="1819"/>
      <c r="D176" s="1819"/>
      <c r="E176" s="1819"/>
      <c r="F176" s="1819"/>
      <c r="G176" s="2469">
        <f>'Part III-A-Uses of Funds'!G63</f>
        <v>319591.93</v>
      </c>
      <c r="H176" s="2469"/>
      <c r="I176" s="1819"/>
      <c r="J176" s="2469">
        <f>'Part III-A-Uses of Funds'!J63</f>
        <v>207734.75450000001</v>
      </c>
      <c r="K176" s="2469"/>
      <c r="L176" s="2467"/>
      <c r="M176" s="2469">
        <f>'Part III-A-Uses of Funds'!M63</f>
        <v>0</v>
      </c>
      <c r="N176" s="2469"/>
      <c r="O176" s="1819"/>
      <c r="P176" s="2469">
        <f>'Part III-A-Uses of Funds'!P63</f>
        <v>0</v>
      </c>
      <c r="Q176" s="2469"/>
      <c r="R176" s="1819"/>
      <c r="S176" s="2469">
        <f>'Part III-A-Uses of Funds'!S63</f>
        <v>111857.17549999998</v>
      </c>
      <c r="T176" s="2469"/>
      <c r="U176" s="1819"/>
      <c r="V176" s="2587"/>
    </row>
    <row r="177" spans="1:22">
      <c r="A177" s="1819"/>
      <c r="B177" s="1819" t="s">
        <v>2166</v>
      </c>
      <c r="C177" s="1819"/>
      <c r="D177" s="1819"/>
      <c r="E177" s="1819"/>
      <c r="F177" s="1819"/>
      <c r="G177" s="2469">
        <f>'Part III-A-Uses of Funds'!G64</f>
        <v>3835255.9962540641</v>
      </c>
      <c r="H177" s="2469"/>
      <c r="I177" s="1819"/>
      <c r="J177" s="2469">
        <f>'Part III-A-Uses of Funds'!J64</f>
        <v>2492916.3975643078</v>
      </c>
      <c r="K177" s="2469"/>
      <c r="L177" s="2467"/>
      <c r="M177" s="2469">
        <f>'Part III-A-Uses of Funds'!M64</f>
        <v>0</v>
      </c>
      <c r="N177" s="2469"/>
      <c r="O177" s="1819"/>
      <c r="P177" s="2469">
        <f>'Part III-A-Uses of Funds'!P64</f>
        <v>0</v>
      </c>
      <c r="Q177" s="2469"/>
      <c r="R177" s="1819"/>
      <c r="S177" s="2469">
        <f>'Part III-A-Uses of Funds'!S64</f>
        <v>1342339.5986881698</v>
      </c>
      <c r="T177" s="2469"/>
      <c r="U177" s="1819"/>
      <c r="V177" s="2587"/>
    </row>
    <row r="178" spans="1:22">
      <c r="A178" s="1819"/>
      <c r="B178" s="1819" t="s">
        <v>2167</v>
      </c>
      <c r="C178" s="1819"/>
      <c r="D178" s="1819"/>
      <c r="E178" s="1819"/>
      <c r="F178" s="1819"/>
      <c r="G178" s="2469">
        <f>'Part III-A-Uses of Funds'!G65</f>
        <v>75000</v>
      </c>
      <c r="H178" s="2469"/>
      <c r="I178" s="1819"/>
      <c r="J178" s="2469">
        <f>'Part III-A-Uses of Funds'!J65</f>
        <v>48750</v>
      </c>
      <c r="K178" s="2469"/>
      <c r="L178" s="2467"/>
      <c r="M178" s="2469">
        <f>'Part III-A-Uses of Funds'!M65</f>
        <v>0</v>
      </c>
      <c r="N178" s="2469"/>
      <c r="O178" s="1819"/>
      <c r="P178" s="2469">
        <f>'Part III-A-Uses of Funds'!P65</f>
        <v>0</v>
      </c>
      <c r="Q178" s="2469"/>
      <c r="R178" s="1819"/>
      <c r="S178" s="2469">
        <f>'Part III-A-Uses of Funds'!S65</f>
        <v>26250</v>
      </c>
      <c r="T178" s="2469"/>
      <c r="U178" s="1819"/>
      <c r="V178" s="2587"/>
    </row>
    <row r="179" spans="1:22">
      <c r="A179" s="1819"/>
      <c r="B179" s="1819" t="s">
        <v>2449</v>
      </c>
      <c r="C179" s="1819"/>
      <c r="D179" s="1819"/>
      <c r="E179" s="1819"/>
      <c r="F179" s="1819"/>
      <c r="G179" s="2469">
        <f>'Part III-A-Uses of Funds'!G66</f>
        <v>28800</v>
      </c>
      <c r="H179" s="2469"/>
      <c r="I179" s="1819"/>
      <c r="J179" s="2469">
        <f>'Part III-A-Uses of Funds'!J66</f>
        <v>28800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50000</v>
      </c>
      <c r="H180" s="2469"/>
      <c r="I180" s="1819"/>
      <c r="J180" s="2469">
        <f>'Part III-A-Uses of Funds'!J67</f>
        <v>50000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2168</v>
      </c>
      <c r="C181" s="1819"/>
      <c r="D181" s="1819"/>
      <c r="E181" s="1819"/>
      <c r="F181" s="1819"/>
      <c r="G181" s="2469">
        <f>'Part III-A-Uses of Funds'!G68</f>
        <v>300000</v>
      </c>
      <c r="H181" s="2469"/>
      <c r="I181" s="1819"/>
      <c r="J181" s="2469">
        <f>'Part III-A-Uses of Funds'!J68</f>
        <v>300000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100000</v>
      </c>
      <c r="H182" s="2469"/>
      <c r="I182" s="1819"/>
      <c r="J182" s="2469">
        <f>'Part III-A-Uses of Funds'!J69</f>
        <v>100000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262606.39859999996</v>
      </c>
      <c r="H183" s="2469"/>
      <c r="I183" s="378"/>
      <c r="J183" s="2469">
        <f>'Part III-A-Uses of Funds'!J70</f>
        <v>262606.39859999996</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Construction Lender Due Diligence</v>
      </c>
      <c r="D184" s="2589"/>
      <c r="E184" s="2589"/>
      <c r="F184" s="2589"/>
      <c r="G184" s="2469">
        <f>'Part III-A-Uses of Funds'!G71</f>
        <v>25000</v>
      </c>
      <c r="H184" s="2469"/>
      <c r="I184" s="1819"/>
      <c r="J184" s="2469">
        <f>'Part III-A-Uses of Funds'!J71</f>
        <v>25000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4996254.3248540638</v>
      </c>
      <c r="H186" s="2469"/>
      <c r="I186" s="1819"/>
      <c r="J186" s="2469">
        <f>SUM(J174:J185)</f>
        <v>3515807.5506643075</v>
      </c>
      <c r="K186" s="2469"/>
      <c r="L186" s="2467"/>
      <c r="M186" s="2469">
        <f>SUM(M174:M185)</f>
        <v>0</v>
      </c>
      <c r="N186" s="2469"/>
      <c r="O186" s="1819"/>
      <c r="P186" s="2469">
        <f>SUM(P174:P185)</f>
        <v>0</v>
      </c>
      <c r="Q186" s="2469"/>
      <c r="R186" s="1819"/>
      <c r="S186" s="2469">
        <f>SUM(S174:S185)</f>
        <v>1480446.7741881697</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250000</v>
      </c>
      <c r="H188" s="2469"/>
      <c r="I188" s="1819"/>
      <c r="J188" s="2469">
        <f>'Part III-A-Uses of Funds'!J75</f>
        <v>250000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50000</v>
      </c>
      <c r="H189" s="2469"/>
      <c r="I189" s="1819"/>
      <c r="J189" s="2469">
        <f>'Part III-A-Uses of Funds'!J76</f>
        <v>50000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20000</v>
      </c>
      <c r="H190" s="2469"/>
      <c r="I190" s="1819"/>
      <c r="J190" s="2469">
        <f>'Part III-A-Uses of Funds'!J77</f>
        <v>20000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20000</v>
      </c>
      <c r="H192" s="2469"/>
      <c r="I192" s="1819"/>
      <c r="J192" s="2469">
        <f>'Part III-A-Uses of Funds'!J79</f>
        <v>20000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150000</v>
      </c>
      <c r="H194" s="2469"/>
      <c r="I194" s="1819"/>
      <c r="J194" s="2469">
        <f>'Part III-A-Uses of Funds'!J81</f>
        <v>150000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160000</v>
      </c>
      <c r="H195" s="2469"/>
      <c r="I195" s="1819"/>
      <c r="J195" s="2469">
        <f>'Part III-A-Uses of Funds'!J82</f>
        <v>100000</v>
      </c>
      <c r="K195" s="2469"/>
      <c r="L195" s="2467"/>
      <c r="M195" s="2469">
        <f>'Part III-A-Uses of Funds'!M82</f>
        <v>0</v>
      </c>
      <c r="N195" s="2469"/>
      <c r="O195" s="1819"/>
      <c r="P195" s="2469">
        <f>'Part III-A-Uses of Funds'!P82</f>
        <v>0</v>
      </c>
      <c r="Q195" s="2469"/>
      <c r="R195" s="1819"/>
      <c r="S195" s="2469">
        <f>'Part III-A-Uses of Funds'!S82</f>
        <v>60000</v>
      </c>
      <c r="T195" s="2469"/>
      <c r="U195" s="1819"/>
      <c r="V195" s="2587"/>
    </row>
    <row r="196" spans="1:22">
      <c r="A196" s="1819"/>
      <c r="B196" s="1819" t="s">
        <v>1898</v>
      </c>
      <c r="C196" s="1819"/>
      <c r="D196" s="1819"/>
      <c r="E196" s="1819"/>
      <c r="F196" s="1819"/>
      <c r="G196" s="2469">
        <f>'Part III-A-Uses of Funds'!G83</f>
        <v>40000</v>
      </c>
      <c r="H196" s="2469"/>
      <c r="I196" s="1819"/>
      <c r="J196" s="2469">
        <f>'Part III-A-Uses of Funds'!J83</f>
        <v>40000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10000</v>
      </c>
      <c r="H197" s="2469"/>
      <c r="I197" s="1819"/>
      <c r="J197" s="2469">
        <f>'Part III-A-Uses of Funds'!J84</f>
        <v>10000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Radon Testing</v>
      </c>
      <c r="D198" s="2589"/>
      <c r="E198" s="2589"/>
      <c r="F198" s="2589"/>
      <c r="G198" s="2469">
        <f>'Part III-A-Uses of Funds'!G85</f>
        <v>6500</v>
      </c>
      <c r="H198" s="2469"/>
      <c r="I198" s="1819"/>
      <c r="J198" s="2469">
        <f>'Part III-A-Uses of Funds'!J85</f>
        <v>6500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706500</v>
      </c>
      <c r="H199" s="2469"/>
      <c r="I199" s="1819"/>
      <c r="J199" s="2469">
        <f>SUM(J188:J198)</f>
        <v>646500</v>
      </c>
      <c r="K199" s="2469"/>
      <c r="L199" s="2467"/>
      <c r="M199" s="2469">
        <f>SUM(M188:M198)</f>
        <v>0</v>
      </c>
      <c r="N199" s="2469"/>
      <c r="O199" s="1819"/>
      <c r="P199" s="2469">
        <f>SUM(P188:P198)</f>
        <v>0</v>
      </c>
      <c r="Q199" s="2469"/>
      <c r="R199" s="1819"/>
      <c r="S199" s="2469">
        <f>SUM(S188:S198)</f>
        <v>60000</v>
      </c>
      <c r="T199" s="2469"/>
      <c r="U199" s="1819"/>
      <c r="V199" s="2587">
        <f>SUM(V188:V198)</f>
        <v>0</v>
      </c>
    </row>
    <row r="200" spans="1:22">
      <c r="A200" s="1819"/>
      <c r="B200" s="2536" t="s">
        <v>1193</v>
      </c>
      <c r="C200" s="1819"/>
      <c r="D200" s="2614" t="s">
        <v>3229</v>
      </c>
      <c r="E200" s="2615">
        <f>G205/'Part V-Revenues &amp; Expenses'!$P$67</f>
        <v>4058.4811904761905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247125.75</v>
      </c>
      <c r="H201" s="2469"/>
      <c r="I201" s="1819"/>
      <c r="J201" s="2469">
        <f>'Part III-A-Uses of Funds'!J88</f>
        <v>247125.75</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568505.30000000005</v>
      </c>
      <c r="H202" s="2469"/>
      <c r="I202" s="1819"/>
      <c r="J202" s="2469">
        <f>'Part III-A-Uses of Funds'!J89</f>
        <v>568505.30000000005</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No</v>
      </c>
      <c r="F203" s="1819"/>
      <c r="G203" s="2469">
        <f>'Part III-A-Uses of Funds'!G90</f>
        <v>36650</v>
      </c>
      <c r="H203" s="2469"/>
      <c r="I203" s="378"/>
      <c r="J203" s="2469">
        <f>'Part III-A-Uses of Funds'!J90</f>
        <v>36650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No</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852281.05</v>
      </c>
      <c r="H205" s="2469"/>
      <c r="I205" s="1819"/>
      <c r="J205" s="2469">
        <f>SUM(J201:J204)</f>
        <v>852281.05</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245173.16331228858</v>
      </c>
      <c r="H210" s="2469"/>
      <c r="I210" s="1819"/>
      <c r="J210" s="2469"/>
      <c r="K210" s="2469"/>
      <c r="L210" s="2467"/>
      <c r="M210" s="2469"/>
      <c r="N210" s="2469"/>
      <c r="O210" s="1819"/>
      <c r="P210" s="2469"/>
      <c r="Q210" s="2469"/>
      <c r="R210" s="1819"/>
      <c r="S210" s="2469">
        <f>'Part III-A-Uses of Funds'!S97</f>
        <v>245173.16331228858</v>
      </c>
      <c r="T210" s="2469"/>
      <c r="U210" s="1819"/>
      <c r="V210" s="2587"/>
    </row>
    <row r="211" spans="1:33">
      <c r="A211" s="1819"/>
      <c r="B211" s="1819" t="s">
        <v>1199</v>
      </c>
      <c r="C211" s="1819"/>
      <c r="D211" s="1819"/>
      <c r="E211" s="1819"/>
      <c r="F211" s="1819"/>
      <c r="G211" s="2469">
        <f>'Part III-A-Uses of Funds'!G98</f>
        <v>125000</v>
      </c>
      <c r="H211" s="2469"/>
      <c r="I211" s="1819"/>
      <c r="J211" s="2469"/>
      <c r="K211" s="2469"/>
      <c r="L211" s="2467"/>
      <c r="M211" s="2469"/>
      <c r="N211" s="2469"/>
      <c r="O211" s="1819"/>
      <c r="P211" s="2469"/>
      <c r="Q211" s="2469"/>
      <c r="R211" s="1819"/>
      <c r="S211" s="2469">
        <f>'Part III-A-Uses of Funds'!S98</f>
        <v>125000</v>
      </c>
      <c r="T211" s="2469"/>
      <c r="U211" s="1819"/>
      <c r="V211" s="2587"/>
    </row>
    <row r="212" spans="1:33">
      <c r="A212" s="1819"/>
      <c r="B212" s="1819" t="s">
        <v>1200</v>
      </c>
      <c r="C212" s="1819"/>
      <c r="D212" s="1819"/>
      <c r="E212" s="1819"/>
      <c r="F212" s="1819"/>
      <c r="G212" s="2469">
        <f>'Part III-A-Uses of Funds'!G99</f>
        <v>75000</v>
      </c>
      <c r="H212" s="2469"/>
      <c r="I212" s="1819"/>
      <c r="J212" s="2469"/>
      <c r="K212" s="2469"/>
      <c r="L212" s="2467"/>
      <c r="M212" s="2469"/>
      <c r="N212" s="2469"/>
      <c r="O212" s="1819"/>
      <c r="P212" s="2469"/>
      <c r="Q212" s="2469"/>
      <c r="R212" s="1819"/>
      <c r="S212" s="2469">
        <f>'Part III-A-Uses of Funds'!S99</f>
        <v>75000</v>
      </c>
      <c r="T212" s="2469"/>
      <c r="U212" s="1819"/>
      <c r="V212" s="2587"/>
    </row>
    <row r="213" spans="1:3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2120</v>
      </c>
      <c r="C214" s="1819"/>
      <c r="D214" s="1819"/>
      <c r="E214" s="1819"/>
      <c r="F214" s="1819"/>
      <c r="G214" s="2469">
        <f>'Part III-A-Uses of Funds'!G101</f>
        <v>303250</v>
      </c>
      <c r="H214" s="2469"/>
      <c r="I214" s="1819"/>
      <c r="J214" s="2469"/>
      <c r="K214" s="2469"/>
      <c r="L214" s="2467"/>
      <c r="M214" s="2469"/>
      <c r="N214" s="2469"/>
      <c r="O214" s="1819"/>
      <c r="P214" s="2469"/>
      <c r="Q214" s="2469"/>
      <c r="R214" s="1819"/>
      <c r="S214" s="2469">
        <f>'Part III-A-Uses of Funds'!S101</f>
        <v>303250</v>
      </c>
      <c r="T214" s="2469"/>
      <c r="U214" s="1819"/>
      <c r="V214" s="2587"/>
    </row>
    <row r="215" spans="1:33" ht="16.5" customHeight="1">
      <c r="A215" s="2588" t="str">
        <f>IF(AND(G215&gt;0,OR(C215="",C215="&lt;Enter detailed description here; use Comments section if needed&gt;")),"X","")</f>
        <v/>
      </c>
      <c r="B215" s="2544" t="s">
        <v>6279</v>
      </c>
      <c r="C215" s="2589" t="str">
        <f>'Part III-A-Uses of Funds'!C102</f>
        <v>Standby &amp; Commitment Fees</v>
      </c>
      <c r="D215" s="2589"/>
      <c r="E215" s="2589"/>
      <c r="F215" s="2589"/>
      <c r="G215" s="2469">
        <f>'Part III-A-Uses of Funds'!G102</f>
        <v>421698</v>
      </c>
      <c r="H215" s="2469"/>
      <c r="I215" s="1819"/>
      <c r="J215" s="2469"/>
      <c r="K215" s="2469"/>
      <c r="L215" s="2467"/>
      <c r="M215" s="2469"/>
      <c r="N215" s="2469"/>
      <c r="O215" s="1819"/>
      <c r="P215" s="2469"/>
      <c r="Q215" s="2469"/>
      <c r="R215" s="1819"/>
      <c r="S215" s="2469">
        <f>'Part III-A-Uses of Funds'!S102</f>
        <v>421698</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1170121.1633122885</v>
      </c>
      <c r="H216" s="2469"/>
      <c r="I216" s="1819"/>
      <c r="J216" s="2469"/>
      <c r="K216" s="2469"/>
      <c r="L216" s="2467"/>
      <c r="M216" s="2469"/>
      <c r="N216" s="2469"/>
      <c r="O216" s="1819"/>
      <c r="P216" s="2469"/>
      <c r="Q216" s="2469"/>
      <c r="R216" s="1819"/>
      <c r="S216" s="2469">
        <f>SUM(S210:S215)</f>
        <v>1170121.1633122885</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6500</v>
      </c>
      <c r="H219" s="2469"/>
      <c r="I219" s="1819"/>
      <c r="J219" s="2467"/>
      <c r="K219" s="2467"/>
      <c r="L219" s="2482"/>
      <c r="M219" s="2467"/>
      <c r="N219" s="2467"/>
      <c r="O219" s="1819"/>
      <c r="P219" s="2467"/>
      <c r="Q219" s="2467"/>
      <c r="R219" s="1819"/>
      <c r="S219" s="2469">
        <f>'Part III-A-Uses of Funds'!S106</f>
        <v>6500</v>
      </c>
      <c r="T219" s="2469"/>
      <c r="U219" s="1819"/>
      <c r="V219" s="2587"/>
      <c r="W219" s="2567"/>
      <c r="X219" s="1819"/>
      <c r="Y219" s="2606" t="s">
        <v>3152</v>
      </c>
      <c r="Z219" s="2606"/>
      <c r="AA219" s="2606"/>
      <c r="AB219" s="2621">
        <f>'Part V-Revenues &amp; Expenses'!$P$67</f>
        <v>210</v>
      </c>
      <c r="AC219" s="1819"/>
      <c r="AD219" s="1819"/>
      <c r="AE219" s="1819"/>
      <c r="AF219" s="1819"/>
      <c r="AG219" s="1819"/>
    </row>
    <row r="220" spans="1:33">
      <c r="A220" s="1819"/>
      <c r="B220" s="1819" t="s">
        <v>3318</v>
      </c>
      <c r="C220" s="1819"/>
      <c r="D220" s="1819"/>
      <c r="E220" s="1819"/>
      <c r="F220" s="1819"/>
      <c r="G220" s="2469">
        <f>'Part III-A-Uses of Funds'!G107</f>
        <v>2000</v>
      </c>
      <c r="H220" s="2469"/>
      <c r="I220" s="1819"/>
      <c r="J220" s="2467"/>
      <c r="K220" s="2467"/>
      <c r="L220" s="2482"/>
      <c r="M220" s="2467"/>
      <c r="N220" s="2467"/>
      <c r="O220" s="1819"/>
      <c r="P220" s="2467"/>
      <c r="Q220" s="2467"/>
      <c r="R220" s="1819"/>
      <c r="S220" s="2469">
        <f>'Part III-A-Uses of Funds'!S107</f>
        <v>2000</v>
      </c>
      <c r="T220" s="2469"/>
      <c r="U220" s="1819"/>
      <c r="V220" s="2587"/>
      <c r="W220" s="2567"/>
      <c r="X220" s="2567"/>
      <c r="Y220" s="2622" t="s">
        <v>6708</v>
      </c>
      <c r="Z220" s="2544"/>
      <c r="AA220" s="2544"/>
      <c r="AB220" s="2544"/>
      <c r="AC220" s="1819"/>
      <c r="AD220" s="2623" t="s">
        <v>6709</v>
      </c>
      <c r="AE220" s="1819"/>
      <c r="AF220" s="1819"/>
      <c r="AG220" s="1819"/>
    </row>
    <row r="221" spans="1:33">
      <c r="A221" s="1819"/>
      <c r="B221" s="1819" t="s">
        <v>486</v>
      </c>
      <c r="C221" s="1819"/>
      <c r="D221" s="1819"/>
      <c r="E221" s="2483">
        <f>'Part III-A-Uses of Funds'!E108</f>
        <v>212222</v>
      </c>
      <c r="F221" s="2483"/>
      <c r="G221" s="2469">
        <f>'Part III-A-Uses of Funds'!G108</f>
        <v>212222</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212222</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210000</v>
      </c>
      <c r="F222" s="2483"/>
      <c r="G222" s="2469">
        <f>'Part III-A-Uses of Funds'!G109</f>
        <v>210000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210000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3449</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3000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210</v>
      </c>
      <c r="AC226" s="1819"/>
      <c r="AD226" s="2625">
        <f>IF($AD$101="Income Averaging",AB226*'DCA Underwriting Assumptions'!$Q$61,AB226*'DCA Underwriting Assumptions'!$Q$60)</f>
        <v>168000</v>
      </c>
      <c r="AE226" s="1819"/>
      <c r="AF226" s="1819"/>
      <c r="AG226" s="1819"/>
    </row>
    <row r="227" spans="1:33">
      <c r="A227" s="1819"/>
      <c r="B227" s="1819"/>
      <c r="C227" s="1819"/>
      <c r="D227" s="1819"/>
      <c r="E227" s="1819"/>
      <c r="F227" s="2591" t="s">
        <v>184</v>
      </c>
      <c r="G227" s="2469">
        <f>SUM(G218:G226)</f>
        <v>441722</v>
      </c>
      <c r="H227" s="2469"/>
      <c r="I227" s="1819"/>
      <c r="J227" s="2467"/>
      <c r="K227" s="2467"/>
      <c r="L227" s="2467"/>
      <c r="M227" s="2467"/>
      <c r="N227" s="2467"/>
      <c r="O227" s="1819"/>
      <c r="P227" s="2467"/>
      <c r="Q227" s="2467"/>
      <c r="R227" s="1819"/>
      <c r="S227" s="2469">
        <f>SUM(S218:S226)</f>
        <v>441722</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2121</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210</v>
      </c>
      <c r="AC228" s="1819"/>
      <c r="AD228" s="2628">
        <f>SUM(AD226:AD227)</f>
        <v>168000</v>
      </c>
      <c r="AE228" s="1819"/>
      <c r="AF228" s="1819"/>
      <c r="AG228" s="1819"/>
    </row>
    <row r="229" spans="1:33">
      <c r="A229" s="1819"/>
      <c r="B229" s="1819" t="s">
        <v>267</v>
      </c>
      <c r="C229" s="1819"/>
      <c r="D229" s="1819"/>
      <c r="E229" s="1819"/>
      <c r="F229" s="1819"/>
      <c r="G229" s="2469">
        <f>'Part III-A-Uses of Funds'!G116</f>
        <v>22000</v>
      </c>
      <c r="H229" s="2469"/>
      <c r="I229" s="1819"/>
      <c r="J229" s="2469"/>
      <c r="K229" s="2469"/>
      <c r="L229" s="2467"/>
      <c r="M229" s="2469"/>
      <c r="N229" s="2469"/>
      <c r="O229" s="1819"/>
      <c r="P229" s="2469"/>
      <c r="Q229" s="2469"/>
      <c r="R229" s="1819"/>
      <c r="S229" s="2469">
        <f>'Part III-A-Uses of Funds'!S116</f>
        <v>22000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2199</v>
      </c>
      <c r="C231" s="1819"/>
      <c r="D231" s="1819"/>
      <c r="E231" s="1819"/>
      <c r="F231" s="1819"/>
      <c r="G231" s="2469">
        <f>'Part III-A-Uses of Funds'!G118</f>
        <v>22000</v>
      </c>
      <c r="H231" s="2469"/>
      <c r="I231" s="1819"/>
      <c r="J231" s="2469"/>
      <c r="K231" s="2469"/>
      <c r="L231" s="2467"/>
      <c r="M231" s="2469"/>
      <c r="N231" s="2469"/>
      <c r="O231" s="1819"/>
      <c r="P231" s="2469"/>
      <c r="Q231" s="2469"/>
      <c r="R231" s="1819"/>
      <c r="S231" s="2469">
        <f>'Part III-A-Uses of Funds'!S118</f>
        <v>21500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44000</v>
      </c>
      <c r="H233" s="2469"/>
      <c r="I233" s="1819"/>
      <c r="J233" s="2469"/>
      <c r="K233" s="2469"/>
      <c r="L233" s="2467"/>
      <c r="M233" s="2469"/>
      <c r="N233" s="2469"/>
      <c r="O233" s="1819"/>
      <c r="P233" s="2469"/>
      <c r="Q233" s="2469"/>
      <c r="R233" s="1819"/>
      <c r="S233" s="2469">
        <f>SUM(S229:S232)</f>
        <v>43500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5">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5">
      <c r="A235" s="1819"/>
      <c r="B235" s="1819" t="s">
        <v>1723</v>
      </c>
      <c r="C235" s="1819"/>
      <c r="D235" s="1819"/>
      <c r="E235" s="1819"/>
      <c r="F235" s="2571">
        <f>'Part III-A-Uses of Funds'!F122</f>
        <v>0.5</v>
      </c>
      <c r="G235" s="2469">
        <f>'Part III-A-Uses of Funds'!G122</f>
        <v>1750000</v>
      </c>
      <c r="H235" s="2469"/>
      <c r="I235" s="1819"/>
      <c r="J235" s="2469">
        <f>'Part III-A-Uses of Funds'!J122</f>
        <v>1750000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3411</v>
      </c>
      <c r="C236" s="1819"/>
      <c r="D236" s="1819"/>
      <c r="E236" s="1819"/>
      <c r="F236" s="2486">
        <f>'Part III-A-Uses of Funds'!F123</f>
        <v>1400000</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1724</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5">
      <c r="A239" s="1819"/>
      <c r="B239" s="1819" t="s">
        <v>1716</v>
      </c>
      <c r="C239" s="1819"/>
      <c r="D239" s="1819"/>
      <c r="E239" s="1819"/>
      <c r="F239" s="2571">
        <f>'Part III-A-Uses of Funds'!F126</f>
        <v>0.5</v>
      </c>
      <c r="G239" s="2469">
        <f>'Part III-A-Uses of Funds'!G126</f>
        <v>1750000</v>
      </c>
      <c r="H239" s="2469"/>
      <c r="I239" s="1819"/>
      <c r="J239" s="2469">
        <f>'Part III-A-Uses of Funds'!J126</f>
        <v>1750000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3921</v>
      </c>
      <c r="E240" s="2638">
        <f>'Part III-A-Uses of Funds'!E127</f>
        <v>3500000</v>
      </c>
      <c r="F240" s="2591" t="s">
        <v>184</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50000</v>
      </c>
      <c r="H242" s="2469"/>
      <c r="I242" s="1819"/>
      <c r="J242" s="2482"/>
      <c r="K242" s="2482"/>
      <c r="L242" s="2482"/>
      <c r="M242" s="2482"/>
      <c r="N242" s="2482"/>
      <c r="O242" s="1819"/>
      <c r="P242" s="2482"/>
      <c r="Q242" s="2482"/>
      <c r="R242" s="1819"/>
      <c r="S242" s="2469">
        <f>'Part III-A-Uses of Funds'!S129</f>
        <v>50000</v>
      </c>
      <c r="T242" s="2469"/>
      <c r="U242" s="1819"/>
      <c r="V242" s="2587"/>
    </row>
    <row r="243" spans="1:22">
      <c r="A243" s="1819"/>
      <c r="B243" s="1819" t="s">
        <v>1436</v>
      </c>
      <c r="C243" s="1819"/>
      <c r="D243" s="1819"/>
      <c r="E243" s="1819"/>
      <c r="F243" s="2639">
        <f>'Part III-A-Uses of Funds'!F130</f>
        <v>241879.5</v>
      </c>
      <c r="G243" s="2469">
        <f>'Part III-A-Uses of Funds'!G130</f>
        <v>241879.5</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241879.5</v>
      </c>
      <c r="T243" s="2469"/>
      <c r="U243" s="1819"/>
      <c r="V243" s="2587"/>
    </row>
    <row r="244" spans="1:22">
      <c r="A244" s="1819"/>
      <c r="B244" s="1819" t="s">
        <v>632</v>
      </c>
      <c r="C244" s="1819"/>
      <c r="D244" s="1819"/>
      <c r="E244" s="1819"/>
      <c r="F244" s="2639">
        <f>'Part III-A-Uses of Funds'!F131</f>
        <v>1156044.9834217099</v>
      </c>
      <c r="G244" s="2469">
        <f>'Part III-A-Uses of Funds'!G131</f>
        <v>1156044.7637490751</v>
      </c>
      <c r="H244" s="2469"/>
      <c r="I244" s="1819"/>
      <c r="J244" s="2487" t="str">
        <f>IF(E244&gt;G244,"WARNING! ODR proposed is below minimum - add comment.","")</f>
        <v/>
      </c>
      <c r="K244" s="2482"/>
      <c r="L244" s="2482"/>
      <c r="M244" s="2482"/>
      <c r="N244" s="2482"/>
      <c r="O244" s="1819"/>
      <c r="P244" s="2482"/>
      <c r="Q244" s="2482"/>
      <c r="R244" s="1819"/>
      <c r="S244" s="2469">
        <f>'Part III-A-Uses of Funds'!S131</f>
        <v>1156044.7637490751</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833.33333333333337</v>
      </c>
      <c r="G246" s="2469">
        <f>'Part III-A-Uses of Funds'!G133</f>
        <v>175000</v>
      </c>
      <c r="H246" s="2469"/>
      <c r="I246" s="1819"/>
      <c r="J246" s="2469">
        <f>'Part III-A-Uses of Funds'!J133</f>
        <v>175000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1622924.2637490751</v>
      </c>
      <c r="H248" s="2469"/>
      <c r="I248" s="1819"/>
      <c r="J248" s="2469">
        <f>SUM(J246:J247)</f>
        <v>175000</v>
      </c>
      <c r="K248" s="2469"/>
      <c r="L248" s="2467"/>
      <c r="M248" s="2469">
        <f>SUM(M246:M247)</f>
        <v>0</v>
      </c>
      <c r="N248" s="2469"/>
      <c r="O248" s="1819"/>
      <c r="P248" s="2469">
        <f>SUM(P246:P247)</f>
        <v>0</v>
      </c>
      <c r="Q248" s="2469"/>
      <c r="R248" s="1819"/>
      <c r="S248" s="2469">
        <f>SUM(S242:S247)</f>
        <v>1447924.2637490751</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6959</v>
      </c>
      <c r="C259" s="1819"/>
      <c r="D259" s="1819"/>
      <c r="E259" s="2592"/>
      <c r="F259" s="2644"/>
      <c r="G259" s="2489">
        <f>G131+G137+G141+G149+G154+G159+G168+G186+G199+G205+G216+G227+G233+G240+G248+G257</f>
        <v>60559835.021915421</v>
      </c>
      <c r="H259" s="2489"/>
      <c r="I259" s="1819"/>
      <c r="J259" s="2489">
        <f>J131+J137+J141+J149+J154+J159+J168+J186+J199+J205+J216+J227+J233+J240+J248+J257</f>
        <v>51014820.820664302</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9544514.2012495324</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6960</v>
      </c>
      <c r="C261" s="2603"/>
      <c r="D261" s="2490">
        <f>IF('Part V-Revenues &amp; Expenses'!$P$67=0,0,G259/'Part V-Revenues &amp; Expenses'!$P$67)</f>
        <v>288380.1667710258</v>
      </c>
      <c r="E261" s="2490"/>
      <c r="F261" s="2617" t="s">
        <v>2487</v>
      </c>
      <c r="G261" s="2490">
        <f>IF('Part V-Revenues &amp; Expenses'!$K$175=0,0,G259/'Part V-Revenues &amp; Expenses'!$K$175)</f>
        <v>300.57492069642359</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1893</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1997</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1726</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1727</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1728</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51014820.820664302</v>
      </c>
      <c r="K275" s="2570"/>
      <c r="L275" s="1819"/>
      <c r="M275" s="2570">
        <f>M259</f>
        <v>0</v>
      </c>
      <c r="N275" s="2570"/>
      <c r="O275" s="1819"/>
      <c r="P275" s="2570">
        <f>P259</f>
        <v>0</v>
      </c>
      <c r="Q275" s="2570"/>
      <c r="R275" s="2649" t="s">
        <v>3773</v>
      </c>
      <c r="S275" s="2649"/>
      <c r="T275" s="2649"/>
      <c r="U275" s="1819"/>
      <c r="V275" s="2587"/>
    </row>
    <row r="276" spans="1:22">
      <c r="A276" s="1819"/>
      <c r="B276" s="1819" t="s">
        <v>2051</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2052</v>
      </c>
      <c r="C277" s="1819"/>
      <c r="D277" s="1819"/>
      <c r="E277" s="1819"/>
      <c r="F277" s="1819"/>
      <c r="G277" s="1819"/>
      <c r="H277" s="1819"/>
      <c r="I277" s="1819"/>
      <c r="J277" s="2570">
        <f>J275-J276</f>
        <v>51014820.820664302</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1902</v>
      </c>
      <c r="C279" s="1819"/>
      <c r="D279" s="1819"/>
      <c r="E279" s="1819"/>
      <c r="F279" s="1819"/>
      <c r="G279" s="1819"/>
      <c r="H279" s="1819"/>
      <c r="I279" s="1819"/>
      <c r="J279" s="2570">
        <f>J277*J278</f>
        <v>66319267.066863596</v>
      </c>
      <c r="K279" s="2570"/>
      <c r="L279" s="1819"/>
      <c r="M279" s="2570">
        <f>+M277</f>
        <v>0</v>
      </c>
      <c r="N279" s="2570"/>
      <c r="O279" s="1819"/>
      <c r="P279" s="2570">
        <f>P277*P278</f>
        <v>0</v>
      </c>
      <c r="Q279" s="2570"/>
      <c r="R279" s="2631"/>
      <c r="S279" s="2631"/>
      <c r="T279" s="2631"/>
      <c r="U279" s="2567"/>
      <c r="V279" s="2587"/>
    </row>
    <row r="280" spans="1:22">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1894</v>
      </c>
      <c r="C281" s="1819"/>
      <c r="D281" s="1819"/>
      <c r="E281" s="1819"/>
      <c r="F281" s="1819"/>
      <c r="G281" s="1819"/>
      <c r="H281" s="1819"/>
      <c r="I281" s="1819"/>
      <c r="J281" s="2570">
        <f>J279*J280</f>
        <v>66319267.066863596</v>
      </c>
      <c r="K281" s="2570"/>
      <c r="L281" s="1819"/>
      <c r="M281" s="2570">
        <f>M279*M280</f>
        <v>0</v>
      </c>
      <c r="N281" s="2570"/>
      <c r="O281" s="1819"/>
      <c r="P281" s="2570">
        <f>P279*P280</f>
        <v>0</v>
      </c>
      <c r="Q281" s="2570"/>
      <c r="R281" s="1819"/>
      <c r="S281" s="1819"/>
      <c r="T281" s="1819"/>
      <c r="U281" s="1819"/>
      <c r="V281" s="2587"/>
    </row>
    <row r="282" spans="1:22">
      <c r="A282" s="1819"/>
      <c r="B282" s="1819" t="s">
        <v>1895</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2339</v>
      </c>
      <c r="C283" s="1819"/>
      <c r="D283" s="1819"/>
      <c r="E283" s="1819"/>
      <c r="F283" s="1819"/>
      <c r="G283" s="1819"/>
      <c r="H283" s="1819"/>
      <c r="I283" s="1819"/>
      <c r="J283" s="2570">
        <f>J281*J282</f>
        <v>2652770.6826745439</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2652770</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60559835.021915421</v>
      </c>
      <c r="K289" s="2570"/>
      <c r="L289" s="2570"/>
      <c r="M289" s="1819"/>
      <c r="N289" s="2649" t="s">
        <v>6716</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19613852.999999993</v>
      </c>
      <c r="K290" s="2570"/>
      <c r="L290" s="2570"/>
      <c r="M290" s="2649"/>
      <c r="N290" s="2649"/>
      <c r="O290" s="2649"/>
      <c r="P290" s="2649"/>
      <c r="Q290" s="2649"/>
      <c r="R290" s="1819"/>
      <c r="S290" s="2631"/>
      <c r="T290" s="2631"/>
      <c r="U290" s="1819"/>
      <c r="V290" s="2587"/>
    </row>
    <row r="291" spans="1:22">
      <c r="A291" s="1819"/>
      <c r="B291" s="1819" t="s">
        <v>2063</v>
      </c>
      <c r="C291" s="1819"/>
      <c r="D291" s="1819"/>
      <c r="E291" s="1819"/>
      <c r="F291" s="1819"/>
      <c r="G291" s="1819"/>
      <c r="H291" s="1819"/>
      <c r="I291" s="1819"/>
      <c r="J291" s="2570">
        <f>+J289-J290</f>
        <v>40945982.021915428</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4094598.2021915428</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6962</v>
      </c>
      <c r="C295" s="1819"/>
      <c r="D295" s="1819"/>
      <c r="E295" s="1819"/>
      <c r="F295" s="1819"/>
      <c r="G295" s="1819"/>
      <c r="H295" s="1819"/>
      <c r="I295" s="1819"/>
      <c r="J295" s="2655">
        <f>N295+Q295</f>
        <v>1.49</v>
      </c>
      <c r="K295" s="2655"/>
      <c r="L295" s="2655"/>
      <c r="M295" s="1622" t="s">
        <v>1212</v>
      </c>
      <c r="N295" s="2656">
        <f>'Part III-A-Uses of Funds'!N182</f>
        <v>0.91</v>
      </c>
      <c r="O295" s="2656"/>
      <c r="P295" s="1622" t="s">
        <v>570</v>
      </c>
      <c r="Q295" s="2656">
        <f>'Part III-A-Uses of Funds'!Q182</f>
        <v>0.57999999999999996</v>
      </c>
      <c r="R295" s="2656"/>
      <c r="S295" s="1819"/>
      <c r="T295" s="1819"/>
      <c r="U295" s="1819"/>
      <c r="V295" s="2587"/>
    </row>
    <row r="296" spans="1:22">
      <c r="A296" s="1819"/>
      <c r="B296" s="2536" t="s">
        <v>1340</v>
      </c>
      <c r="C296" s="1819"/>
      <c r="D296" s="1819"/>
      <c r="E296" s="1819"/>
      <c r="F296" s="1819"/>
      <c r="G296" s="1819"/>
      <c r="H296" s="1819"/>
      <c r="I296" s="1819"/>
      <c r="J296" s="2569">
        <f>ROUNDDOWN(IF(J295=0,"",J293/J295),0)</f>
        <v>2748052</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6963</v>
      </c>
      <c r="C300" s="1819"/>
      <c r="D300" s="1819"/>
      <c r="E300" s="1819"/>
      <c r="F300" s="1819"/>
      <c r="G300" s="1819"/>
      <c r="H300" s="1819"/>
      <c r="I300" s="1819"/>
      <c r="J300" s="2569">
        <f>'Part III-A-Uses of Funds'!J187</f>
        <v>2652770</v>
      </c>
      <c r="K300" s="2569"/>
      <c r="L300" s="2569"/>
      <c r="M300" s="1819"/>
      <c r="N300" s="1819"/>
      <c r="O300" s="1819"/>
      <c r="P300" s="1819"/>
      <c r="Q300" s="2544" t="s">
        <v>6247</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6964</v>
      </c>
      <c r="C302" s="1819"/>
      <c r="D302" s="1819"/>
      <c r="E302" s="1819"/>
      <c r="F302" s="1819"/>
      <c r="G302" s="1819"/>
      <c r="H302" s="1819"/>
      <c r="I302" s="1819"/>
      <c r="J302" s="2569">
        <f>'Part III-A-Uses of Funds'!J189</f>
        <v>2652770</v>
      </c>
      <c r="K302" s="2569"/>
      <c r="L302" s="2569"/>
      <c r="M302" s="2659" t="str">
        <f>IF(J300=0,"",IF(J302&gt;J300,"Request can't exceed Maximum - REVISE (Try Round Down)!",""))</f>
        <v/>
      </c>
      <c r="N302" s="2659"/>
      <c r="O302" s="2659"/>
      <c r="P302" s="2659"/>
      <c r="Q302" s="2629" t="s">
        <v>6543</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6965</v>
      </c>
      <c r="C304" s="1819"/>
      <c r="D304" s="378"/>
      <c r="E304" s="378"/>
      <c r="F304" s="2545"/>
      <c r="G304" s="1819"/>
      <c r="H304" s="1819"/>
      <c r="I304" s="1819"/>
      <c r="J304" s="2569">
        <f>IF(J302="",0,+MIN(J300,J302))</f>
        <v>2652770</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Dekalb County. These have been calculated considering two 4% bond transactions Prestwick has recently completed in unincorporated Dekalb.
Sewer Fees have not been waived, but are included in the Impact Fees.
Construction Interest is calculated based on having to stabilize and hold the property for three months before conversion. A draw schedule demonstrating the construction interest calculation and construction period is included in Folder 02 Feasibility. 
There is a 1,000 SF retail component at the development. The costs for the construction of the space has been excluded from basis. Operating revenues and costs are not included in the proforma.</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Westbury  -  Decatur  -  DeKalb,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Noise Study</v>
      </c>
      <c r="B322" s="2493"/>
      <c r="C322" s="2493"/>
      <c r="D322" s="2493"/>
      <c r="E322" s="2667"/>
      <c r="F322" s="2494" t="str">
        <f>'Part III-B-Other Items'!F9</f>
        <v>Required document due to Threshold and lender requirements.</v>
      </c>
      <c r="G322" s="2669"/>
      <c r="H322" s="2494" t="str">
        <f>'Part III-B-Other Items'!H9</f>
        <v>100% of the work is related to construction work.</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6000</v>
      </c>
      <c r="C325" s="2670" t="s">
        <v>1665</v>
      </c>
      <c r="D325" s="2495">
        <f>'Part III-A-Uses of Funds'!$J$15+'Part III-A-Uses of Funds'!$M$15+'Part III-A-Uses of Funds'!$P$15</f>
        <v>6000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Site Lighting</v>
      </c>
      <c r="B338" s="2493"/>
      <c r="C338" s="2493"/>
      <c r="D338" s="2493"/>
      <c r="E338" s="2669"/>
      <c r="F338" s="2494" t="str">
        <f>'Part III-B-Other Items'!F25</f>
        <v>This is a construction item that falls outside of the construction contract.</v>
      </c>
      <c r="G338" s="2669"/>
      <c r="H338" s="2494" t="str">
        <f>'Part III-B-Other Items'!H25</f>
        <v>100% of the work is related to construction work.</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50000</v>
      </c>
      <c r="C341" s="2670" t="s">
        <v>1665</v>
      </c>
      <c r="D341" s="2495">
        <f>'Part III-A-Uses of Funds'!$J$46+'Part III-A-Uses of Funds'!$M$46+'Part III-A-Uses of Funds'!$P$46</f>
        <v>50000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Construction Lender Due Diligence</v>
      </c>
      <c r="B344" s="2493"/>
      <c r="C344" s="2493"/>
      <c r="D344" s="2493"/>
      <c r="E344" s="2669"/>
      <c r="F344" s="2494" t="str">
        <f>'Part III-B-Other Items'!F31</f>
        <v>Construction Lender Due Diligence is a requirement of our lender.</v>
      </c>
      <c r="G344" s="2669"/>
      <c r="H344" s="2494" t="str">
        <f>'Part III-B-Other Items'!H31</f>
        <v>100% of the work is related to construction work.</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25000</v>
      </c>
      <c r="C347" s="2670" t="s">
        <v>1665</v>
      </c>
      <c r="D347" s="2495">
        <f>'Part III-A-Uses of Funds'!$J$71+'Part III-A-Uses of Funds'!$M$71+'Part III-A-Uses of Funds'!$P$71</f>
        <v>25000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Radon Testing</v>
      </c>
      <c r="B355" s="2493"/>
      <c r="C355" s="2493"/>
      <c r="D355" s="2493"/>
      <c r="E355" s="2667"/>
      <c r="F355" s="2494" t="str">
        <f>'Part III-B-Other Items'!F42</f>
        <v>Radon Testing is a requirement of our investors.</v>
      </c>
      <c r="G355" s="2669"/>
      <c r="H355" s="2494" t="str">
        <f>'Part III-B-Other Items'!H42</f>
        <v>100% of the work is related to construction.</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6500</v>
      </c>
      <c r="C358" s="2670" t="s">
        <v>1665</v>
      </c>
      <c r="D358" s="2495">
        <f>'Part III-A-Uses of Funds'!$J$85+'Part III-A-Uses of Funds'!$M$85+'Part III-A-Uses of Funds'!$P$85</f>
        <v>6500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Standby &amp; Commitment Fees</v>
      </c>
      <c r="B361" s="2493"/>
      <c r="C361" s="2493"/>
      <c r="D361" s="2493"/>
      <c r="E361" s="2667"/>
      <c r="F361" s="2494" t="str">
        <f>'Part III-B-Other Items'!F48</f>
        <v>This is a requirement of our permanent lenders, and is outside of basis.</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421698</v>
      </c>
      <c r="C364" s="2673"/>
      <c r="D364" s="2673"/>
      <c r="E364" s="2669"/>
      <c r="F364" s="2494"/>
      <c r="G364" s="2669"/>
      <c r="H364" s="2667"/>
    </row>
    <row r="365" spans="1:8" ht="13.5">
      <c r="A365" s="2669"/>
      <c r="B365" s="2669"/>
      <c r="C365" s="2669"/>
      <c r="D365" s="2669"/>
      <c r="E365" s="2669"/>
      <c r="F365" s="2494"/>
      <c r="G365" s="2672"/>
      <c r="H365" s="2667"/>
    </row>
    <row r="366" spans="1:8" ht="13.5">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Westbury,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Local PHA</v>
      </c>
    </row>
    <row r="403" spans="1:13">
      <c r="A403" s="2676" t="s">
        <v>6970</v>
      </c>
    </row>
    <row r="405" spans="1:13" ht="25.5">
      <c r="A405" s="361" t="s">
        <v>573</v>
      </c>
      <c r="B405" s="361" t="s">
        <v>2058</v>
      </c>
      <c r="F405" s="359" t="s">
        <v>2316</v>
      </c>
      <c r="G405" s="359"/>
      <c r="H405" s="359"/>
      <c r="I405" s="2543" t="str">
        <f>'Part IV-Utility Allowances'!I7</f>
        <v>HUD Utility Model</v>
      </c>
      <c r="J405" s="2543"/>
      <c r="K405" s="2543"/>
      <c r="L405" s="2543"/>
      <c r="M405" s="2543"/>
    </row>
    <row r="406" spans="1:13">
      <c r="A406" s="361"/>
      <c r="F406" s="359" t="s">
        <v>593</v>
      </c>
      <c r="G406" s="359"/>
      <c r="H406" s="359"/>
      <c r="I406" s="2677">
        <f>'Part IV-Utility Allowances'!I8</f>
        <v>45196</v>
      </c>
      <c r="J406" s="2677"/>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12</v>
      </c>
      <c r="K410" s="1894">
        <f>'Part IV-Utility Allowances'!K12</f>
        <v>14</v>
      </c>
      <c r="L410" s="1894">
        <f>'Part IV-Utility Allowances'!L12</f>
        <v>16</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6</v>
      </c>
      <c r="K411" s="1894">
        <f>'Part IV-Utility Allowances'!K13</f>
        <v>8</v>
      </c>
      <c r="L411" s="1894">
        <f>'Part IV-Utility Allowances'!L13</f>
        <v>11</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13</v>
      </c>
      <c r="K412" s="1894">
        <f>'Part IV-Utility Allowances'!K14</f>
        <v>17</v>
      </c>
      <c r="L412" s="1894">
        <f>'Part IV-Utility Allowances'!L14</f>
        <v>21</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10</v>
      </c>
      <c r="K413" s="1894">
        <f>'Part IV-Utility Allowances'!K15</f>
        <v>14</v>
      </c>
      <c r="L413" s="1894">
        <f>'Part IV-Utility Allowances'!L15</f>
        <v>21</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35</v>
      </c>
      <c r="K416" s="1894">
        <f>'Part IV-Utility Allowances'!K18</f>
        <v>44</v>
      </c>
      <c r="L416" s="1894">
        <f>'Part IV-Utility Allowances'!L18</f>
        <v>52</v>
      </c>
      <c r="M416" s="1894">
        <f>'Part IV-Utility Allowances'!M18</f>
        <v>0</v>
      </c>
    </row>
    <row r="417" spans="1:13">
      <c r="B417" s="359" t="s">
        <v>1292</v>
      </c>
      <c r="C417" s="359"/>
      <c r="D417" s="359" t="s">
        <v>6746</v>
      </c>
      <c r="E417" s="1894" t="str">
        <f>'Part IV-Utility Allowances'!E19</f>
        <v>Yes</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1714</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76</v>
      </c>
      <c r="K420" s="2678">
        <f>IF(SUM(K410:K419)=0,0,IF(OR($D410="&lt;&lt;Select Fuel &gt;&gt;",$D411="&lt;&lt;Select Fuel &gt;&gt;",$D412="&lt;&lt;Select Fuel &gt;&gt;"),"Select Fuel",IF($E417="&lt;Select&gt;","Submeter?",SUM(K410:K419))))</f>
        <v>97</v>
      </c>
      <c r="L420" s="2678">
        <f>IF(SUM(L410:L419)=0,0,IF(OR($D410="&lt;&lt;Select Fuel &gt;&gt;",$D411="&lt;&lt;Select Fuel &gt;&gt;",$D412="&lt;&lt;Select Fuel &gt;&gt;"),"Select Fuel",IF($E417="&lt;Select&gt;","Submeter?",SUM(L410:L419))))</f>
        <v>121</v>
      </c>
      <c r="M420" s="2678">
        <f>IF(SUM(M410:M419)=0,0,IF(OR($D410="&lt;&lt;Select Fuel &gt;&gt;",$D411="&lt;&lt;Select Fuel &gt;&gt;",$D412="&lt;&lt;Select Fuel &gt;&gt;"),"Select Fuel",IF($E417="&lt;Select&gt;","Submeter?",SUM(M410:M419))))</f>
        <v>0</v>
      </c>
    </row>
    <row r="422" spans="1:13" ht="38.25">
      <c r="A422" s="361" t="s">
        <v>689</v>
      </c>
      <c r="B422" s="361" t="s">
        <v>2059</v>
      </c>
      <c r="F422" s="359" t="s">
        <v>2316</v>
      </c>
      <c r="G422" s="359"/>
      <c r="H422" s="359"/>
      <c r="I422" s="2543" t="str">
        <f>'Part IV-Utility Allowances'!I24</f>
        <v>Housing Authority of Dekalb County</v>
      </c>
      <c r="J422" s="2543"/>
      <c r="K422" s="2543"/>
      <c r="L422" s="2543"/>
      <c r="M422" s="2543"/>
    </row>
    <row r="423" spans="1:13">
      <c r="A423" s="361"/>
      <c r="B423" s="361"/>
      <c r="F423" s="359" t="s">
        <v>593</v>
      </c>
      <c r="G423" s="359"/>
      <c r="H423" s="359"/>
      <c r="I423" s="2677">
        <f>'Part IV-Utility Allowances'!I25</f>
        <v>44774</v>
      </c>
      <c r="J423" s="2677"/>
      <c r="K423" s="1894" t="s">
        <v>505</v>
      </c>
      <c r="L423" s="359" t="str">
        <f>'Part IV-Utility Allowances'!L25</f>
        <v>High-Rise Elevator</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678" t="str">
        <f>'Part IV-Utility Allowances'!F29</f>
        <v>X</v>
      </c>
      <c r="G427" s="2678">
        <f>'Part IV-Utility Allowances'!G29</f>
        <v>0</v>
      </c>
      <c r="I427" s="1894">
        <f>'Part IV-Utility Allowances'!I29</f>
        <v>0</v>
      </c>
      <c r="J427" s="1894">
        <f>'Part IV-Utility Allowances'!J29</f>
        <v>11</v>
      </c>
      <c r="K427" s="1894">
        <f>'Part IV-Utility Allowances'!K29</f>
        <v>14</v>
      </c>
      <c r="L427" s="1894">
        <f>'Part IV-Utility Allowances'!L29</f>
        <v>17</v>
      </c>
      <c r="M427" s="1894">
        <f>'Part IV-Utility Allowances'!M29</f>
        <v>0</v>
      </c>
    </row>
    <row r="428" spans="1:13">
      <c r="B428" s="359" t="s">
        <v>1492</v>
      </c>
      <c r="C428" s="359"/>
      <c r="D428" s="359" t="str">
        <f>'Part IV-Utility Allowances'!D30</f>
        <v>Electric</v>
      </c>
      <c r="E428" s="359"/>
      <c r="F428" s="2678" t="str">
        <f>'Part IV-Utility Allowances'!F30</f>
        <v>X</v>
      </c>
      <c r="G428" s="2678">
        <f>'Part IV-Utility Allowances'!G30</f>
        <v>0</v>
      </c>
      <c r="I428" s="1894">
        <f>'Part IV-Utility Allowances'!I30</f>
        <v>0</v>
      </c>
      <c r="J428" s="1894">
        <f>'Part IV-Utility Allowances'!J30</f>
        <v>4</v>
      </c>
      <c r="K428" s="1894">
        <f>'Part IV-Utility Allowances'!K30</f>
        <v>6</v>
      </c>
      <c r="L428" s="1894">
        <f>'Part IV-Utility Allowances'!L30</f>
        <v>8</v>
      </c>
      <c r="M428" s="1894">
        <f>'Part IV-Utility Allowances'!M30</f>
        <v>0</v>
      </c>
    </row>
    <row r="429" spans="1:13">
      <c r="B429" s="359" t="s">
        <v>1493</v>
      </c>
      <c r="C429" s="359"/>
      <c r="D429" s="359" t="str">
        <f>'Part IV-Utility Allowances'!D31</f>
        <v>Electric</v>
      </c>
      <c r="E429" s="359"/>
      <c r="F429" s="2678" t="str">
        <f>'Part IV-Utility Allowances'!F31</f>
        <v>X</v>
      </c>
      <c r="G429" s="2678">
        <f>'Part IV-Utility Allowances'!G31</f>
        <v>0</v>
      </c>
      <c r="I429" s="1894">
        <f>'Part IV-Utility Allowances'!I31</f>
        <v>0</v>
      </c>
      <c r="J429" s="1894">
        <f>'Part IV-Utility Allowances'!J31</f>
        <v>10</v>
      </c>
      <c r="K429" s="1894">
        <f>'Part IV-Utility Allowances'!K31</f>
        <v>13</v>
      </c>
      <c r="L429" s="1894">
        <f>'Part IV-Utility Allowances'!L31</f>
        <v>15</v>
      </c>
      <c r="M429" s="1894">
        <f>'Part IV-Utility Allowances'!M31</f>
        <v>0</v>
      </c>
    </row>
    <row r="430" spans="1:13">
      <c r="B430" s="359" t="s">
        <v>440</v>
      </c>
      <c r="C430" s="359"/>
      <c r="D430" s="359" t="s">
        <v>1491</v>
      </c>
      <c r="F430" s="2678" t="str">
        <f>'Part IV-Utility Allowances'!F32</f>
        <v>X</v>
      </c>
      <c r="G430" s="2678">
        <f>'Part IV-Utility Allowances'!G32</f>
        <v>0</v>
      </c>
      <c r="I430" s="1894">
        <f>'Part IV-Utility Allowances'!I32</f>
        <v>0</v>
      </c>
      <c r="J430" s="1894">
        <f>'Part IV-Utility Allowances'!J32</f>
        <v>7</v>
      </c>
      <c r="K430" s="1894">
        <f>'Part IV-Utility Allowances'!K32</f>
        <v>10</v>
      </c>
      <c r="L430" s="1894">
        <f>'Part IV-Utility Allowances'!L32</f>
        <v>13</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t="str">
        <f>'Part IV-Utility Allowances'!F35</f>
        <v>X</v>
      </c>
      <c r="G433" s="2678">
        <f>'Part IV-Utility Allowances'!G35</f>
        <v>0</v>
      </c>
      <c r="I433" s="1894">
        <f>'Part IV-Utility Allowances'!I35</f>
        <v>0</v>
      </c>
      <c r="J433" s="1894">
        <f>'Part IV-Utility Allowances'!J35</f>
        <v>36</v>
      </c>
      <c r="K433" s="1894">
        <f>'Part IV-Utility Allowances'!K35</f>
        <v>42</v>
      </c>
      <c r="L433" s="1894">
        <f>'Part IV-Utility Allowances'!L35</f>
        <v>48</v>
      </c>
      <c r="M433" s="1894">
        <f>'Part IV-Utility Allowances'!M35</f>
        <v>0</v>
      </c>
    </row>
    <row r="434" spans="1:13">
      <c r="B434" s="359" t="s">
        <v>1292</v>
      </c>
      <c r="C434" s="359"/>
      <c r="D434" s="359" t="s">
        <v>6746</v>
      </c>
      <c r="E434" s="1894" t="str">
        <f>'Part IV-Utility Allowances'!E36</f>
        <v>Yes</v>
      </c>
      <c r="F434" s="2678">
        <f>'Part IV-Utility Allowances'!F36</f>
        <v>0</v>
      </c>
      <c r="G434" s="2678" t="str">
        <f>'Part IV-Utility Allowances'!G36</f>
        <v>X</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1714</v>
      </c>
      <c r="C435" s="359"/>
      <c r="F435" s="2678">
        <f>'Part IV-Utility Allowances'!F37</f>
        <v>0</v>
      </c>
      <c r="G435" s="2678"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68</v>
      </c>
      <c r="K437" s="2678">
        <f>IF(SUM(K427:K436)=0,0,IF(OR($D427="&lt;&lt;Select Fuel &gt;&gt;",$D429="&lt;&lt;Select Fuel &gt;&gt;",$D430="&lt;&lt;Select Fuel &gt;&gt;"),"Select Fuel",IF($E434="&lt;Select&gt;","Submeter?",SUM(K427:K436))))</f>
        <v>85</v>
      </c>
      <c r="L437" s="2678">
        <f>IF(SUM(L427:L436)=0,0,IF(OR($D427="&lt;&lt;Select Fuel &gt;&gt;",$D429="&lt;&lt;Select Fuel &gt;&gt;",$D430="&lt;&lt;Select Fuel &gt;&gt;"),"Select Fuel",IF($E434="&lt;Select&gt;","Submeter?",SUM(L427:L436))))</f>
        <v>101</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5">
      <c r="B441" s="2679" t="str">
        <f>'Part IV-Utility Allowances'!B43</f>
        <v>The HUD Utility Schedule Model is an allowed utility allowance for a Tax Credit Building with no HOME per Threshold Section 2 Feasibility, Subsection 7 Operating Utility Allowance. All documentation used in the calculation has been submitted in Folder 02 Feasibility.
All but twenty (20) PBRA units will use the HUD Utility Allowance. The Housing Authority of Dekalb County Utility Allowance will be used on these 20 units. The one provided is the one effective as of 1/1/2023. The PBRA letter also confirms the utility allowance.</v>
      </c>
      <c r="C441" s="2679"/>
      <c r="D441" s="2679"/>
      <c r="E441" s="2679"/>
      <c r="F441" s="2679"/>
      <c r="G441" s="2679"/>
      <c r="H441" s="2679"/>
      <c r="I441" s="2679"/>
      <c r="J441" s="2679"/>
      <c r="K441" s="2679"/>
      <c r="L441" s="2679"/>
      <c r="M441" s="2679"/>
    </row>
    <row r="443" spans="1:13">
      <c r="A443" s="361"/>
      <c r="B443" s="361" t="s">
        <v>1710</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Westbury,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Westbury,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552" t="s">
        <v>6093</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2130</v>
      </c>
      <c r="AO452" s="2682" t="s">
        <v>2131</v>
      </c>
      <c r="AP452" s="2682" t="s">
        <v>2132</v>
      </c>
      <c r="AQ452" s="2682" t="s">
        <v>2133</v>
      </c>
      <c r="AR452" s="2682" t="s">
        <v>3692</v>
      </c>
      <c r="AS452" s="2682" t="s">
        <v>3693</v>
      </c>
      <c r="AT452" s="2682" t="s">
        <v>3694</v>
      </c>
      <c r="AU452" s="2682" t="s">
        <v>3695</v>
      </c>
      <c r="AV452" s="2682" t="s">
        <v>3691</v>
      </c>
      <c r="AW452" s="2682" t="s">
        <v>863</v>
      </c>
      <c r="AX452" s="2682" t="s">
        <v>2134</v>
      </c>
      <c r="AY452" s="2682" t="s">
        <v>2135</v>
      </c>
      <c r="AZ452" s="2682" t="s">
        <v>2136</v>
      </c>
      <c r="BA452" s="2682" t="s">
        <v>2137</v>
      </c>
      <c r="BB452" s="2682" t="s">
        <v>3696</v>
      </c>
      <c r="BC452" s="2682" t="s">
        <v>3697</v>
      </c>
      <c r="BD452" s="2682" t="s">
        <v>3698</v>
      </c>
      <c r="BE452" s="2682" t="s">
        <v>3699</v>
      </c>
      <c r="BF452" s="2682" t="s">
        <v>3700</v>
      </c>
      <c r="BG452" s="2682" t="s">
        <v>123</v>
      </c>
      <c r="BH452" s="2682" t="s">
        <v>2138</v>
      </c>
      <c r="BI452" s="2682" t="s">
        <v>2139</v>
      </c>
      <c r="BJ452" s="2682" t="s">
        <v>2140</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2041</v>
      </c>
      <c r="HQ452" s="2682" t="s">
        <v>2042</v>
      </c>
      <c r="HR452" s="2682" t="s">
        <v>2043</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3136</v>
      </c>
      <c r="L453" s="2688" t="str">
        <f>'Part I-Project Identification'!$A$6</f>
        <v>Sept 2023</v>
      </c>
      <c r="M453" s="2688"/>
      <c r="N453" s="2688"/>
      <c r="O453" s="2689" t="s">
        <v>6973</v>
      </c>
      <c r="P453" s="2690" t="str">
        <f>'Part V-Revenues &amp; Expenses'!P6</f>
        <v>Atlanta-Sandy Springs-Marietta</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No</v>
      </c>
      <c r="I454" s="2693" t="s">
        <v>4070</v>
      </c>
      <c r="J454" s="2687" t="s">
        <v>742</v>
      </c>
      <c r="K454" s="2687" t="s">
        <v>3183</v>
      </c>
      <c r="L454" s="2688"/>
      <c r="M454" s="2688"/>
      <c r="N454" s="2688"/>
      <c r="O454" s="2694" t="s">
        <v>6075</v>
      </c>
      <c r="P454" s="2695">
        <f>'Part V-Revenues &amp; Expenses'!P7</f>
        <v>44669</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3184</v>
      </c>
      <c r="L455" s="2543"/>
      <c r="M455" s="2543"/>
      <c r="N455" s="2697" t="s">
        <v>6479</v>
      </c>
      <c r="O455" s="2544" t="str">
        <f>'Part V-Revenues &amp; Expenses'!O8</f>
        <v>HUD</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2183</v>
      </c>
      <c r="O456" s="2687" t="s">
        <v>6482</v>
      </c>
      <c r="P456" s="2683" t="s">
        <v>6975</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3000</v>
      </c>
      <c r="IK456" s="2682" t="s">
        <v>3000</v>
      </c>
      <c r="IL456" s="2682" t="s">
        <v>3000</v>
      </c>
      <c r="IM456" s="2682" t="s">
        <v>3000</v>
      </c>
      <c r="IN456" s="2682" t="s">
        <v>3000</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2456</v>
      </c>
      <c r="T457" s="361" t="s">
        <v>1710</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50</v>
      </c>
      <c r="C465" s="2498">
        <f>'Part V-Revenues &amp; Expenses'!C18</f>
        <v>1</v>
      </c>
      <c r="D465" s="2499">
        <f>'Part V-Revenues &amp; Expenses'!D18</f>
        <v>1</v>
      </c>
      <c r="E465" s="2500">
        <f>'Part V-Revenues &amp; Expenses'!E18</f>
        <v>16</v>
      </c>
      <c r="F465" s="2500">
        <f>'Part V-Revenues &amp; Expenses'!F18</f>
        <v>653</v>
      </c>
      <c r="G465" s="2500">
        <f>'Part V-Revenues &amp; Expenses'!G18</f>
        <v>957</v>
      </c>
      <c r="H465" s="2500">
        <f>'Part V-Revenues &amp; Expenses'!H18</f>
        <v>1513</v>
      </c>
      <c r="I465" s="2500">
        <f>'Part V-Revenues &amp; Expenses'!I18</f>
        <v>0</v>
      </c>
      <c r="J465" s="2500">
        <f>'Part V-Revenues &amp; Expenses'!J18</f>
        <v>68</v>
      </c>
      <c r="K465" s="2501" t="str">
        <f>'Part V-Revenues &amp; Expenses'!K18</f>
        <v>PHA PBRA</v>
      </c>
      <c r="L465" s="2502">
        <f t="shared" si="1"/>
        <v>1445</v>
      </c>
      <c r="M465" s="2502">
        <f t="shared" si="2"/>
        <v>23120</v>
      </c>
      <c r="N465" s="2573" t="str">
        <f>'Part V-Revenues &amp; Expenses'!N18</f>
        <v>No</v>
      </c>
      <c r="O465" s="1320" t="str">
        <f>'Part V-Revenues &amp; Expenses'!O18</f>
        <v>High-Rise Elevator</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f t="shared" si="59"/>
        <v>16</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10448</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10448</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16</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16</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50</v>
      </c>
      <c r="C466" s="2498">
        <f>'Part V-Revenues &amp; Expenses'!C19</f>
        <v>2</v>
      </c>
      <c r="D466" s="2499">
        <f>'Part V-Revenues &amp; Expenses'!D19</f>
        <v>2</v>
      </c>
      <c r="E466" s="2500">
        <f>'Part V-Revenues &amp; Expenses'!E19</f>
        <v>4</v>
      </c>
      <c r="F466" s="2500">
        <f>'Part V-Revenues &amp; Expenses'!F19</f>
        <v>963</v>
      </c>
      <c r="G466" s="2500">
        <f>'Part V-Revenues &amp; Expenses'!G19</f>
        <v>1148</v>
      </c>
      <c r="H466" s="2500">
        <f>'Part V-Revenues &amp; Expenses'!H19</f>
        <v>1708</v>
      </c>
      <c r="I466" s="2500">
        <f>'Part V-Revenues &amp; Expenses'!I19</f>
        <v>0</v>
      </c>
      <c r="J466" s="2500">
        <f>'Part V-Revenues &amp; Expenses'!J19</f>
        <v>85</v>
      </c>
      <c r="K466" s="2501" t="str">
        <f>'Part V-Revenues &amp; Expenses'!K19</f>
        <v>PHA PBRA</v>
      </c>
      <c r="L466" s="2502">
        <f t="shared" si="1"/>
        <v>1623</v>
      </c>
      <c r="M466" s="2502">
        <f t="shared" si="2"/>
        <v>6492</v>
      </c>
      <c r="N466" s="2573" t="str">
        <f>'Part V-Revenues &amp; Expenses'!N19</f>
        <v>No</v>
      </c>
      <c r="O466" s="1320" t="str">
        <f>'Part V-Revenues &amp; Expenses'!O19</f>
        <v>High-Rise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4</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f t="shared" si="60"/>
        <v>4</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3852</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3852</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4</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4</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f t="shared" si="285"/>
        <v>4</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4</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50</v>
      </c>
      <c r="C467" s="2498">
        <f>'Part V-Revenues &amp; Expenses'!C20</f>
        <v>2</v>
      </c>
      <c r="D467" s="2499">
        <f>'Part V-Revenues &amp; Expenses'!D20</f>
        <v>2</v>
      </c>
      <c r="E467" s="2500">
        <f>'Part V-Revenues &amp; Expenses'!E20</f>
        <v>23</v>
      </c>
      <c r="F467" s="2500">
        <f>'Part V-Revenues &amp; Expenses'!F20</f>
        <v>963</v>
      </c>
      <c r="G467" s="2500">
        <f>'Part V-Revenues &amp; Expenses'!G20</f>
        <v>1148</v>
      </c>
      <c r="H467" s="2500">
        <f>'Part V-Revenues &amp; Expenses'!H20</f>
        <v>1126</v>
      </c>
      <c r="I467" s="2500">
        <f>'Part V-Revenues &amp; Expenses'!I20</f>
        <v>0</v>
      </c>
      <c r="J467" s="2500">
        <f>'Part V-Revenues &amp; Expenses'!J20</f>
        <v>97</v>
      </c>
      <c r="K467" s="2501">
        <f>'Part V-Revenues &amp; Expenses'!K20</f>
        <v>0</v>
      </c>
      <c r="L467" s="2502">
        <f t="shared" si="1"/>
        <v>1029</v>
      </c>
      <c r="M467" s="2502">
        <f t="shared" si="2"/>
        <v>23667</v>
      </c>
      <c r="N467" s="2573" t="str">
        <f>'Part V-Revenues &amp; Expenses'!N20</f>
        <v>No</v>
      </c>
      <c r="O467" s="1320" t="str">
        <f>'Part V-Revenues &amp; Expenses'!O20</f>
        <v>High-Rise Elevator</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23</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22149</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23</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23</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f t="shared" si="285"/>
        <v>23</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23</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50</v>
      </c>
      <c r="C468" s="2498">
        <f>'Part V-Revenues &amp; Expenses'!C21</f>
        <v>3</v>
      </c>
      <c r="D468" s="2499">
        <f>'Part V-Revenues &amp; Expenses'!D21</f>
        <v>2</v>
      </c>
      <c r="E468" s="2500">
        <f>'Part V-Revenues &amp; Expenses'!E21</f>
        <v>14</v>
      </c>
      <c r="F468" s="2500">
        <f>'Part V-Revenues &amp; Expenses'!F21</f>
        <v>1150</v>
      </c>
      <c r="G468" s="2500">
        <f>'Part V-Revenues &amp; Expenses'!G21</f>
        <v>1327</v>
      </c>
      <c r="H468" s="2500">
        <f>'Part V-Revenues &amp; Expenses'!H21</f>
        <v>1307</v>
      </c>
      <c r="I468" s="2500">
        <f>'Part V-Revenues &amp; Expenses'!I21</f>
        <v>0</v>
      </c>
      <c r="J468" s="2500">
        <f>'Part V-Revenues &amp; Expenses'!J21</f>
        <v>121</v>
      </c>
      <c r="K468" s="2501">
        <f>'Part V-Revenues &amp; Expenses'!K21</f>
        <v>0</v>
      </c>
      <c r="L468" s="2502">
        <f t="shared" si="1"/>
        <v>1186</v>
      </c>
      <c r="M468" s="2502">
        <f t="shared" si="2"/>
        <v>16604</v>
      </c>
      <c r="N468" s="2573" t="str">
        <f>'Part V-Revenues &amp; Expenses'!N21</f>
        <v>No</v>
      </c>
      <c r="O468" s="1320" t="str">
        <f>'Part V-Revenues &amp; Expenses'!O21</f>
        <v>High-Rise Elevator</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f t="shared" si="21"/>
        <v>14</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f t="shared" si="136"/>
        <v>16100</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14</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14</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f t="shared" si="286"/>
        <v>14</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14</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60</v>
      </c>
      <c r="C469" s="2498">
        <f>'Part V-Revenues &amp; Expenses'!C22</f>
        <v>1</v>
      </c>
      <c r="D469" s="2499">
        <f>'Part V-Revenues &amp; Expenses'!D22</f>
        <v>1</v>
      </c>
      <c r="E469" s="2500">
        <f>'Part V-Revenues &amp; Expenses'!E22</f>
        <v>40</v>
      </c>
      <c r="F469" s="2500">
        <f>'Part V-Revenues &amp; Expenses'!F22</f>
        <v>653</v>
      </c>
      <c r="G469" s="2500">
        <f>'Part V-Revenues &amp; Expenses'!G22</f>
        <v>1149</v>
      </c>
      <c r="H469" s="2500">
        <f>'Part V-Revenues &amp; Expenses'!H22</f>
        <v>1078</v>
      </c>
      <c r="I469" s="2500">
        <f>'Part V-Revenues &amp; Expenses'!I22</f>
        <v>0</v>
      </c>
      <c r="J469" s="2500">
        <f>'Part V-Revenues &amp; Expenses'!J22</f>
        <v>76</v>
      </c>
      <c r="K469" s="2501">
        <f>'Part V-Revenues &amp; Expenses'!K22</f>
        <v>0</v>
      </c>
      <c r="L469" s="2502">
        <f t="shared" si="1"/>
        <v>1002</v>
      </c>
      <c r="M469" s="2502">
        <f t="shared" si="2"/>
        <v>40080</v>
      </c>
      <c r="N469" s="2573" t="str">
        <f>'Part V-Revenues &amp; Expenses'!N22</f>
        <v>No</v>
      </c>
      <c r="O469" s="1320" t="str">
        <f>'Part V-Revenues &amp; Expenses'!O22</f>
        <v>High-Rise Elevator</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40</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26120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40</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40</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f t="shared" si="284"/>
        <v>40</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40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60</v>
      </c>
      <c r="C470" s="2498">
        <f>'Part V-Revenues &amp; Expenses'!C23</f>
        <v>2</v>
      </c>
      <c r="D470" s="2499">
        <f>'Part V-Revenues &amp; Expenses'!D23</f>
        <v>2</v>
      </c>
      <c r="E470" s="2500">
        <f>'Part V-Revenues &amp; Expenses'!E23</f>
        <v>67</v>
      </c>
      <c r="F470" s="2500">
        <f>'Part V-Revenues &amp; Expenses'!F23</f>
        <v>963</v>
      </c>
      <c r="G470" s="2500">
        <f>'Part V-Revenues &amp; Expenses'!G23</f>
        <v>1378</v>
      </c>
      <c r="H470" s="2500">
        <f>'Part V-Revenues &amp; Expenses'!H23</f>
        <v>1109</v>
      </c>
      <c r="I470" s="2500">
        <f>'Part V-Revenues &amp; Expenses'!I23</f>
        <v>0</v>
      </c>
      <c r="J470" s="2500">
        <f>'Part V-Revenues &amp; Expenses'!J23</f>
        <v>97</v>
      </c>
      <c r="K470" s="2501">
        <f>'Part V-Revenues &amp; Expenses'!K23</f>
        <v>0</v>
      </c>
      <c r="L470" s="2502">
        <f t="shared" si="1"/>
        <v>1012</v>
      </c>
      <c r="M470" s="2502">
        <f t="shared" si="2"/>
        <v>67804</v>
      </c>
      <c r="N470" s="2573" t="str">
        <f>'Part V-Revenues &amp; Expenses'!N23</f>
        <v>No</v>
      </c>
      <c r="O470" s="1320" t="str">
        <f>'Part V-Revenues &amp; Expenses'!O23</f>
        <v>High-Rise Elevator</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67</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64521</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67</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67</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f t="shared" si="285"/>
        <v>67</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67</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60</v>
      </c>
      <c r="C471" s="2498">
        <f>'Part V-Revenues &amp; Expenses'!C24</f>
        <v>3</v>
      </c>
      <c r="D471" s="2499">
        <f>'Part V-Revenues &amp; Expenses'!D24</f>
        <v>2</v>
      </c>
      <c r="E471" s="2500">
        <f>'Part V-Revenues &amp; Expenses'!E24</f>
        <v>34</v>
      </c>
      <c r="F471" s="2500">
        <f>'Part V-Revenues &amp; Expenses'!F24</f>
        <v>1150</v>
      </c>
      <c r="G471" s="2500">
        <f>'Part V-Revenues &amp; Expenses'!G24</f>
        <v>1593</v>
      </c>
      <c r="H471" s="2500">
        <f>'Part V-Revenues &amp; Expenses'!H24</f>
        <v>1328</v>
      </c>
      <c r="I471" s="2500">
        <f>'Part V-Revenues &amp; Expenses'!I24</f>
        <v>0</v>
      </c>
      <c r="J471" s="2500">
        <f>'Part V-Revenues &amp; Expenses'!J24</f>
        <v>121</v>
      </c>
      <c r="K471" s="2501">
        <f>'Part V-Revenues &amp; Expenses'!K24</f>
        <v>0</v>
      </c>
      <c r="L471" s="2502">
        <f t="shared" si="1"/>
        <v>1207</v>
      </c>
      <c r="M471" s="2502">
        <f t="shared" si="2"/>
        <v>41038</v>
      </c>
      <c r="N471" s="2573" t="str">
        <f>'Part V-Revenues &amp; Expenses'!N24</f>
        <v>No</v>
      </c>
      <c r="O471" s="1320" t="str">
        <f>'Part V-Revenues &amp; Expenses'!O24</f>
        <v>High-Rise Elevator</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f t="shared" si="16"/>
        <v>34</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f t="shared" si="131"/>
        <v>39100</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34</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34</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f t="shared" si="286"/>
        <v>34</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34</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70</v>
      </c>
      <c r="C472" s="2498">
        <f>'Part V-Revenues &amp; Expenses'!C25</f>
        <v>1</v>
      </c>
      <c r="D472" s="2499">
        <f>'Part V-Revenues &amp; Expenses'!D25</f>
        <v>1</v>
      </c>
      <c r="E472" s="2500">
        <f>'Part V-Revenues &amp; Expenses'!E25</f>
        <v>4</v>
      </c>
      <c r="F472" s="2500">
        <f>'Part V-Revenues &amp; Expenses'!F25</f>
        <v>653</v>
      </c>
      <c r="G472" s="2500">
        <f>'Part V-Revenues &amp; Expenses'!G25</f>
        <v>1340</v>
      </c>
      <c r="H472" s="2500">
        <f>'Part V-Revenues &amp; Expenses'!H25</f>
        <v>1094</v>
      </c>
      <c r="I472" s="2500">
        <f>'Part V-Revenues &amp; Expenses'!I25</f>
        <v>0</v>
      </c>
      <c r="J472" s="2500">
        <f>'Part V-Revenues &amp; Expenses'!J25</f>
        <v>76</v>
      </c>
      <c r="K472" s="2501">
        <f>'Part V-Revenues &amp; Expenses'!K25</f>
        <v>0</v>
      </c>
      <c r="L472" s="2502">
        <f t="shared" si="1"/>
        <v>1018</v>
      </c>
      <c r="M472" s="2502">
        <f t="shared" si="2"/>
        <v>4072</v>
      </c>
      <c r="N472" s="2573" t="str">
        <f>'Part V-Revenues &amp; Expenses'!N25</f>
        <v>No</v>
      </c>
      <c r="O472" s="1320" t="str">
        <f>'Part V-Revenues &amp; Expenses'!O25</f>
        <v>High-Rise Elevator</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f t="shared" si="9"/>
        <v>4</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f t="shared" si="69"/>
        <v>4</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f t="shared" si="124"/>
        <v>2612</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f t="shared" si="169"/>
        <v>4</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f t="shared" si="214"/>
        <v>4</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f t="shared" si="284"/>
        <v>4</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4</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70</v>
      </c>
      <c r="C473" s="2498">
        <f>'Part V-Revenues &amp; Expenses'!C26</f>
        <v>2</v>
      </c>
      <c r="D473" s="2499">
        <f>'Part V-Revenues &amp; Expenses'!D26</f>
        <v>2</v>
      </c>
      <c r="E473" s="2500">
        <f>'Part V-Revenues &amp; Expenses'!E26</f>
        <v>6</v>
      </c>
      <c r="F473" s="2500">
        <f>'Part V-Revenues &amp; Expenses'!F26</f>
        <v>963</v>
      </c>
      <c r="G473" s="2500">
        <f>'Part V-Revenues &amp; Expenses'!G26</f>
        <v>1608</v>
      </c>
      <c r="H473" s="2500">
        <f>'Part V-Revenues &amp; Expenses'!H26</f>
        <v>1361</v>
      </c>
      <c r="I473" s="2500">
        <f>'Part V-Revenues &amp; Expenses'!I26</f>
        <v>0</v>
      </c>
      <c r="J473" s="2500">
        <f>'Part V-Revenues &amp; Expenses'!J26</f>
        <v>97</v>
      </c>
      <c r="K473" s="2501">
        <f>'Part V-Revenues &amp; Expenses'!K26</f>
        <v>0</v>
      </c>
      <c r="L473" s="2502">
        <f t="shared" si="1"/>
        <v>1264</v>
      </c>
      <c r="M473" s="2502">
        <f t="shared" si="2"/>
        <v>7584</v>
      </c>
      <c r="N473" s="2573" t="str">
        <f>'Part V-Revenues &amp; Expenses'!N26</f>
        <v>No</v>
      </c>
      <c r="O473" s="1320" t="str">
        <f>'Part V-Revenues &amp; Expenses'!O26</f>
        <v>High-Rise Elevator</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f t="shared" si="10"/>
        <v>6</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f t="shared" si="70"/>
        <v>6</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f t="shared" si="125"/>
        <v>5778</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6</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6</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f t="shared" si="285"/>
        <v>6</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6</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70</v>
      </c>
      <c r="C474" s="2498">
        <f>'Part V-Revenues &amp; Expenses'!C27</f>
        <v>3</v>
      </c>
      <c r="D474" s="2499">
        <f>'Part V-Revenues &amp; Expenses'!D27</f>
        <v>2</v>
      </c>
      <c r="E474" s="2500">
        <f>'Part V-Revenues &amp; Expenses'!E27</f>
        <v>2</v>
      </c>
      <c r="F474" s="2500">
        <f>'Part V-Revenues &amp; Expenses'!F27</f>
        <v>1150</v>
      </c>
      <c r="G474" s="2500">
        <f>'Part V-Revenues &amp; Expenses'!G27</f>
        <v>1858</v>
      </c>
      <c r="H474" s="2500">
        <f>'Part V-Revenues &amp; Expenses'!H27</f>
        <v>1613</v>
      </c>
      <c r="I474" s="2500">
        <f>'Part V-Revenues &amp; Expenses'!I27</f>
        <v>0</v>
      </c>
      <c r="J474" s="2500">
        <f>'Part V-Revenues &amp; Expenses'!J27</f>
        <v>121</v>
      </c>
      <c r="K474" s="2501">
        <f>'Part V-Revenues &amp; Expenses'!K27</f>
        <v>0</v>
      </c>
      <c r="L474" s="2502">
        <f t="shared" si="1"/>
        <v>1492</v>
      </c>
      <c r="M474" s="2502">
        <f t="shared" si="2"/>
        <v>2984</v>
      </c>
      <c r="N474" s="2573" t="str">
        <f>'Part V-Revenues &amp; Expenses'!N27</f>
        <v>No</v>
      </c>
      <c r="O474" s="1320" t="str">
        <f>'Part V-Revenues &amp; Expenses'!O27</f>
        <v>High-Rise Elevator</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f t="shared" si="11"/>
        <v>2</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f t="shared" si="71"/>
        <v>2</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f t="shared" si="126"/>
        <v>2300</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2</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2</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f t="shared" si="286"/>
        <v>2</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2</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210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192980</v>
      </c>
      <c r="H496" s="2505" t="s">
        <v>3765</v>
      </c>
      <c r="I496" s="2709" t="s">
        <v>3766</v>
      </c>
      <c r="J496" s="2506" t="str">
        <f>IF(P514=0,"",IF(SUM(P505:P509)/P514&gt;=0.4,"Pass","Fail"))</f>
        <v>Pass</v>
      </c>
      <c r="K496" s="363"/>
      <c r="L496" s="2710" t="s">
        <v>1225</v>
      </c>
      <c r="M496" s="2507">
        <f>SUM(M458:M495)</f>
        <v>233445</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4</v>
      </c>
      <c r="AE496" s="1749">
        <f t="shared" si="338"/>
        <v>6</v>
      </c>
      <c r="AF496" s="1749">
        <f t="shared" si="338"/>
        <v>2</v>
      </c>
      <c r="AG496" s="1749">
        <f t="shared" si="338"/>
        <v>0</v>
      </c>
      <c r="AH496" s="1749">
        <f t="shared" si="338"/>
        <v>0</v>
      </c>
      <c r="AI496" s="1749">
        <f t="shared" si="338"/>
        <v>40</v>
      </c>
      <c r="AJ496" s="1749">
        <f t="shared" si="338"/>
        <v>67</v>
      </c>
      <c r="AK496" s="1749">
        <f t="shared" si="338"/>
        <v>34</v>
      </c>
      <c r="AL496" s="1749">
        <f t="shared" si="338"/>
        <v>0</v>
      </c>
      <c r="AM496" s="1749">
        <f>SUM(AM458:AM495)</f>
        <v>0</v>
      </c>
      <c r="AN496" s="1749">
        <f>SUM(AN458:AN495)</f>
        <v>16</v>
      </c>
      <c r="AO496" s="1749">
        <f>SUM(AO458:AO495)</f>
        <v>27</v>
      </c>
      <c r="AP496" s="1749">
        <f>SUM(AP458:AP495)</f>
        <v>14</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16</v>
      </c>
      <c r="CC496" s="1749">
        <f t="shared" si="338"/>
        <v>4</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4</v>
      </c>
      <c r="CM496" s="1749">
        <f>SUM(CM458:CM495)</f>
        <v>6</v>
      </c>
      <c r="CN496" s="1749">
        <f>SUM(CN458:CN495)</f>
        <v>2</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2612</v>
      </c>
      <c r="EP496" s="1749">
        <f t="shared" si="338"/>
        <v>5778</v>
      </c>
      <c r="EQ496" s="1749">
        <f t="shared" si="338"/>
        <v>2300</v>
      </c>
      <c r="ER496" s="1749">
        <f t="shared" si="338"/>
        <v>0</v>
      </c>
      <c r="ES496" s="1749">
        <f t="shared" si="338"/>
        <v>0</v>
      </c>
      <c r="ET496" s="1749">
        <f t="shared" si="338"/>
        <v>26120</v>
      </c>
      <c r="EU496" s="1749">
        <f t="shared" si="338"/>
        <v>64521</v>
      </c>
      <c r="EV496" s="1749">
        <f t="shared" si="338"/>
        <v>39100</v>
      </c>
      <c r="EW496" s="1749">
        <f t="shared" si="338"/>
        <v>0</v>
      </c>
      <c r="EX496" s="1749">
        <f t="shared" si="338"/>
        <v>0</v>
      </c>
      <c r="EY496" s="1749">
        <f t="shared" si="338"/>
        <v>10448</v>
      </c>
      <c r="EZ496" s="1749">
        <f t="shared" si="338"/>
        <v>26001</v>
      </c>
      <c r="FA496" s="1749">
        <f t="shared" si="338"/>
        <v>16100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10448</v>
      </c>
      <c r="FY496" s="1749">
        <f t="shared" si="340"/>
        <v>3852</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60</v>
      </c>
      <c r="GI496" s="1749">
        <f t="shared" si="340"/>
        <v>100</v>
      </c>
      <c r="GJ496" s="1749">
        <f t="shared" si="340"/>
        <v>50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60</v>
      </c>
      <c r="IB496" s="1749">
        <f t="shared" si="341"/>
        <v>100</v>
      </c>
      <c r="IC496" s="1749">
        <f t="shared" si="341"/>
        <v>50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60</v>
      </c>
      <c r="KT496" s="1749">
        <f>SUM(KT458:KT495)</f>
        <v>100</v>
      </c>
      <c r="KU496" s="1749">
        <f>SUM(KU458:KU495)</f>
        <v>50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60</v>
      </c>
      <c r="MM496" s="1749">
        <f t="shared" si="343"/>
        <v>100</v>
      </c>
      <c r="MN496" s="1749">
        <f t="shared" si="343"/>
        <v>50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57.857142857142854</v>
      </c>
      <c r="C497" s="2711"/>
      <c r="D497" s="2678" t="s">
        <v>3675</v>
      </c>
      <c r="E497" s="2503">
        <f>SUM(E465:E495)</f>
        <v>210</v>
      </c>
      <c r="F497" s="2504">
        <f>(E465*F465+E466*F466+E467*F467+E468*F468+E469*F469+E470*F470+E471*F471+E472*F472+E473*F473+E474*F474+E475*F475+E476*F476+E477*F477+E478*F478+E479*F479+E480*F480+E481*F481+E482*F482+E483*F483+E484*F484+E485*F485+E486*F486+E487*F487+E488*F488+E489*F489+E490*F490+E491*F491+E492*F492+E493*F493+E494*F494+E495*F495)</f>
        <v>192980</v>
      </c>
      <c r="H497" s="2505"/>
      <c r="I497" s="2709" t="s">
        <v>3767</v>
      </c>
      <c r="J497" s="2506" t="str">
        <f>IF(P514=0,"",IF(SUM(P506:P509)/P514&gt;=0.2,"Pass","Fail"))</f>
        <v>Pass</v>
      </c>
      <c r="K497" s="363"/>
      <c r="L497" s="2708" t="s">
        <v>757</v>
      </c>
      <c r="M497" s="2507">
        <f>M496*12</f>
        <v>2801340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1710</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4</v>
      </c>
      <c r="M504" s="2508">
        <f>AE496</f>
        <v>6</v>
      </c>
      <c r="N504" s="2508">
        <f>AF496</f>
        <v>2</v>
      </c>
      <c r="O504" s="2508">
        <f>AG496</f>
        <v>0</v>
      </c>
      <c r="P504" s="2508">
        <f t="shared" si="344"/>
        <v>12</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40</v>
      </c>
      <c r="M505" s="2508">
        <f>AJ496</f>
        <v>67</v>
      </c>
      <c r="N505" s="2508">
        <f>AK496</f>
        <v>34</v>
      </c>
      <c r="O505" s="2508">
        <f>AL496</f>
        <v>0</v>
      </c>
      <c r="P505" s="2508">
        <f t="shared" si="344"/>
        <v>141</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16</v>
      </c>
      <c r="M506" s="2508">
        <f>AO496</f>
        <v>27</v>
      </c>
      <c r="N506" s="2508">
        <f>AP496</f>
        <v>14</v>
      </c>
      <c r="O506" s="2508">
        <f>AQ496</f>
        <v>0</v>
      </c>
      <c r="P506" s="2508">
        <f t="shared" si="344"/>
        <v>57</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60</v>
      </c>
      <c r="M510" s="2508">
        <f>SUM(M503:M509)</f>
        <v>100</v>
      </c>
      <c r="N510" s="2508">
        <f>SUM(N503:N509)</f>
        <v>50</v>
      </c>
      <c r="O510" s="2508">
        <f>SUM(O503:O509)</f>
        <v>0</v>
      </c>
      <c r="P510" s="2508">
        <f t="shared" si="344"/>
        <v>210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60</v>
      </c>
      <c r="M512" s="2509">
        <f>SUM(M510:M511)</f>
        <v>100</v>
      </c>
      <c r="N512" s="2509">
        <f>SUM(N510:N511)</f>
        <v>50</v>
      </c>
      <c r="O512" s="2509">
        <f>SUM(O510:O511)</f>
        <v>0</v>
      </c>
      <c r="P512" s="2509">
        <f t="shared" si="344"/>
        <v>210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60</v>
      </c>
      <c r="M514" s="2510">
        <f>SUM(M512:M513)</f>
        <v>100</v>
      </c>
      <c r="N514" s="2510">
        <f>SUM(N512:N513)</f>
        <v>50</v>
      </c>
      <c r="O514" s="2510">
        <f>SUM(O512:O513)</f>
        <v>0</v>
      </c>
      <c r="P514" s="2510">
        <f t="shared" si="344"/>
        <v>210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f t="shared" si="347"/>
        <v>6.6666666666666666E-2</v>
      </c>
      <c r="M520" s="2725">
        <f t="shared" si="347"/>
        <v>0.06</v>
      </c>
      <c r="N520" s="2725">
        <f t="shared" si="347"/>
        <v>0.04</v>
      </c>
      <c r="O520" s="2725" t="str">
        <f t="shared" si="347"/>
        <v/>
      </c>
      <c r="P520" s="2725">
        <f t="shared" si="347"/>
        <v>5.7142857142857141E-2</v>
      </c>
      <c r="S520" s="2706"/>
      <c r="T520" s="2706"/>
      <c r="U520" s="2706"/>
      <c r="V520" s="2706"/>
      <c r="W520" s="2706"/>
    </row>
    <row r="521" spans="1:343">
      <c r="C521" s="2543"/>
      <c r="D521" s="2543"/>
      <c r="E521" s="2543"/>
      <c r="F521" s="2543"/>
      <c r="H521" s="1503" t="s">
        <v>6977</v>
      </c>
      <c r="I521" s="362"/>
      <c r="J521" s="359"/>
      <c r="K521" s="2726" t="str">
        <f>IF(OR(K504=0,P520="",K514=0),"",P520*K514)</f>
        <v/>
      </c>
      <c r="L521" s="2726">
        <f>IF(OR(L504=0,P520="",L514=0),"",P520*L514)</f>
        <v>3.4285714285714284</v>
      </c>
      <c r="M521" s="2726">
        <f>IF(OR(M504=0,P520="",M514=0),"",P520*M514)</f>
        <v>5.7142857142857144</v>
      </c>
      <c r="N521" s="2726">
        <f>IF(OR(N504=0,P520="",N514=0),"",P520*N514)</f>
        <v>2.8571428571428572</v>
      </c>
      <c r="O521" s="2726" t="str">
        <f>IF(OR(O504=0,P520="",O514=0),"",P520*O514)</f>
        <v/>
      </c>
      <c r="P521" s="2726">
        <f>IF(OR(P520="",P514=0),"",P520*P514)</f>
        <v>12</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f t="shared" si="348"/>
        <v>0.57142857142857162</v>
      </c>
      <c r="M522" s="2726">
        <f t="shared" si="348"/>
        <v>0.28571428571428559</v>
      </c>
      <c r="N522" s="2726">
        <f t="shared" si="348"/>
        <v>-0.85714285714285721</v>
      </c>
      <c r="O522" s="2726" t="str">
        <f t="shared" si="348"/>
        <v/>
      </c>
      <c r="P522" s="2726">
        <f t="shared" si="348"/>
        <v>0</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0.66666666666666663</v>
      </c>
      <c r="M523" s="2725">
        <f t="shared" si="349"/>
        <v>0.67</v>
      </c>
      <c r="N523" s="2725">
        <f t="shared" si="349"/>
        <v>0.68</v>
      </c>
      <c r="O523" s="2725" t="str">
        <f t="shared" si="349"/>
        <v/>
      </c>
      <c r="P523" s="2725">
        <f t="shared" si="349"/>
        <v>0.67142857142857137</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40.285714285714285</v>
      </c>
      <c r="M524" s="2726">
        <f>IF(OR(M505=0,P523="",M514=0),"",P523*M514)</f>
        <v>67.142857142857139</v>
      </c>
      <c r="N524" s="2726">
        <f>IF(OR(N505=0,P523="",N514=0),"",P523*N514)</f>
        <v>33.571428571428569</v>
      </c>
      <c r="O524" s="2726" t="str">
        <f>IF(OR(O505=0,P523="",O514=0),"",P523*O514)</f>
        <v/>
      </c>
      <c r="P524" s="2726">
        <f>IF(OR(P523="",P514=0),"",P523*P514)</f>
        <v>141</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-0.2857142857142847</v>
      </c>
      <c r="M525" s="2726">
        <f t="shared" si="350"/>
        <v>-0.1428571428571388</v>
      </c>
      <c r="N525" s="2726">
        <f t="shared" si="350"/>
        <v>0.4285714285714306</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f t="shared" si="351"/>
        <v>0.26666666666666666</v>
      </c>
      <c r="M526" s="2725">
        <f t="shared" si="351"/>
        <v>0.27</v>
      </c>
      <c r="N526" s="2725">
        <f t="shared" si="351"/>
        <v>0.28000000000000003</v>
      </c>
      <c r="O526" s="2725" t="str">
        <f t="shared" si="351"/>
        <v/>
      </c>
      <c r="P526" s="2725">
        <f t="shared" si="351"/>
        <v>0.27142857142857141</v>
      </c>
    </row>
    <row r="527" spans="1:343">
      <c r="C527" s="2727"/>
      <c r="D527" s="2727"/>
      <c r="E527" s="2727"/>
      <c r="H527" s="1503" t="s">
        <v>6977</v>
      </c>
      <c r="I527" s="362"/>
      <c r="J527" s="359"/>
      <c r="K527" s="2726" t="str">
        <f>IF(OR(K506=0,P526="",K514=0),"",P526*K514)</f>
        <v/>
      </c>
      <c r="L527" s="2726">
        <f>IF(OR(L506=0,P526="",L514=0),"",P526*L514)</f>
        <v>16.285714285714285</v>
      </c>
      <c r="M527" s="2726">
        <f>IF(OR(M506=0,P526="",M514=0),"",P526*M514)</f>
        <v>27.142857142857142</v>
      </c>
      <c r="N527" s="2726">
        <f>IF(OR(N506=0,P526="",N514=0),"",P526*N514)</f>
        <v>13.571428571428571</v>
      </c>
      <c r="O527" s="2726" t="str">
        <f>IF(OR(O506=0,P526="",O514=0),"",P526*O514)</f>
        <v/>
      </c>
      <c r="P527" s="2726">
        <f>IF(OR(P526="",P514=0),"",P526*P514)</f>
        <v>56.999999999999993</v>
      </c>
    </row>
    <row r="528" spans="1:343">
      <c r="C528" s="2727"/>
      <c r="D528" s="2727"/>
      <c r="E528" s="2727"/>
      <c r="G528" s="2709"/>
      <c r="H528" s="1503" t="s">
        <v>6978</v>
      </c>
      <c r="I528" s="362"/>
      <c r="J528" s="359"/>
      <c r="K528" s="2726" t="str">
        <f t="shared" ref="K528:P528" si="352">IF(OR(K527="",K506=0),"", K506-K527)</f>
        <v/>
      </c>
      <c r="L528" s="2726">
        <f t="shared" si="352"/>
        <v>-0.2857142857142847</v>
      </c>
      <c r="M528" s="2726">
        <f t="shared" si="352"/>
        <v>-0.14285714285714235</v>
      </c>
      <c r="N528" s="2726">
        <f t="shared" si="352"/>
        <v>0.42857142857142883</v>
      </c>
      <c r="O528" s="2726" t="str">
        <f t="shared" si="352"/>
        <v/>
      </c>
      <c r="P528" s="2726">
        <f t="shared" si="352"/>
        <v>7.1054273576010019E-15</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4</v>
      </c>
      <c r="M541" s="2508">
        <f>CM496</f>
        <v>6</v>
      </c>
      <c r="N541" s="2508">
        <f>CN496</f>
        <v>2</v>
      </c>
      <c r="O541" s="2508">
        <f>CO496</f>
        <v>0</v>
      </c>
      <c r="P541" s="2508">
        <f t="shared" si="359"/>
        <v>12</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16</v>
      </c>
      <c r="M543" s="2508">
        <f>CC496</f>
        <v>4</v>
      </c>
      <c r="N543" s="2508">
        <f>CD496</f>
        <v>0</v>
      </c>
      <c r="O543" s="2508">
        <f>CE496</f>
        <v>0</v>
      </c>
      <c r="P543" s="2508">
        <f t="shared" si="359"/>
        <v>20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20</v>
      </c>
      <c r="M547" s="2510">
        <f>SUM(M540:M546)</f>
        <v>10</v>
      </c>
      <c r="N547" s="2510">
        <f>SUM(N540:N546)</f>
        <v>2</v>
      </c>
      <c r="O547" s="2510">
        <f>SUM(O540:O546)</f>
        <v>0</v>
      </c>
      <c r="P547" s="2510">
        <f t="shared" si="359"/>
        <v>32</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2119</v>
      </c>
      <c r="F560" s="359"/>
      <c r="H560" s="1503" t="s">
        <v>1343</v>
      </c>
      <c r="I560" s="362"/>
      <c r="K560" s="2508">
        <f>GG496</f>
        <v>0</v>
      </c>
      <c r="L560" s="2508">
        <f>GH496</f>
        <v>60</v>
      </c>
      <c r="M560" s="2508">
        <f>GI496</f>
        <v>100</v>
      </c>
      <c r="N560" s="2508">
        <f>GJ496</f>
        <v>50</v>
      </c>
      <c r="O560" s="2508">
        <f>GK496</f>
        <v>0</v>
      </c>
      <c r="P560" s="2508">
        <f t="shared" ref="P560:P570" si="361">SUM(K560:O560)</f>
        <v>210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60</v>
      </c>
      <c r="M562" s="2510">
        <f>SUM(M560:M561)+GS496</f>
        <v>100</v>
      </c>
      <c r="N562" s="2510">
        <f>SUM(N560:N561)+GT496</f>
        <v>50</v>
      </c>
      <c r="O562" s="2510">
        <f>SUM(O560:O561)+GU496</f>
        <v>0</v>
      </c>
      <c r="P562" s="2510">
        <f t="shared" si="361"/>
        <v>210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1982</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60</v>
      </c>
      <c r="M574" s="2510">
        <f t="shared" si="362"/>
        <v>100</v>
      </c>
      <c r="N574" s="2510">
        <f t="shared" si="362"/>
        <v>50</v>
      </c>
      <c r="O574" s="2510">
        <f t="shared" si="362"/>
        <v>0</v>
      </c>
      <c r="P574" s="2510">
        <f t="shared" si="362"/>
        <v>210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60</v>
      </c>
      <c r="M581" s="2508">
        <f>KT496</f>
        <v>100</v>
      </c>
      <c r="N581" s="2508">
        <f>KU496</f>
        <v>50</v>
      </c>
      <c r="O581" s="2508">
        <f>KV496</f>
        <v>0</v>
      </c>
      <c r="P581" s="2508">
        <f t="shared" si="363"/>
        <v>210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60</v>
      </c>
      <c r="M600" s="2508">
        <f t="shared" si="367"/>
        <v>100</v>
      </c>
      <c r="N600" s="2508">
        <f t="shared" si="367"/>
        <v>50</v>
      </c>
      <c r="O600" s="2508">
        <f t="shared" si="367"/>
        <v>0</v>
      </c>
      <c r="P600" s="2510">
        <f t="shared" si="365"/>
        <v>210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2612</v>
      </c>
      <c r="M605" s="2512">
        <f>EP496</f>
        <v>5778</v>
      </c>
      <c r="N605" s="2512">
        <f>EQ496</f>
        <v>2300</v>
      </c>
      <c r="O605" s="2512">
        <f>ER496</f>
        <v>0</v>
      </c>
      <c r="P605" s="2512">
        <f t="shared" si="368"/>
        <v>10690</v>
      </c>
      <c r="Q605" s="2726">
        <f t="shared" si="369"/>
        <v>890.83333333333337</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26120</v>
      </c>
      <c r="M606" s="2512">
        <f>EU496</f>
        <v>64521</v>
      </c>
      <c r="N606" s="2512">
        <f>EV496</f>
        <v>39100</v>
      </c>
      <c r="O606" s="2512">
        <f>EW496</f>
        <v>0</v>
      </c>
      <c r="P606" s="2512">
        <f t="shared" si="368"/>
        <v>129741</v>
      </c>
      <c r="Q606" s="2726">
        <f t="shared" si="369"/>
        <v>920.14893617021278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10448</v>
      </c>
      <c r="M607" s="2512">
        <f>EZ496</f>
        <v>26001</v>
      </c>
      <c r="N607" s="2512">
        <f>FA496</f>
        <v>16100</v>
      </c>
      <c r="O607" s="2512">
        <f>FB496</f>
        <v>0</v>
      </c>
      <c r="P607" s="2512">
        <f t="shared" si="368"/>
        <v>52549</v>
      </c>
      <c r="Q607" s="2726">
        <f t="shared" si="369"/>
        <v>921.91228070175441</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39180</v>
      </c>
      <c r="M611" s="2513">
        <f>SUM(M604:M610)</f>
        <v>96300</v>
      </c>
      <c r="N611" s="2513">
        <f>SUM(N604:N610)</f>
        <v>57500</v>
      </c>
      <c r="O611" s="2513">
        <f>SUM(O604:O610)</f>
        <v>0</v>
      </c>
      <c r="P611" s="2513">
        <f>SUM(K611:O611)</f>
        <v>192980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39180</v>
      </c>
      <c r="M613" s="2514">
        <f>SUM(M611:M612)</f>
        <v>96300</v>
      </c>
      <c r="N613" s="2514">
        <f>SUM(N611:N612)</f>
        <v>57500</v>
      </c>
      <c r="O613" s="2514">
        <f>SUM(O611:O612)</f>
        <v>0</v>
      </c>
      <c r="P613" s="2514">
        <f>SUM(K613:O613)</f>
        <v>192980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39180</v>
      </c>
      <c r="M615" s="2515">
        <f>SUM(M613:M614)</f>
        <v>96300</v>
      </c>
      <c r="N615" s="2515">
        <f>SUM(N613:N614)</f>
        <v>57500</v>
      </c>
      <c r="O615" s="2515">
        <f>SUM(O613:O614)</f>
        <v>0</v>
      </c>
      <c r="P615" s="2515">
        <f>SUM(K615:O615)</f>
        <v>192980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653</v>
      </c>
      <c r="M618" s="2740">
        <f>IF(OR(M514="",M514=0),"",M615/M514)</f>
        <v>963</v>
      </c>
      <c r="N618" s="2740">
        <f>IF(OR(N514="",N514=0),"",N615/N514)</f>
        <v>1150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8500</v>
      </c>
      <c r="L621" s="2471"/>
      <c r="Z621" s="1622">
        <v>68</v>
      </c>
    </row>
    <row r="622" spans="1:380" s="1819" customFormat="1" ht="13.35" customHeight="1">
      <c r="A622" s="2537"/>
      <c r="C622" s="377" t="s">
        <v>242</v>
      </c>
      <c r="K622" s="2471">
        <f>P615+K621</f>
        <v>201480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56026.8</v>
      </c>
      <c r="I626" s="2742"/>
      <c r="J626" s="2732" t="s">
        <v>6987</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2110</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2110</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2110</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2110</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132868</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12">
        <f>'Part V-Revenues &amp; Expenses'!F221</f>
        <v>100000</v>
      </c>
      <c r="G668" s="2512"/>
      <c r="I668" s="359" t="s">
        <v>1300</v>
      </c>
      <c r="L668" s="2512">
        <f>'Part V-Revenues &amp; Expenses'!L221</f>
        <v>0</v>
      </c>
      <c r="M668" s="2512"/>
      <c r="O668" s="2521">
        <f>+Q667/(P514*0.93)</f>
        <v>680.3277009728622</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90000</v>
      </c>
      <c r="G669" s="2512"/>
      <c r="I669" s="359" t="s">
        <v>1301</v>
      </c>
      <c r="L669" s="2512">
        <f>'Part V-Revenues &amp; Expenses'!L222</f>
        <v>0</v>
      </c>
      <c r="M669" s="2512"/>
      <c r="O669" s="2521">
        <f>+Q667/(P514*0.93)/12</f>
        <v>56.693975081071848</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Benefits, Payroll Taxes, WC</v>
      </c>
      <c r="C673" s="362"/>
      <c r="D673" s="362"/>
      <c r="E673" s="362"/>
      <c r="F673" s="2512">
        <f>'Part V-Revenues &amp; Expenses'!F226</f>
        <v>51300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241300</v>
      </c>
      <c r="G674" s="2512"/>
      <c r="I674" s="359" t="s">
        <v>1497</v>
      </c>
      <c r="L674" s="2512">
        <f>'Part V-Revenues &amp; Expenses'!L227</f>
        <v>5000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1898</v>
      </c>
      <c r="L675" s="2512">
        <f>'Part V-Revenues &amp; Expenses'!L228</f>
        <v>12150</v>
      </c>
      <c r="M675" s="2512"/>
      <c r="N675" s="2693" t="str">
        <f>IF(Q677="","",IF(Q675&lt;Q677, "WARNING! OE below required minimum.",""))</f>
        <v/>
      </c>
      <c r="O675" s="1747" t="s">
        <v>2028</v>
      </c>
      <c r="Q675" s="2740">
        <f>F674+F683+F694+L670+L678+L688+L694+Q667</f>
        <v>967518</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5000</v>
      </c>
      <c r="M676" s="2512"/>
      <c r="N676" s="2693"/>
      <c r="O676" s="2721" t="s">
        <v>2486</v>
      </c>
      <c r="P676" s="2521">
        <f>+Q675/P514</f>
        <v>4607.2285714285717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5000</v>
      </c>
      <c r="G677" s="2512"/>
      <c r="I677" s="2754" t="str">
        <f>'Part V-Revenues &amp; Expenses'!I230</f>
        <v>Credit Reports</v>
      </c>
      <c r="J677" s="2754"/>
      <c r="K677" s="2754"/>
      <c r="L677" s="2512">
        <f>'Part V-Revenues &amp; Expenses'!L230</f>
        <v>2500</v>
      </c>
      <c r="M677" s="2512"/>
      <c r="N677" s="2693"/>
      <c r="P677" s="2721" t="s">
        <v>3224</v>
      </c>
      <c r="Q677" s="2740">
        <f>'Part V-Revenues &amp; Expenses'!Q230</f>
        <v>945000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7200</v>
      </c>
      <c r="G678" s="2512"/>
      <c r="I678" s="1747"/>
      <c r="K678" s="2750" t="s">
        <v>184</v>
      </c>
      <c r="L678" s="2740">
        <f>SUM(L674:L677)</f>
        <v>24650</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2000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3085</v>
      </c>
      <c r="P681" s="1747"/>
      <c r="Q681" s="2522">
        <f>'Part V-Revenues &amp; Expenses'!Q234</f>
        <v>52500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Admin, Software, Compliance</v>
      </c>
      <c r="C682" s="362"/>
      <c r="D682" s="362"/>
      <c r="E682" s="362"/>
      <c r="F682" s="2512">
        <f>'Part V-Revenues &amp; Expenses'!F235</f>
        <v>35500</v>
      </c>
      <c r="G682" s="2512"/>
      <c r="I682" s="359" t="s">
        <v>1290</v>
      </c>
      <c r="K682" s="2639">
        <f>L682/12/P514</f>
        <v>15.873015873015873</v>
      </c>
      <c r="L682" s="2512">
        <f>'Part V-Revenues &amp; Expenses'!L235</f>
        <v>40000</v>
      </c>
      <c r="M682" s="2512"/>
      <c r="N682" s="2693" t="str">
        <f>IF(Q681&lt;Q690, "WARNING! RR proposed is below the DCA required minimum.","")</f>
        <v/>
      </c>
      <c r="O682" s="362" t="s">
        <v>3882</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49700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75.396825396825406</v>
      </c>
      <c r="L684" s="2512">
        <f>'Part V-Revenues &amp; Expenses'!L237</f>
        <v>190000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7.9365079365079367</v>
      </c>
      <c r="L685" s="2512">
        <f>'Part V-Revenues &amp; Expenses'!L238</f>
        <v>20000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55000</v>
      </c>
      <c r="G686" s="2512"/>
      <c r="I686" s="359" t="s">
        <v>6990</v>
      </c>
      <c r="K686" s="2639">
        <f>L686/12/P514</f>
        <v>0</v>
      </c>
      <c r="L686" s="2512">
        <f>'Part V-Revenues &amp; Expenses'!L239</f>
        <v>0</v>
      </c>
      <c r="M686" s="2512"/>
      <c r="N686" s="2693"/>
      <c r="O686" s="2544" t="s">
        <v>3052</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45000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210 units x $250 =</v>
      </c>
      <c r="Q687" s="2759">
        <f>'Part V-Revenues &amp; Expenses'!Q240</f>
        <v>52500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12500</v>
      </c>
      <c r="G688" s="2512"/>
      <c r="K688" s="2750" t="s">
        <v>184</v>
      </c>
      <c r="L688" s="2740">
        <f>SUM(L682:L687)</f>
        <v>250000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6500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15000</v>
      </c>
      <c r="G690" s="2512"/>
      <c r="I690" s="1747" t="s">
        <v>1298</v>
      </c>
      <c r="O690" s="2710" t="s">
        <v>2467</v>
      </c>
      <c r="P690" s="2704">
        <f>'Part V-Revenues &amp; Expenses'!P243</f>
        <v>210</v>
      </c>
      <c r="Q690" s="2760">
        <f>SUM(Q686:Q689)</f>
        <v>52500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15000</v>
      </c>
      <c r="G691" s="2512"/>
      <c r="I691" s="359" t="s">
        <v>6991</v>
      </c>
      <c r="L691" s="2512">
        <f>'Part V-Revenues &amp; Expenses'!L244</f>
        <v>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10000</v>
      </c>
      <c r="G692" s="2512"/>
      <c r="I692" s="359" t="s">
        <v>140</v>
      </c>
      <c r="L692" s="2512">
        <f>'Part V-Revenues &amp; Expenses'!L245</f>
        <v>110000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159000</v>
      </c>
      <c r="G694" s="2512"/>
      <c r="K694" s="2750" t="s">
        <v>184</v>
      </c>
      <c r="L694" s="2740">
        <f>SUM(L690:L693)</f>
        <v>110000</v>
      </c>
      <c r="M694" s="2740"/>
      <c r="O694" s="1747" t="s">
        <v>2029</v>
      </c>
      <c r="Q694" s="2740">
        <f>Q675+Q681</f>
        <v>1020018</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The development will have a Private Enterprise Agreement, exempting it from property taxes, per Georgia Tax Code. The land will be owned by the Housing Authority of Dekalb County and will be leased back to Westbury Family I, LP, which an affiliate of the Housing Authority of Dekalb County is a member. Due to this ownership structure and because all units will be designated as affordable, the property is not subject to property taxes. A tax emption memorandum has been provided by our attorney in Feasibility Folder 02.
The Other Income underwritten includes laundry fees, vending revenue, and other related fees.</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Westbury,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6992</v>
      </c>
    </row>
    <row r="712" spans="1:11">
      <c r="C712" s="2693"/>
    </row>
    <row r="713" spans="1:11" ht="12.75" customHeight="1">
      <c r="A713" s="357" t="s">
        <v>2030</v>
      </c>
      <c r="B713" s="2763">
        <f>'DCA Underwriting Assumptions'!$Q$99</f>
        <v>0.02</v>
      </c>
      <c r="C713" s="2693"/>
      <c r="D713" s="2706" t="s">
        <v>6993</v>
      </c>
      <c r="E713" s="2706"/>
      <c r="F713" s="2706"/>
      <c r="G713" s="2525">
        <f>'Part VI-Pro Forma'!G6</f>
        <v>5000</v>
      </c>
      <c r="H713" s="2736" t="s">
        <v>1767</v>
      </c>
      <c r="K713" s="2764">
        <f>'Part VI-Pro Forma'!K6</f>
        <v>-1.8815729524195163E-3</v>
      </c>
    </row>
    <row r="714" spans="1:11">
      <c r="A714" s="357" t="s">
        <v>2031</v>
      </c>
      <c r="B714" s="2763">
        <f>'DCA Underwriting Assumptions'!$Q$102</f>
        <v>0.03</v>
      </c>
      <c r="C714" s="2693"/>
      <c r="D714" s="2706"/>
      <c r="E714" s="2706"/>
      <c r="F714" s="2706"/>
      <c r="G714" s="2765">
        <f>'Part VI-Pro Forma'!G7</f>
        <v>0</v>
      </c>
    </row>
    <row r="715" spans="1:11">
      <c r="A715" s="357" t="s">
        <v>2033</v>
      </c>
      <c r="B715" s="2763">
        <f>'DCA Underwriting Assumptions'!$Q$103</f>
        <v>0.03</v>
      </c>
      <c r="C715" s="2693"/>
      <c r="D715" s="359" t="s">
        <v>258</v>
      </c>
      <c r="G715" s="2766"/>
      <c r="H715" s="2736" t="s">
        <v>2190</v>
      </c>
      <c r="K715" s="2764">
        <f>'Part VI-Pro Forma'!K8</f>
        <v>5.000016700841526E-2</v>
      </c>
    </row>
    <row r="716" spans="1:11">
      <c r="A716" s="357" t="s">
        <v>2032</v>
      </c>
      <c r="B716" s="2763">
        <f>'Part VI-Pro Forma'!B9</f>
        <v>7.0000000000000007E-2</v>
      </c>
      <c r="C716" s="2537" t="str">
        <f>IF(B716&lt;0.07, "Must be &gt;= 7%!","")</f>
        <v/>
      </c>
      <c r="D716" s="359" t="s">
        <v>2306</v>
      </c>
      <c r="G716" s="2767" t="str">
        <f>'Part VI-Pro Forma'!G9</f>
        <v>Yes</v>
      </c>
      <c r="H716" s="2768" t="s">
        <v>1355</v>
      </c>
      <c r="K716" s="2526">
        <f>'Part VI-Pro Forma'!K9</f>
        <v>132868</v>
      </c>
    </row>
    <row r="717" spans="1:11">
      <c r="A717" s="357" t="s">
        <v>1336</v>
      </c>
      <c r="B717" s="2763">
        <v>0.02</v>
      </c>
      <c r="D717" s="359" t="s">
        <v>1597</v>
      </c>
      <c r="G717" s="2767">
        <f>'Part VI-Pro Forma'!G10</f>
        <v>0</v>
      </c>
      <c r="H717" s="2768" t="s">
        <v>2173</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528">
        <f>'Part VI-Pro Forma'!B15</f>
        <v>2801340</v>
      </c>
      <c r="C722" s="2528">
        <f>'Part VI-Pro Forma'!C15</f>
        <v>2857366.8000000003</v>
      </c>
      <c r="D722" s="2528">
        <f>'Part VI-Pro Forma'!D15</f>
        <v>2914514.1359999999</v>
      </c>
      <c r="E722" s="2528">
        <f>'Part VI-Pro Forma'!E15</f>
        <v>2972804.41872</v>
      </c>
      <c r="F722" s="2528">
        <f>'Part VI-Pro Forma'!F15</f>
        <v>3032260.5070944</v>
      </c>
      <c r="G722" s="2528">
        <f>'Part VI-Pro Forma'!G15</f>
        <v>3092905.7172362879</v>
      </c>
      <c r="H722" s="2528">
        <f>'Part VI-Pro Forma'!H15</f>
        <v>3154763.8315810137</v>
      </c>
      <c r="I722" s="2528">
        <f>'Part VI-Pro Forma'!I15</f>
        <v>3217859.1082126335</v>
      </c>
      <c r="J722" s="2528">
        <f>'Part VI-Pro Forma'!J15</f>
        <v>3282216.2903768867</v>
      </c>
      <c r="K722" s="2528">
        <f>'Part VI-Pro Forma'!K15</f>
        <v>3347860.6161844241</v>
      </c>
    </row>
    <row r="723" spans="1:11">
      <c r="A723" s="357" t="s">
        <v>952</v>
      </c>
      <c r="B723" s="2528">
        <f>'Part VI-Pro Forma'!B16</f>
        <v>56026.8</v>
      </c>
      <c r="C723" s="2528">
        <f>'Part VI-Pro Forma'!C16</f>
        <v>57147.336000000003</v>
      </c>
      <c r="D723" s="2528">
        <f>'Part VI-Pro Forma'!D16</f>
        <v>58290.282720000003</v>
      </c>
      <c r="E723" s="2528">
        <f>'Part VI-Pro Forma'!E16</f>
        <v>59456.088374400002</v>
      </c>
      <c r="F723" s="2528">
        <f>'Part VI-Pro Forma'!F16</f>
        <v>60645.210141888005</v>
      </c>
      <c r="G723" s="2528">
        <f>'Part VI-Pro Forma'!G16</f>
        <v>61858.114344725764</v>
      </c>
      <c r="H723" s="2528">
        <f>'Part VI-Pro Forma'!H16</f>
        <v>63095.276631620283</v>
      </c>
      <c r="I723" s="2528">
        <f>'Part VI-Pro Forma'!I16</f>
        <v>64357.182164252677</v>
      </c>
      <c r="J723" s="2528">
        <f>'Part VI-Pro Forma'!J16</f>
        <v>65644.325807537738</v>
      </c>
      <c r="K723" s="2528">
        <f>'Part VI-Pro Forma'!K16</f>
        <v>66957.212323688495</v>
      </c>
    </row>
    <row r="724" spans="1:11">
      <c r="A724" s="357" t="s">
        <v>2215</v>
      </c>
      <c r="B724" s="2528">
        <f>'Part VI-Pro Forma'!B17</f>
        <v>-200015.67600000001</v>
      </c>
      <c r="C724" s="2528">
        <f>'Part VI-Pro Forma'!C17</f>
        <v>-204015.98952000006</v>
      </c>
      <c r="D724" s="2528">
        <f>'Part VI-Pro Forma'!D17</f>
        <v>-208096.30931040001</v>
      </c>
      <c r="E724" s="2528">
        <f>'Part VI-Pro Forma'!E17</f>
        <v>-212258.23549660802</v>
      </c>
      <c r="F724" s="2528">
        <f>'Part VI-Pro Forma'!F17</f>
        <v>-216503.40020654019</v>
      </c>
      <c r="G724" s="2528">
        <f>'Part VI-Pro Forma'!G17</f>
        <v>-220833.46821067098</v>
      </c>
      <c r="H724" s="2528">
        <f>'Part VI-Pro Forma'!H17</f>
        <v>-225250.1375748844</v>
      </c>
      <c r="I724" s="2528">
        <f>'Part VI-Pro Forma'!I17</f>
        <v>-229755.14032638207</v>
      </c>
      <c r="J724" s="2528">
        <f>'Part VI-Pro Forma'!J17</f>
        <v>-234350.24313290973</v>
      </c>
      <c r="K724" s="2528">
        <f>'Part VI-Pro Forma'!K17</f>
        <v>-239037.24799556792</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2657351.1239999998</v>
      </c>
      <c r="C727" s="2528">
        <f>'Part VI-Pro Forma'!C20</f>
        <v>2710498.1464800006</v>
      </c>
      <c r="D727" s="2528">
        <f>'Part VI-Pro Forma'!D20</f>
        <v>2764708.1094096</v>
      </c>
      <c r="E727" s="2528">
        <f>'Part VI-Pro Forma'!E20</f>
        <v>2820002.2715977919</v>
      </c>
      <c r="F727" s="2528">
        <f>'Part VI-Pro Forma'!F20</f>
        <v>2876402.3170297476</v>
      </c>
      <c r="G727" s="2528">
        <f>'Part VI-Pro Forma'!G20</f>
        <v>2933930.3633703426</v>
      </c>
      <c r="H727" s="2528">
        <f>'Part VI-Pro Forma'!H20</f>
        <v>2992608.9706377494</v>
      </c>
      <c r="I727" s="2528">
        <f>'Part VI-Pro Forma'!I20</f>
        <v>3052461.1500505041</v>
      </c>
      <c r="J727" s="2528">
        <f>'Part VI-Pro Forma'!J20</f>
        <v>3113510.3730515148</v>
      </c>
      <c r="K727" s="2528">
        <f>'Part VI-Pro Forma'!K20</f>
        <v>3175780.5805125446</v>
      </c>
    </row>
    <row r="728" spans="1:11">
      <c r="A728" s="357" t="s">
        <v>572</v>
      </c>
      <c r="B728" s="2528">
        <f>'Part VI-Pro Forma'!B21</f>
        <v>-834650</v>
      </c>
      <c r="C728" s="2528">
        <f>'Part VI-Pro Forma'!C21</f>
        <v>-859689.5</v>
      </c>
      <c r="D728" s="2528">
        <f>'Part VI-Pro Forma'!D21</f>
        <v>-885480.18499999994</v>
      </c>
      <c r="E728" s="2528">
        <f>'Part VI-Pro Forma'!E21</f>
        <v>-912044.59054999996</v>
      </c>
      <c r="F728" s="2528">
        <f>'Part VI-Pro Forma'!F21</f>
        <v>-939405.92826649989</v>
      </c>
      <c r="G728" s="2528">
        <f>'Part VI-Pro Forma'!G21</f>
        <v>-967588.10611449485</v>
      </c>
      <c r="H728" s="2528">
        <f>'Part VI-Pro Forma'!H21</f>
        <v>-996615.74929792981</v>
      </c>
      <c r="I728" s="2528">
        <f>'Part VI-Pro Forma'!I21</f>
        <v>-1026514.2217768678</v>
      </c>
      <c r="J728" s="2528">
        <f>'Part VI-Pro Forma'!J21</f>
        <v>-1057309.6484301738</v>
      </c>
      <c r="K728" s="2528">
        <f>'Part VI-Pro Forma'!K21</f>
        <v>-1089028.9378830788</v>
      </c>
    </row>
    <row r="729" spans="1:11">
      <c r="A729" s="357" t="s">
        <v>1050</v>
      </c>
      <c r="B729" s="2528">
        <f>'Part VI-Pro Forma'!B22</f>
        <v>-132868</v>
      </c>
      <c r="C729" s="2528">
        <f>'Part VI-Pro Forma'!C22</f>
        <v>-136854</v>
      </c>
      <c r="D729" s="2528">
        <f>'Part VI-Pro Forma'!D22</f>
        <v>-140960</v>
      </c>
      <c r="E729" s="2528">
        <f>'Part VI-Pro Forma'!E22</f>
        <v>-145188</v>
      </c>
      <c r="F729" s="2528">
        <f>'Part VI-Pro Forma'!F22</f>
        <v>-149544</v>
      </c>
      <c r="G729" s="2528">
        <f>'Part VI-Pro Forma'!G22</f>
        <v>-154030</v>
      </c>
      <c r="H729" s="2528">
        <f>'Part VI-Pro Forma'!H22</f>
        <v>-158651</v>
      </c>
      <c r="I729" s="2528">
        <f>'Part VI-Pro Forma'!I22</f>
        <v>-163411</v>
      </c>
      <c r="J729" s="2528">
        <f>'Part VI-Pro Forma'!J22</f>
        <v>-168313</v>
      </c>
      <c r="K729" s="2528">
        <f>'Part VI-Pro Forma'!K22</f>
        <v>-173363</v>
      </c>
    </row>
    <row r="730" spans="1:11">
      <c r="A730" s="357" t="s">
        <v>1128</v>
      </c>
      <c r="B730" s="2528">
        <f>'Part VI-Pro Forma'!B23</f>
        <v>-52500</v>
      </c>
      <c r="C730" s="2528">
        <f>'Part VI-Pro Forma'!C23</f>
        <v>-54075</v>
      </c>
      <c r="D730" s="2528">
        <f>'Part VI-Pro Forma'!D23</f>
        <v>-55697.25</v>
      </c>
      <c r="E730" s="2528">
        <f>'Part VI-Pro Forma'!E23</f>
        <v>-57368.167500000003</v>
      </c>
      <c r="F730" s="2528">
        <f>'Part VI-Pro Forma'!F23</f>
        <v>-59089.212524999995</v>
      </c>
      <c r="G730" s="2528">
        <f>'Part VI-Pro Forma'!G23</f>
        <v>-60861.888900749989</v>
      </c>
      <c r="H730" s="2528">
        <f>'Part VI-Pro Forma'!H23</f>
        <v>-62687.745567772494</v>
      </c>
      <c r="I730" s="2528">
        <f>'Part VI-Pro Forma'!I23</f>
        <v>-64568.377934805671</v>
      </c>
      <c r="J730" s="2528">
        <f>'Part VI-Pro Forma'!J23</f>
        <v>-66505.42927284984</v>
      </c>
      <c r="K730" s="2528">
        <f>'Part VI-Pro Forma'!K23</f>
        <v>-68500.592151035336</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1637333.1239999998</v>
      </c>
      <c r="C732" s="2528">
        <f t="shared" ref="C732:J732" si="377">SUM(C727:C731)</f>
        <v>1659879.6464800006</v>
      </c>
      <c r="D732" s="2528">
        <f t="shared" si="377"/>
        <v>1682570.6744096</v>
      </c>
      <c r="E732" s="2528">
        <f t="shared" si="377"/>
        <v>1705401.5135477921</v>
      </c>
      <c r="F732" s="2528">
        <f t="shared" si="377"/>
        <v>1728363.1762382477</v>
      </c>
      <c r="G732" s="2528">
        <f t="shared" si="377"/>
        <v>1751450.3683550977</v>
      </c>
      <c r="H732" s="2528">
        <f t="shared" si="377"/>
        <v>1774654.4757720469</v>
      </c>
      <c r="I732" s="2528">
        <f t="shared" si="377"/>
        <v>1797967.5503388308</v>
      </c>
      <c r="J732" s="2528">
        <f t="shared" si="377"/>
        <v>1821382.2953484913</v>
      </c>
      <c r="K732" s="2528">
        <f>SUM(K727:K731)</f>
        <v>1844888.0504784305</v>
      </c>
    </row>
    <row r="733" spans="1:11">
      <c r="A733" s="357" t="s">
        <v>1486</v>
      </c>
      <c r="B733" s="2528">
        <f>'Part VI-Pro Forma'!B26</f>
        <v>-1344571.9668434197</v>
      </c>
      <c r="C733" s="2528">
        <f>'Part VI-Pro Forma'!C26</f>
        <v>-1344571.9668434197</v>
      </c>
      <c r="D733" s="2528">
        <f>'Part VI-Pro Forma'!D26</f>
        <v>-1344571.9668434197</v>
      </c>
      <c r="E733" s="2528">
        <f>'Part VI-Pro Forma'!E26</f>
        <v>-1344571.9668434197</v>
      </c>
      <c r="F733" s="2528">
        <f>'Part VI-Pro Forma'!F26</f>
        <v>-1344571.9668434197</v>
      </c>
      <c r="G733" s="2528">
        <f>'Part VI-Pro Forma'!G26</f>
        <v>-1344571.9668434197</v>
      </c>
      <c r="H733" s="2528">
        <f>'Part VI-Pro Forma'!H26</f>
        <v>-1344571.9668434197</v>
      </c>
      <c r="I733" s="2528">
        <f>'Part VI-Pro Forma'!I26</f>
        <v>-1344571.9668434197</v>
      </c>
      <c r="J733" s="2528">
        <f>'Part VI-Pro Forma'!J26</f>
        <v>-1344571.9668434197</v>
      </c>
      <c r="K733" s="2528">
        <f>'Part VI-Pro Forma'!K26</f>
        <v>-1344571.9668434197</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-5150</v>
      </c>
      <c r="D738" s="2528">
        <f>'Part VI-Pro Forma'!D31</f>
        <v>-5304.5</v>
      </c>
      <c r="E738" s="2528">
        <f>'Part VI-Pro Forma'!E31</f>
        <v>-5463.6350000000002</v>
      </c>
      <c r="F738" s="2528">
        <f>'Part VI-Pro Forma'!F31</f>
        <v>-5627.5440500000004</v>
      </c>
      <c r="G738" s="2528">
        <f>'Part VI-Pro Forma'!G31</f>
        <v>-5796.3703715000001</v>
      </c>
      <c r="H738" s="2528">
        <f>'Part VI-Pro Forma'!H31</f>
        <v>-5970.2614826449999</v>
      </c>
      <c r="I738" s="2528">
        <f>'Part VI-Pro Forma'!I31</f>
        <v>-6149.3693271243501</v>
      </c>
      <c r="J738" s="2528">
        <f>'Part VI-Pro Forma'!J31</f>
        <v>-6333.8504069380806</v>
      </c>
      <c r="K738" s="2528">
        <f>'Part VI-Pro Forma'!K31</f>
        <v>-6523.865919146223</v>
      </c>
    </row>
    <row r="739" spans="1:11">
      <c r="A739" s="357" t="s">
        <v>3361</v>
      </c>
      <c r="B739" s="2528">
        <f>'Part VI-Pro Forma'!B32</f>
        <v>-287761</v>
      </c>
      <c r="C739" s="2528">
        <f>'Part VI-Pro Forma'!C32</f>
        <v>-310158</v>
      </c>
      <c r="D739" s="2528">
        <f>'Part VI-Pro Forma'!D32</f>
        <v>-332694</v>
      </c>
      <c r="E739" s="2528">
        <f>'Part VI-Pro Forma'!E32</f>
        <v>-355366</v>
      </c>
      <c r="F739" s="2528">
        <f>'Part VI-Pro Forma'!F32</f>
        <v>-136136</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0.15715658012777567</v>
      </c>
      <c r="C740" s="2528">
        <f t="shared" si="378"/>
        <v>-0.32036341913044453</v>
      </c>
      <c r="D740" s="2528">
        <f t="shared" si="378"/>
        <v>0.20756618026643991</v>
      </c>
      <c r="E740" s="2528">
        <f t="shared" si="378"/>
        <v>-8.8295627618208528E-2</v>
      </c>
      <c r="F740" s="2528">
        <f t="shared" si="378"/>
        <v>242027.66534482792</v>
      </c>
      <c r="G740" s="2528">
        <f t="shared" si="378"/>
        <v>401082.03114017803</v>
      </c>
      <c r="H740" s="2528">
        <f t="shared" si="378"/>
        <v>424112.24744598224</v>
      </c>
      <c r="I740" s="2528">
        <f t="shared" si="378"/>
        <v>447246.21416828677</v>
      </c>
      <c r="J740" s="2528">
        <f t="shared" si="378"/>
        <v>470476.47809813352</v>
      </c>
      <c r="K740" s="2528">
        <f t="shared" si="378"/>
        <v>493792.21771586454</v>
      </c>
    </row>
    <row r="741" spans="1:11">
      <c r="A741" s="357" t="str">
        <f>IF('Part II-Sources of Funds'!$E$40 = "Neither", "", "DCR Mortgage A")</f>
        <v>DCR Mortgage A</v>
      </c>
      <c r="B741" s="2529">
        <f t="shared" ref="B741:K741" si="379">IF(B733=0,"",-B732/B733)</f>
        <v>1.2177355800774874</v>
      </c>
      <c r="C741" s="2529">
        <f t="shared" si="379"/>
        <v>1.2345041302451158</v>
      </c>
      <c r="D741" s="2529">
        <f t="shared" si="379"/>
        <v>1.2513801536110276</v>
      </c>
      <c r="E741" s="2529">
        <f t="shared" si="379"/>
        <v>1.2683601589221534</v>
      </c>
      <c r="F741" s="2529">
        <f t="shared" si="379"/>
        <v>1.2854374617788844</v>
      </c>
      <c r="G741" s="2529">
        <f t="shared" si="379"/>
        <v>1.3026081247751169</v>
      </c>
      <c r="H741" s="2529">
        <f t="shared" si="379"/>
        <v>1.3198657413171488</v>
      </c>
      <c r="I741" s="2529">
        <f t="shared" si="379"/>
        <v>1.3372044001183692</v>
      </c>
      <c r="J741" s="2529">
        <f t="shared" si="379"/>
        <v>1.3546186743908204</v>
      </c>
      <c r="K741" s="2529">
        <f t="shared" si="379"/>
        <v>1.3721006357209546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1.2177355800774874</v>
      </c>
      <c r="C745" s="2529">
        <f t="shared" si="383"/>
        <v>1.2345041302451158</v>
      </c>
      <c r="D745" s="2529">
        <f t="shared" si="383"/>
        <v>1.2513801536110276</v>
      </c>
      <c r="E745" s="2529">
        <f t="shared" si="383"/>
        <v>1.2683601589221534</v>
      </c>
      <c r="F745" s="2529">
        <f t="shared" si="383"/>
        <v>1.2854374617788844</v>
      </c>
      <c r="G745" s="2529">
        <f t="shared" si="383"/>
        <v>1.3026081247751169</v>
      </c>
      <c r="H745" s="2529">
        <f t="shared" si="383"/>
        <v>1.3198657413171488</v>
      </c>
      <c r="I745" s="2529">
        <f t="shared" si="383"/>
        <v>1.3372044001183692</v>
      </c>
      <c r="J745" s="2529">
        <f t="shared" si="383"/>
        <v>1.3546186743908204</v>
      </c>
      <c r="K745" s="2529">
        <f t="shared" si="383"/>
        <v>1.3721006357209546</v>
      </c>
    </row>
    <row r="746" spans="1:11">
      <c r="A746" s="357" t="s">
        <v>718</v>
      </c>
      <c r="B746" s="2530">
        <f t="shared" ref="B746:K746" si="384">IF(OR(B729="Choose mgt fee",B729="Choose One!"),"",(B722+B723+B724+B725+B726) / -(B728+B729+B730))</f>
        <v>2.6052002258783666</v>
      </c>
      <c r="C746" s="2530">
        <f t="shared" si="384"/>
        <v>2.5799071180261919</v>
      </c>
      <c r="D746" s="2530">
        <f t="shared" si="384"/>
        <v>2.5548585789471372</v>
      </c>
      <c r="E746" s="2530">
        <f t="shared" si="384"/>
        <v>2.5300559426600442</v>
      </c>
      <c r="F746" s="2530">
        <f t="shared" si="384"/>
        <v>2.505491507063645</v>
      </c>
      <c r="G746" s="2530">
        <f t="shared" si="384"/>
        <v>2.4811670182483869</v>
      </c>
      <c r="H746" s="2530">
        <f t="shared" si="384"/>
        <v>2.457077816333137</v>
      </c>
      <c r="I746" s="2530">
        <f t="shared" si="384"/>
        <v>2.4332217802881311</v>
      </c>
      <c r="J746" s="2530">
        <f t="shared" si="384"/>
        <v>2.4095988832518112</v>
      </c>
      <c r="K746" s="2530">
        <f t="shared" si="384"/>
        <v>2.3862036256459724</v>
      </c>
    </row>
    <row r="747" spans="1:11">
      <c r="A747" s="357" t="s">
        <v>2404</v>
      </c>
      <c r="B747" s="2528">
        <f>'Part VI-Pro Forma'!B40</f>
        <v>19501753.623297855</v>
      </c>
      <c r="C747" s="2528">
        <f>'Part VI-Pro Forma'!C40</f>
        <v>19382384.451925267</v>
      </c>
      <c r="D747" s="2528">
        <f>'Part VI-Pro Forma'!D40</f>
        <v>19255274.029964235</v>
      </c>
      <c r="E747" s="2528">
        <f>'Part VI-Pro Forma'!E40</f>
        <v>19119920.326949235</v>
      </c>
      <c r="F747" s="2528">
        <f>'Part VI-Pro Forma'!F40</f>
        <v>18975788.755066883</v>
      </c>
      <c r="G747" s="2528">
        <f>'Part VI-Pro Forma'!G40</f>
        <v>18822310.057768326</v>
      </c>
      <c r="H747" s="2528">
        <f>'Part VI-Pro Forma'!H40</f>
        <v>18658878.061455339</v>
      </c>
      <c r="I747" s="2528">
        <f>'Part VI-Pro Forma'!I40</f>
        <v>18484847.281360235</v>
      </c>
      <c r="J747" s="2528">
        <f>'Part VI-Pro Forma'!J40</f>
        <v>18299530.372163896</v>
      </c>
      <c r="K747" s="2528">
        <f>'Part VI-Pro Forma'!K40</f>
        <v>18102195.413282957</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1134353.5</v>
      </c>
      <c r="C751" s="2528">
        <f>'Part VI-Pro Forma'!C44</f>
        <v>824195.5</v>
      </c>
      <c r="D751" s="2528">
        <f>'Part VI-Pro Forma'!D44</f>
        <v>491501.5</v>
      </c>
      <c r="E751" s="2528">
        <f>'Part VI-Pro Forma'!E44</f>
        <v>136135.5</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2214</v>
      </c>
      <c r="B754" s="2528">
        <f>'Part VI-Pro Forma'!B47</f>
        <v>3414817.828508113</v>
      </c>
      <c r="C754" s="2528">
        <f>'Part VI-Pro Forma'!C47</f>
        <v>3483114.1850782745</v>
      </c>
      <c r="D754" s="2528">
        <f>'Part VI-Pro Forma'!D47</f>
        <v>3552776.4687798405</v>
      </c>
      <c r="E754" s="2528">
        <f>'Part VI-Pro Forma'!E47</f>
        <v>3623831.9981554369</v>
      </c>
      <c r="F754" s="2528">
        <f>'Part VI-Pro Forma'!F47</f>
        <v>3696308.6381185465</v>
      </c>
      <c r="G754" s="2528">
        <f>'Part VI-Pro Forma'!G47</f>
        <v>3770234.8108809162</v>
      </c>
      <c r="H754" s="2528">
        <f>'Part VI-Pro Forma'!H47</f>
        <v>3845639.5070985351</v>
      </c>
      <c r="I754" s="2528">
        <f>'Part VI-Pro Forma'!I47</f>
        <v>3922552.2972405064</v>
      </c>
      <c r="J754" s="2528">
        <f>'Part VI-Pro Forma'!J47</f>
        <v>4001003.3431853158</v>
      </c>
      <c r="K754" s="2528">
        <f>'Part VI-Pro Forma'!K47</f>
        <v>4081023.4100490222</v>
      </c>
    </row>
    <row r="755" spans="1:11">
      <c r="A755" s="357" t="s">
        <v>952</v>
      </c>
      <c r="B755" s="2528">
        <f>'Part VI-Pro Forma'!B48</f>
        <v>68296.356570162257</v>
      </c>
      <c r="C755" s="2528">
        <f>'Part VI-Pro Forma'!C48</f>
        <v>69662.283701565495</v>
      </c>
      <c r="D755" s="2528">
        <f>'Part VI-Pro Forma'!D48</f>
        <v>71055.529375596816</v>
      </c>
      <c r="E755" s="2528">
        <f>'Part VI-Pro Forma'!E48</f>
        <v>72476.639963108741</v>
      </c>
      <c r="F755" s="2528">
        <f>'Part VI-Pro Forma'!F48</f>
        <v>73926.17276237093</v>
      </c>
      <c r="G755" s="2528">
        <f>'Part VI-Pro Forma'!G48</f>
        <v>75404.69621761833</v>
      </c>
      <c r="H755" s="2528">
        <f>'Part VI-Pro Forma'!H48</f>
        <v>76912.790141970705</v>
      </c>
      <c r="I755" s="2528">
        <f>'Part VI-Pro Forma'!I48</f>
        <v>78451.045944810132</v>
      </c>
      <c r="J755" s="2528">
        <f>'Part VI-Pro Forma'!J48</f>
        <v>80020.066863706321</v>
      </c>
      <c r="K755" s="2528">
        <f>'Part VI-Pro Forma'!K48</f>
        <v>81620.468200980438</v>
      </c>
    </row>
    <row r="756" spans="1:11">
      <c r="A756" s="357" t="s">
        <v>2215</v>
      </c>
      <c r="B756" s="2528">
        <f>'Part VI-Pro Forma'!B49</f>
        <v>-243817.99295547931</v>
      </c>
      <c r="C756" s="2528">
        <f>'Part VI-Pro Forma'!C49</f>
        <v>-248694.35281458881</v>
      </c>
      <c r="D756" s="2528">
        <f>'Part VI-Pro Forma'!D49</f>
        <v>-253668.23987088064</v>
      </c>
      <c r="E756" s="2528">
        <f>'Part VI-Pro Forma'!E49</f>
        <v>-258741.60466829821</v>
      </c>
      <c r="F756" s="2528">
        <f>'Part VI-Pro Forma'!F49</f>
        <v>-263916.43676166428</v>
      </c>
      <c r="G756" s="2528">
        <f>'Part VI-Pro Forma'!G49</f>
        <v>-269194.76549689745</v>
      </c>
      <c r="H756" s="2528">
        <f>'Part VI-Pro Forma'!H49</f>
        <v>-274578.66080683545</v>
      </c>
      <c r="I756" s="2528">
        <f>'Part VI-Pro Forma'!I49</f>
        <v>-280070.23402297217</v>
      </c>
      <c r="J756" s="2528">
        <f>'Part VI-Pro Forma'!J49</f>
        <v>-285671.63870343158</v>
      </c>
      <c r="K756" s="2528">
        <f>'Part VI-Pro Forma'!K49</f>
        <v>-291385.0714775002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3239296.1921227961</v>
      </c>
      <c r="C759" s="2528">
        <f>'Part VI-Pro Forma'!C52</f>
        <v>3304082.1159652513</v>
      </c>
      <c r="D759" s="2528">
        <f>'Part VI-Pro Forma'!D52</f>
        <v>3370163.7582845567</v>
      </c>
      <c r="E759" s="2528">
        <f>'Part VI-Pro Forma'!E52</f>
        <v>3437567.0334502473</v>
      </c>
      <c r="F759" s="2528">
        <f>'Part VI-Pro Forma'!F52</f>
        <v>3506318.3741192534</v>
      </c>
      <c r="G759" s="2528">
        <f>'Part VI-Pro Forma'!G52</f>
        <v>3576444.7416016371</v>
      </c>
      <c r="H759" s="2528">
        <f>'Part VI-Pro Forma'!H52</f>
        <v>3647973.6364336703</v>
      </c>
      <c r="I759" s="2528">
        <f>'Part VI-Pro Forma'!I52</f>
        <v>3720933.1091623441</v>
      </c>
      <c r="J759" s="2528">
        <f>'Part VI-Pro Forma'!J52</f>
        <v>3795351.7713455907</v>
      </c>
      <c r="K759" s="2528">
        <f>'Part VI-Pro Forma'!K52</f>
        <v>3871258.8067725021</v>
      </c>
    </row>
    <row r="760" spans="1:11">
      <c r="A760" s="357" t="s">
        <v>572</v>
      </c>
      <c r="B760" s="2528">
        <f>'Part VI-Pro Forma'!B53</f>
        <v>-1121699.8060195711</v>
      </c>
      <c r="C760" s="2528">
        <f>'Part VI-Pro Forma'!C53</f>
        <v>-1155350.8002001585</v>
      </c>
      <c r="D760" s="2528">
        <f>'Part VI-Pro Forma'!D53</f>
        <v>-1190011.3242061629</v>
      </c>
      <c r="E760" s="2528">
        <f>'Part VI-Pro Forma'!E53</f>
        <v>-1225711.6639323479</v>
      </c>
      <c r="F760" s="2528">
        <f>'Part VI-Pro Forma'!F53</f>
        <v>-1262483.0138503185</v>
      </c>
      <c r="G760" s="2528">
        <f>'Part VI-Pro Forma'!G53</f>
        <v>-1300357.5042658281</v>
      </c>
      <c r="H760" s="2528">
        <f>'Part VI-Pro Forma'!H53</f>
        <v>-1339368.2293938026</v>
      </c>
      <c r="I760" s="2528">
        <f>'Part VI-Pro Forma'!I53</f>
        <v>-1379549.2762756166</v>
      </c>
      <c r="J760" s="2528">
        <f>'Part VI-Pro Forma'!J53</f>
        <v>-1420935.7545638853</v>
      </c>
      <c r="K760" s="2528">
        <f>'Part VI-Pro Forma'!K53</f>
        <v>-1463563.8272008018</v>
      </c>
    </row>
    <row r="761" spans="1:11">
      <c r="A761" s="357" t="s">
        <v>1050</v>
      </c>
      <c r="B761" s="2528">
        <f>'Part VI-Pro Forma'!B54</f>
        <v>-178563</v>
      </c>
      <c r="C761" s="2528">
        <f>'Part VI-Pro Forma'!C54</f>
        <v>-183920</v>
      </c>
      <c r="D761" s="2528">
        <f>'Part VI-Pro Forma'!D54</f>
        <v>-189438</v>
      </c>
      <c r="E761" s="2528">
        <f>'Part VI-Pro Forma'!E54</f>
        <v>-195121</v>
      </c>
      <c r="F761" s="2528">
        <f>'Part VI-Pro Forma'!F54</f>
        <v>-200975</v>
      </c>
      <c r="G761" s="2528">
        <f>'Part VI-Pro Forma'!G54</f>
        <v>-207004</v>
      </c>
      <c r="H761" s="2528">
        <f>'Part VI-Pro Forma'!H54</f>
        <v>-213214</v>
      </c>
      <c r="I761" s="2528">
        <f>'Part VI-Pro Forma'!I54</f>
        <v>-219611</v>
      </c>
      <c r="J761" s="2528">
        <f>'Part VI-Pro Forma'!J54</f>
        <v>-226199</v>
      </c>
      <c r="K761" s="2528">
        <f>'Part VI-Pro Forma'!K54</f>
        <v>-232985</v>
      </c>
    </row>
    <row r="762" spans="1:11">
      <c r="A762" s="357" t="s">
        <v>1128</v>
      </c>
      <c r="B762" s="2528">
        <f>'Part VI-Pro Forma'!B55</f>
        <v>-70555.609915566398</v>
      </c>
      <c r="C762" s="2528">
        <f>'Part VI-Pro Forma'!C55</f>
        <v>-72672.278213033394</v>
      </c>
      <c r="D762" s="2528">
        <f>'Part VI-Pro Forma'!D55</f>
        <v>-74852.446559424381</v>
      </c>
      <c r="E762" s="2528">
        <f>'Part VI-Pro Forma'!E55</f>
        <v>-77098.019956207107</v>
      </c>
      <c r="F762" s="2528">
        <f>'Part VI-Pro Forma'!F55</f>
        <v>-79410.960554893332</v>
      </c>
      <c r="G762" s="2528">
        <f>'Part VI-Pro Forma'!G55</f>
        <v>-81793.28937154013</v>
      </c>
      <c r="H762" s="2528">
        <f>'Part VI-Pro Forma'!H55</f>
        <v>-84247.088052686318</v>
      </c>
      <c r="I762" s="2528">
        <f>'Part VI-Pro Forma'!I55</f>
        <v>-86774.500694266913</v>
      </c>
      <c r="J762" s="2528">
        <f>'Part VI-Pro Forma'!J55</f>
        <v>-89377.735715094925</v>
      </c>
      <c r="K762" s="2528">
        <f>'Part VI-Pro Forma'!K55</f>
        <v>-92059.067786547763</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1868477.7761876585</v>
      </c>
      <c r="C764" s="2528">
        <f t="shared" si="386"/>
        <v>1892139.0375520596</v>
      </c>
      <c r="D764" s="2528">
        <f t="shared" si="386"/>
        <v>1915861.9875189692</v>
      </c>
      <c r="E764" s="2528">
        <f t="shared" si="386"/>
        <v>1939636.349561692</v>
      </c>
      <c r="F764" s="2528">
        <f t="shared" si="386"/>
        <v>1963449.3997140413</v>
      </c>
      <c r="G764" s="2528">
        <f t="shared" si="386"/>
        <v>1987289.947964269</v>
      </c>
      <c r="H764" s="2528">
        <f t="shared" si="386"/>
        <v>2011144.3189871814</v>
      </c>
      <c r="I764" s="2528">
        <f t="shared" si="386"/>
        <v>2034998.3321924605</v>
      </c>
      <c r="J764" s="2528">
        <f t="shared" si="386"/>
        <v>2058839.2810666105</v>
      </c>
      <c r="K764" s="2528">
        <f t="shared" si="386"/>
        <v>2082650.9117851523</v>
      </c>
    </row>
    <row r="765" spans="1:11">
      <c r="A765" s="357" t="str">
        <f>$A733</f>
        <v>Mortgage A</v>
      </c>
      <c r="B765" s="2528">
        <f>'Part VI-Pro Forma'!B58</f>
        <v>-1344571.9668434197</v>
      </c>
      <c r="C765" s="2528">
        <f>'Part VI-Pro Forma'!C58</f>
        <v>-1344571.9668434197</v>
      </c>
      <c r="D765" s="2528">
        <f>'Part VI-Pro Forma'!D58</f>
        <v>-1344571.9668434197</v>
      </c>
      <c r="E765" s="2528">
        <f>'Part VI-Pro Forma'!E58</f>
        <v>-1344571.9668434197</v>
      </c>
      <c r="F765" s="2528">
        <f>'Part VI-Pro Forma'!F58</f>
        <v>-1344571.9668434197</v>
      </c>
      <c r="G765" s="2528">
        <f>'Part VI-Pro Forma'!G58</f>
        <v>-1344571.9668434197</v>
      </c>
      <c r="H765" s="2528">
        <f>'Part VI-Pro Forma'!H58</f>
        <v>-1344571.9668434197</v>
      </c>
      <c r="I765" s="2528">
        <f>'Part VI-Pro Forma'!I58</f>
        <v>-1344571.9668434197</v>
      </c>
      <c r="J765" s="2528">
        <f>'Part VI-Pro Forma'!J58</f>
        <v>-1344571.9668434197</v>
      </c>
      <c r="K765" s="2528">
        <f>'Part VI-Pro Forma'!K58</f>
        <v>-1344571.9668434197</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-6719.5818967206096</v>
      </c>
      <c r="C770" s="2528">
        <f>'Part VI-Pro Forma'!C63</f>
        <v>-6921.1693536222283</v>
      </c>
      <c r="D770" s="2528">
        <f>'Part VI-Pro Forma'!D63</f>
        <v>-7128.8044342308949</v>
      </c>
      <c r="E770" s="2528">
        <f>'Part VI-Pro Forma'!E63</f>
        <v>-7342.6685672578224</v>
      </c>
      <c r="F770" s="2528">
        <f>'Part VI-Pro Forma'!F63</f>
        <v>-7562.9486242755574</v>
      </c>
      <c r="G770" s="2528">
        <f>'Part VI-Pro Forma'!G63</f>
        <v>0</v>
      </c>
      <c r="H770" s="2528">
        <f>'Part VI-Pro Forma'!H63</f>
        <v>0</v>
      </c>
      <c r="I770" s="2528">
        <f>'Part VI-Pro Forma'!I63</f>
        <v>0</v>
      </c>
      <c r="J770" s="2528">
        <f>'Part VI-Pro Forma'!J63</f>
        <v>0</v>
      </c>
      <c r="K770" s="2528">
        <f>'Part VI-Pro Forma'!K63</f>
        <v>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517186.22744751821</v>
      </c>
      <c r="C772" s="2528">
        <f t="shared" si="387"/>
        <v>540645.90135501768</v>
      </c>
      <c r="D772" s="2528">
        <f t="shared" si="387"/>
        <v>564161.21624131862</v>
      </c>
      <c r="E772" s="2528">
        <f t="shared" si="387"/>
        <v>587721.71415101446</v>
      </c>
      <c r="F772" s="2528">
        <f t="shared" si="387"/>
        <v>611314.48424634605</v>
      </c>
      <c r="G772" s="2528">
        <f t="shared" si="387"/>
        <v>642717.98112084926</v>
      </c>
      <c r="H772" s="2528">
        <f t="shared" si="387"/>
        <v>666572.3521437617</v>
      </c>
      <c r="I772" s="2528">
        <f t="shared" si="387"/>
        <v>690426.36534904083</v>
      </c>
      <c r="J772" s="2528">
        <f t="shared" si="387"/>
        <v>714267.31422319077</v>
      </c>
      <c r="K772" s="2528">
        <f t="shared" si="387"/>
        <v>738078.94494173257</v>
      </c>
    </row>
    <row r="773" spans="1:11">
      <c r="A773" s="357" t="str">
        <f>$A741</f>
        <v>DCR Mortgage A</v>
      </c>
      <c r="B773" s="2529">
        <f t="shared" ref="B773:K773" si="388">IF(B765=0,"",-B764/B765)</f>
        <v>1.3896450485831449</v>
      </c>
      <c r="C773" s="2529">
        <f t="shared" si="388"/>
        <v>1.4072426647374883</v>
      </c>
      <c r="D773" s="2529">
        <f t="shared" si="388"/>
        <v>1.4248861606245866</v>
      </c>
      <c r="E773" s="2529">
        <f t="shared" si="388"/>
        <v>1.4425678932718442</v>
      </c>
      <c r="F773" s="2529">
        <f t="shared" si="388"/>
        <v>1.4602783994697788</v>
      </c>
      <c r="G773" s="2529">
        <f t="shared" si="388"/>
        <v>1.4780093568585431</v>
      </c>
      <c r="H773" s="2529">
        <f t="shared" si="388"/>
        <v>1.4957505946733654</v>
      </c>
      <c r="I773" s="2529">
        <f t="shared" si="388"/>
        <v>1.5134915663680824</v>
      </c>
      <c r="J773" s="2529">
        <f t="shared" si="388"/>
        <v>1.5312228217133206</v>
      </c>
      <c r="K773" s="2529">
        <f t="shared" si="388"/>
        <v>1.5489322722341752</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1.3896450485831449</v>
      </c>
      <c r="C777" s="2529">
        <f t="shared" si="392"/>
        <v>1.4072426647374883</v>
      </c>
      <c r="D777" s="2529">
        <f t="shared" si="392"/>
        <v>1.4248861606245866</v>
      </c>
      <c r="E777" s="2529">
        <f t="shared" si="392"/>
        <v>1.4425678932718442</v>
      </c>
      <c r="F777" s="2529">
        <f t="shared" si="392"/>
        <v>1.4602783994697788</v>
      </c>
      <c r="G777" s="2529">
        <f t="shared" si="392"/>
        <v>1.4780093568585431</v>
      </c>
      <c r="H777" s="2529">
        <f t="shared" si="392"/>
        <v>1.4957505946733654</v>
      </c>
      <c r="I777" s="2529">
        <f t="shared" si="392"/>
        <v>1.5134915663680824</v>
      </c>
      <c r="J777" s="2529">
        <f t="shared" si="392"/>
        <v>1.5312228217133206</v>
      </c>
      <c r="K777" s="2529">
        <f t="shared" si="392"/>
        <v>1.5489322722341752</v>
      </c>
    </row>
    <row r="778" spans="1:11">
      <c r="A778" s="357" t="s">
        <v>718</v>
      </c>
      <c r="B778" s="2530">
        <f t="shared" ref="B778:K778" si="393">IF(OR(B761="Choose mgt fee",B761="Choose One!"),"",(B754+B755+B756+B757+B758) / -(B760+B761+B762))</f>
        <v>2.3630381343491291</v>
      </c>
      <c r="C778" s="2530">
        <f t="shared" si="393"/>
        <v>2.3400958342304663</v>
      </c>
      <c r="D778" s="2530">
        <f t="shared" si="393"/>
        <v>2.3173758198137953</v>
      </c>
      <c r="E778" s="2530">
        <f t="shared" si="393"/>
        <v>2.2948772399310835</v>
      </c>
      <c r="F778" s="2530">
        <f t="shared" si="393"/>
        <v>2.2725963333801347</v>
      </c>
      <c r="G778" s="2530">
        <f t="shared" si="393"/>
        <v>2.2505326453539629</v>
      </c>
      <c r="H778" s="2530">
        <f t="shared" si="393"/>
        <v>2.2286829772359145</v>
      </c>
      <c r="I778" s="2530">
        <f t="shared" si="393"/>
        <v>2.2070445191539059</v>
      </c>
      <c r="J778" s="2530">
        <f t="shared" si="393"/>
        <v>2.1856173178091258</v>
      </c>
      <c r="K778" s="2530">
        <f t="shared" si="393"/>
        <v>2.1643976958962727</v>
      </c>
    </row>
    <row r="779" spans="1:11">
      <c r="A779" s="357" t="s">
        <v>2404</v>
      </c>
      <c r="B779" s="2528">
        <f>'Part VI-Pro Forma'!B72</f>
        <v>17892063.018104251</v>
      </c>
      <c r="C779" s="2528">
        <f>'Part VI-Pro Forma'!C72</f>
        <v>17668303.255749218</v>
      </c>
      <c r="D779" s="2528">
        <f>'Part VI-Pro Forma'!D72</f>
        <v>17430032.373210609</v>
      </c>
      <c r="E779" s="2528">
        <f>'Part VI-Pro Forma'!E72</f>
        <v>17176309.304915395</v>
      </c>
      <c r="F779" s="2528">
        <f>'Part VI-Pro Forma'!F72</f>
        <v>16906131.955928128</v>
      </c>
      <c r="G779" s="2528">
        <f>'Part VI-Pro Forma'!G72</f>
        <v>16618433.244115077</v>
      </c>
      <c r="H779" s="2528">
        <f>'Part VI-Pro Forma'!H72</f>
        <v>16312076.885637414</v>
      </c>
      <c r="I779" s="2528">
        <f>'Part VI-Pro Forma'!I72</f>
        <v>15985852.907127969</v>
      </c>
      <c r="J779" s="2528">
        <f>'Part VI-Pro Forma'!J72</f>
        <v>15638472.866826668</v>
      </c>
      <c r="K779" s="2528">
        <f>'Part VI-Pro Forma'!K72</f>
        <v>15268564.765800184</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2214</v>
      </c>
      <c r="B786" s="2528">
        <f>'Part VI-Pro Forma'!B79</f>
        <v>4162643.8782500029</v>
      </c>
      <c r="C786" s="2528">
        <f>'Part VI-Pro Forma'!C79</f>
        <v>4245896.7558150021</v>
      </c>
      <c r="D786" s="2528">
        <f>'Part VI-Pro Forma'!D79</f>
        <v>4330814.6909313025</v>
      </c>
      <c r="E786" s="2528">
        <f>'Part VI-Pro Forma'!E79</f>
        <v>4417430.9847499281</v>
      </c>
      <c r="F786" s="2528">
        <f>'Part VI-Pro Forma'!F79</f>
        <v>4505779.6044449266</v>
      </c>
      <c r="G786" s="2528">
        <f>'Part VI-Pro Forma'!G79</f>
        <v>4595895.1965338252</v>
      </c>
      <c r="H786" s="2528">
        <f>'Part VI-Pro Forma'!H79</f>
        <v>4687813.1004645023</v>
      </c>
      <c r="I786" s="2528">
        <f>'Part VI-Pro Forma'!I79</f>
        <v>4781569.3624737915</v>
      </c>
      <c r="J786" s="2528">
        <f>'Part VI-Pro Forma'!J79</f>
        <v>4877200.7497232687</v>
      </c>
      <c r="K786" s="2528">
        <f>'Part VI-Pro Forma'!K79</f>
        <v>4974744.7647177335</v>
      </c>
    </row>
    <row r="787" spans="1:11">
      <c r="A787" s="357" t="s">
        <v>952</v>
      </c>
      <c r="B787" s="2528">
        <f>'Part VI-Pro Forma'!B80</f>
        <v>83252.877565000061</v>
      </c>
      <c r="C787" s="2528">
        <f>'Part VI-Pro Forma'!C80</f>
        <v>84917.935116300054</v>
      </c>
      <c r="D787" s="2528">
        <f>'Part VI-Pro Forma'!D80</f>
        <v>86616.293818626058</v>
      </c>
      <c r="E787" s="2528">
        <f>'Part VI-Pro Forma'!E80</f>
        <v>88348.619694998561</v>
      </c>
      <c r="F787" s="2528">
        <f>'Part VI-Pro Forma'!F80</f>
        <v>90115.592088898542</v>
      </c>
      <c r="G787" s="2528">
        <f>'Part VI-Pro Forma'!G80</f>
        <v>91917.903930676519</v>
      </c>
      <c r="H787" s="2528">
        <f>'Part VI-Pro Forma'!H80</f>
        <v>93756.262009290062</v>
      </c>
      <c r="I787" s="2528">
        <f>'Part VI-Pro Forma'!I80</f>
        <v>95631.38724947584</v>
      </c>
      <c r="J787" s="2528">
        <f>'Part VI-Pro Forma'!J80</f>
        <v>97544.014994465382</v>
      </c>
      <c r="K787" s="2528">
        <f>'Part VI-Pro Forma'!K80</f>
        <v>99494.895294354661</v>
      </c>
    </row>
    <row r="788" spans="1:11">
      <c r="A788" s="357" t="s">
        <v>2215</v>
      </c>
      <c r="B788" s="2528">
        <f>'Part VI-Pro Forma'!B81</f>
        <v>-297212.77290705027</v>
      </c>
      <c r="C788" s="2528">
        <f>'Part VI-Pro Forma'!C81</f>
        <v>-303157.02836519119</v>
      </c>
      <c r="D788" s="2528">
        <f>'Part VI-Pro Forma'!D81</f>
        <v>-309220.168932495</v>
      </c>
      <c r="E788" s="2528">
        <f>'Part VI-Pro Forma'!E81</f>
        <v>-315404.5723111449</v>
      </c>
      <c r="F788" s="2528">
        <f>'Part VI-Pro Forma'!F81</f>
        <v>-321712.66375736782</v>
      </c>
      <c r="G788" s="2528">
        <f>'Part VI-Pro Forma'!G81</f>
        <v>-328146.91703251511</v>
      </c>
      <c r="H788" s="2528">
        <f>'Part VI-Pro Forma'!H81</f>
        <v>-334709.85537316551</v>
      </c>
      <c r="I788" s="2528">
        <f>'Part VI-Pro Forma'!I81</f>
        <v>-341404.05248062877</v>
      </c>
      <c r="J788" s="2528">
        <f>'Part VI-Pro Forma'!J81</f>
        <v>-348232.13353024144</v>
      </c>
      <c r="K788" s="2528">
        <f>'Part VI-Pro Forma'!K81</f>
        <v>-355196.77620084619</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3948683.9829079527</v>
      </c>
      <c r="C791" s="2528">
        <f>'Part VI-Pro Forma'!C84</f>
        <v>4027657.6625661114</v>
      </c>
      <c r="D791" s="2528">
        <f>'Part VI-Pro Forma'!D84</f>
        <v>4108210.8158174329</v>
      </c>
      <c r="E791" s="2528">
        <f>'Part VI-Pro Forma'!E84</f>
        <v>4190375.0321337818</v>
      </c>
      <c r="F791" s="2528">
        <f>'Part VI-Pro Forma'!F84</f>
        <v>4274182.5327764573</v>
      </c>
      <c r="G791" s="2528">
        <f>'Part VI-Pro Forma'!G84</f>
        <v>4359666.1834319867</v>
      </c>
      <c r="H791" s="2528">
        <f>'Part VI-Pro Forma'!H84</f>
        <v>4446859.5071006268</v>
      </c>
      <c r="I791" s="2528">
        <f>'Part VI-Pro Forma'!I84</f>
        <v>4535796.697242639</v>
      </c>
      <c r="J791" s="2528">
        <f>'Part VI-Pro Forma'!J84</f>
        <v>4626512.631187493</v>
      </c>
      <c r="K791" s="2528">
        <f>'Part VI-Pro Forma'!K84</f>
        <v>4719042.8838112419</v>
      </c>
    </row>
    <row r="792" spans="1:11">
      <c r="A792" s="357" t="s">
        <v>572</v>
      </c>
      <c r="B792" s="2528">
        <f>'Part VI-Pro Forma'!B85</f>
        <v>-1507470.7420168258</v>
      </c>
      <c r="C792" s="2528">
        <f>'Part VI-Pro Forma'!C85</f>
        <v>-1552694.8642773305</v>
      </c>
      <c r="D792" s="2528">
        <f>'Part VI-Pro Forma'!D85</f>
        <v>-1599275.7102056504</v>
      </c>
      <c r="E792" s="2528">
        <f>'Part VI-Pro Forma'!E85</f>
        <v>-1647253.9815118201</v>
      </c>
      <c r="F792" s="2528">
        <f>'Part VI-Pro Forma'!F85</f>
        <v>-1696671.6009571743</v>
      </c>
      <c r="G792" s="2528">
        <f>'Part VI-Pro Forma'!G85</f>
        <v>-1747571.7489858896</v>
      </c>
      <c r="H792" s="2528">
        <f>'Part VI-Pro Forma'!H85</f>
        <v>-1799998.9014554666</v>
      </c>
      <c r="I792" s="2528">
        <f>'Part VI-Pro Forma'!I85</f>
        <v>-1853998.8684991302</v>
      </c>
      <c r="J792" s="2528">
        <f>'Part VI-Pro Forma'!J85</f>
        <v>-1909618.8345541041</v>
      </c>
      <c r="K792" s="2528">
        <f>'Part VI-Pro Forma'!K85</f>
        <v>-1966907.3995907272</v>
      </c>
    </row>
    <row r="793" spans="1:11">
      <c r="A793" s="357" t="s">
        <v>1050</v>
      </c>
      <c r="B793" s="2528">
        <f>'Part VI-Pro Forma'!B86</f>
        <v>-239974</v>
      </c>
      <c r="C793" s="2528">
        <f>'Part VI-Pro Forma'!C86</f>
        <v>-247174</v>
      </c>
      <c r="D793" s="2528">
        <f>'Part VI-Pro Forma'!D86</f>
        <v>-254589</v>
      </c>
      <c r="E793" s="2528">
        <f>'Part VI-Pro Forma'!E86</f>
        <v>-262226</v>
      </c>
      <c r="F793" s="2528">
        <f>'Part VI-Pro Forma'!F86</f>
        <v>-270093</v>
      </c>
      <c r="G793" s="2528">
        <f>'Part VI-Pro Forma'!G86</f>
        <v>-278196</v>
      </c>
      <c r="H793" s="2528">
        <f>'Part VI-Pro Forma'!H86</f>
        <v>-286542</v>
      </c>
      <c r="I793" s="2528">
        <f>'Part VI-Pro Forma'!I86</f>
        <v>-295138</v>
      </c>
      <c r="J793" s="2528">
        <f>'Part VI-Pro Forma'!J86</f>
        <v>-303992</v>
      </c>
      <c r="K793" s="2528">
        <f>'Part VI-Pro Forma'!K86</f>
        <v>-313112</v>
      </c>
    </row>
    <row r="794" spans="1:11">
      <c r="A794" s="357" t="s">
        <v>1128</v>
      </c>
      <c r="B794" s="2528">
        <f>'Part VI-Pro Forma'!B87</f>
        <v>-94820.839820144203</v>
      </c>
      <c r="C794" s="2528">
        <f>'Part VI-Pro Forma'!C87</f>
        <v>-97665.465014748508</v>
      </c>
      <c r="D794" s="2528">
        <f>'Part VI-Pro Forma'!D87</f>
        <v>-100595.42896519098</v>
      </c>
      <c r="E794" s="2528">
        <f>'Part VI-Pro Forma'!E87</f>
        <v>-103613.29183414672</v>
      </c>
      <c r="F794" s="2528">
        <f>'Part VI-Pro Forma'!F87</f>
        <v>-106721.69058917109</v>
      </c>
      <c r="G794" s="2528">
        <f>'Part VI-Pro Forma'!G87</f>
        <v>-109923.34130684623</v>
      </c>
      <c r="H794" s="2528">
        <f>'Part VI-Pro Forma'!H87</f>
        <v>-113221.04154605162</v>
      </c>
      <c r="I794" s="2528">
        <f>'Part VI-Pro Forma'!I87</f>
        <v>-116617.67279243316</v>
      </c>
      <c r="J794" s="2528">
        <f>'Part VI-Pro Forma'!J87</f>
        <v>-120116.20297620616</v>
      </c>
      <c r="K794" s="2528">
        <f>'Part VI-Pro Forma'!K87</f>
        <v>-123719.68906549233</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2106418.4010709827</v>
      </c>
      <c r="C796" s="2528">
        <f t="shared" si="395"/>
        <v>2130123.3332740329</v>
      </c>
      <c r="D796" s="2528">
        <f t="shared" si="395"/>
        <v>2153750.6766465916</v>
      </c>
      <c r="E796" s="2528">
        <f t="shared" si="395"/>
        <v>2177281.758787815</v>
      </c>
      <c r="F796" s="2528">
        <f t="shared" si="395"/>
        <v>2200696.241230112</v>
      </c>
      <c r="G796" s="2528">
        <f t="shared" si="395"/>
        <v>2223975.0931392512</v>
      </c>
      <c r="H796" s="2528">
        <f t="shared" si="395"/>
        <v>2247097.5640991088</v>
      </c>
      <c r="I796" s="2528">
        <f t="shared" si="395"/>
        <v>2270042.1559510757</v>
      </c>
      <c r="J796" s="2528">
        <f t="shared" si="395"/>
        <v>2292785.5936571825</v>
      </c>
      <c r="K796" s="2528">
        <f t="shared" si="395"/>
        <v>2315303.7951550228</v>
      </c>
    </row>
    <row r="797" spans="1:11">
      <c r="A797" s="357" t="str">
        <f>$A765</f>
        <v>Mortgage A</v>
      </c>
      <c r="B797" s="2528">
        <f>'Part VI-Pro Forma'!B90</f>
        <v>-1344571.9668434197</v>
      </c>
      <c r="C797" s="2528">
        <f>'Part VI-Pro Forma'!C90</f>
        <v>-1344571.9668434197</v>
      </c>
      <c r="D797" s="2528">
        <f>'Part VI-Pro Forma'!D90</f>
        <v>-1344571.9668434197</v>
      </c>
      <c r="E797" s="2528">
        <f>'Part VI-Pro Forma'!E90</f>
        <v>-1344571.9668434197</v>
      </c>
      <c r="F797" s="2528">
        <f>'Part VI-Pro Forma'!F90</f>
        <v>-1344571.9668434197</v>
      </c>
      <c r="G797" s="2528">
        <f>'Part VI-Pro Forma'!G90</f>
        <v>-1344571.9668434197</v>
      </c>
      <c r="H797" s="2528">
        <f>'Part VI-Pro Forma'!H90</f>
        <v>-1344571.9668434197</v>
      </c>
      <c r="I797" s="2528">
        <f>'Part VI-Pro Forma'!I90</f>
        <v>-1344571.9668434197</v>
      </c>
      <c r="J797" s="2528">
        <f>'Part VI-Pro Forma'!J90</f>
        <v>-1344571.9668434197</v>
      </c>
      <c r="K797" s="2528">
        <f>'Part VI-Pro Forma'!K90</f>
        <v>-1344571.9668434197</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761846.43422756298</v>
      </c>
      <c r="C803" s="2528">
        <f t="shared" si="396"/>
        <v>785551.36643061321</v>
      </c>
      <c r="D803" s="2528">
        <f t="shared" si="396"/>
        <v>809178.70980317192</v>
      </c>
      <c r="E803" s="2528">
        <f t="shared" si="396"/>
        <v>832709.79194439529</v>
      </c>
      <c r="F803" s="2528">
        <f t="shared" si="396"/>
        <v>856124.27438669233</v>
      </c>
      <c r="G803" s="2528">
        <f t="shared" si="396"/>
        <v>879403.12629583152</v>
      </c>
      <c r="H803" s="2528">
        <f t="shared" si="396"/>
        <v>902525.59725568909</v>
      </c>
      <c r="I803" s="2528">
        <f t="shared" si="396"/>
        <v>925470.18910765601</v>
      </c>
      <c r="J803" s="2528">
        <f t="shared" si="396"/>
        <v>948213.62681376282</v>
      </c>
      <c r="K803" s="2528">
        <f t="shared" si="396"/>
        <v>970731.82831160305</v>
      </c>
    </row>
    <row r="804" spans="1:11">
      <c r="A804" s="357" t="str">
        <f>$A773</f>
        <v>DCR Mortgage A</v>
      </c>
      <c r="B804" s="2529">
        <f t="shared" ref="B804:K804" si="397">IF(B797=0,"",-B796/B797)</f>
        <v>1.5666088933983278</v>
      </c>
      <c r="C804" s="2529">
        <f t="shared" si="397"/>
        <v>1.5842389889139297</v>
      </c>
      <c r="D804" s="2529">
        <f t="shared" si="397"/>
        <v>1.6018113792025859</v>
      </c>
      <c r="E804" s="2529">
        <f t="shared" si="397"/>
        <v>1.6193121770189096</v>
      </c>
      <c r="F804" s="2529">
        <f t="shared" si="397"/>
        <v>1.6367262560118443</v>
      </c>
      <c r="G804" s="2529">
        <f t="shared" si="397"/>
        <v>1.6540394623579424</v>
      </c>
      <c r="H804" s="2529">
        <f t="shared" si="397"/>
        <v>1.6712363633272085</v>
      </c>
      <c r="I804" s="2529">
        <f t="shared" si="397"/>
        <v>1.6883009700702993</v>
      </c>
      <c r="J804" s="2529">
        <f t="shared" si="397"/>
        <v>1.7052159722174141</v>
      </c>
      <c r="K804" s="2529">
        <f t="shared" si="397"/>
        <v>1.7219634591895729</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1.5666088933983278</v>
      </c>
      <c r="C808" s="2529">
        <f t="shared" si="401"/>
        <v>1.5842389889139297</v>
      </c>
      <c r="D808" s="2529">
        <f t="shared" si="401"/>
        <v>1.6018113792025859</v>
      </c>
      <c r="E808" s="2529">
        <f t="shared" si="401"/>
        <v>1.6193121770189096</v>
      </c>
      <c r="F808" s="2529">
        <f t="shared" si="401"/>
        <v>1.6367262560118443</v>
      </c>
      <c r="G808" s="2529">
        <f t="shared" si="401"/>
        <v>1.6540394623579424</v>
      </c>
      <c r="H808" s="2529">
        <f t="shared" si="401"/>
        <v>1.6712363633272085</v>
      </c>
      <c r="I808" s="2529">
        <f t="shared" si="401"/>
        <v>1.6883009700702993</v>
      </c>
      <c r="J808" s="2529">
        <f t="shared" si="401"/>
        <v>1.7052159722174141</v>
      </c>
      <c r="K808" s="2529">
        <f t="shared" si="401"/>
        <v>1.7219634591895729</v>
      </c>
    </row>
    <row r="809" spans="1:11">
      <c r="A809" s="357" t="s">
        <v>718</v>
      </c>
      <c r="B809" s="2530">
        <f>IF(OR(B793="Choose mgt fee",B793="Choose One!"),"",(B786+B787+B788+B789+B790) / -(B792+B793+B794))</f>
        <v>2.1433847659307728</v>
      </c>
      <c r="C809" s="2530">
        <f t="shared" ref="C809:K809" si="402">IF(OR(C793="Choose mgt fee",C793="Choose One!"),"",(C786+C787+C788+C789+C790) / -(C792+C793+C794))</f>
        <v>2.1225743325912458</v>
      </c>
      <c r="D809" s="2530">
        <f t="shared" si="402"/>
        <v>2.101967051402899</v>
      </c>
      <c r="E809" s="2530">
        <f t="shared" si="402"/>
        <v>2.0815602970889424</v>
      </c>
      <c r="F809" s="2530">
        <f t="shared" si="402"/>
        <v>2.0613507551038097</v>
      </c>
      <c r="G809" s="2530">
        <f t="shared" si="402"/>
        <v>2.0413374402542521</v>
      </c>
      <c r="H809" s="2530">
        <f t="shared" si="402"/>
        <v>2.0215185198781112</v>
      </c>
      <c r="I809" s="2530">
        <f t="shared" si="402"/>
        <v>2.0018923562024811</v>
      </c>
      <c r="J809" s="2530">
        <f t="shared" si="402"/>
        <v>1.9824566270113344</v>
      </c>
      <c r="K809" s="2530">
        <f t="shared" si="402"/>
        <v>1.9632092792772133</v>
      </c>
    </row>
    <row r="810" spans="1:11">
      <c r="A810" s="357" t="s">
        <v>2404</v>
      </c>
      <c r="B810" s="2528">
        <f>'Part VI-Pro Forma'!B103</f>
        <v>14874667.629147375</v>
      </c>
      <c r="C810" s="2528">
        <f>'Part VI-Pro Forma'!C103</f>
        <v>14455225.735788643</v>
      </c>
      <c r="D810" s="2528">
        <f>'Part VI-Pro Forma'!D103</f>
        <v>14008582.474049404</v>
      </c>
      <c r="E810" s="2528">
        <f>'Part VI-Pro Forma'!E103</f>
        <v>13532973.798769915</v>
      </c>
      <c r="F810" s="2528">
        <f>'Part VI-Pro Forma'!F103</f>
        <v>13026521.264099924</v>
      </c>
      <c r="G810" s="2528">
        <f>'Part VI-Pro Forma'!G103</f>
        <v>12487224.604460713</v>
      </c>
      <c r="H810" s="2528">
        <f>'Part VI-Pro Forma'!H103</f>
        <v>11912953.834372602</v>
      </c>
      <c r="I810" s="2528">
        <f>'Part VI-Pro Forma'!I103</f>
        <v>11301440.835945692</v>
      </c>
      <c r="J810" s="2528">
        <f>'Part VI-Pro Forma'!J103</f>
        <v>10650270.400808107</v>
      </c>
      <c r="K810" s="2528">
        <f>'Part VI-Pro Forma'!K103</f>
        <v>9956870.6910913046</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2214</v>
      </c>
      <c r="B816" s="2528">
        <f>'Part VI-Pro Forma'!B109</f>
        <v>5074239.6600120878</v>
      </c>
      <c r="C816" s="2528">
        <f>'Part VI-Pro Forma'!C109</f>
        <v>5175724.4532123292</v>
      </c>
      <c r="D816" s="2528">
        <f>'Part VI-Pro Forma'!D109</f>
        <v>5279238.9422765765</v>
      </c>
      <c r="E816" s="2528">
        <f>'Part VI-Pro Forma'!E109</f>
        <v>5384823.7211221084</v>
      </c>
      <c r="F816" s="2528">
        <f>'Part VI-Pro Forma'!F109</f>
        <v>5492520.1955445502</v>
      </c>
      <c r="G816" s="2528"/>
      <c r="H816" s="2528"/>
      <c r="I816" s="2528"/>
      <c r="J816" s="2528"/>
      <c r="K816" s="2528"/>
    </row>
    <row r="817" spans="1:11">
      <c r="A817" s="357" t="s">
        <v>952</v>
      </c>
      <c r="B817" s="2528">
        <f>'Part VI-Pro Forma'!B110</f>
        <v>101484.79320024177</v>
      </c>
      <c r="C817" s="2528">
        <f>'Part VI-Pro Forma'!C110</f>
        <v>103514.48906424658</v>
      </c>
      <c r="D817" s="2528">
        <f>'Part VI-Pro Forma'!D110</f>
        <v>105584.77884553153</v>
      </c>
      <c r="E817" s="2528">
        <f>'Part VI-Pro Forma'!E110</f>
        <v>107696.47442244217</v>
      </c>
      <c r="F817" s="2528">
        <f>'Part VI-Pro Forma'!F110</f>
        <v>109850.40391089101</v>
      </c>
      <c r="G817" s="2528"/>
      <c r="H817" s="2528"/>
      <c r="I817" s="2528"/>
      <c r="J817" s="2528"/>
      <c r="K817" s="2528"/>
    </row>
    <row r="818" spans="1:11">
      <c r="A818" s="357" t="s">
        <v>2215</v>
      </c>
      <c r="B818" s="2528">
        <f>'Part VI-Pro Forma'!B111</f>
        <v>-362300.7117248631</v>
      </c>
      <c r="C818" s="2528">
        <f>'Part VI-Pro Forma'!C111</f>
        <v>-369546.72595936031</v>
      </c>
      <c r="D818" s="2528">
        <f>'Part VI-Pro Forma'!D111</f>
        <v>-376937.66047854762</v>
      </c>
      <c r="E818" s="2528">
        <f>'Part VI-Pro Forma'!E111</f>
        <v>-384476.41368811857</v>
      </c>
      <c r="F818" s="2528">
        <f>'Part VI-Pro Forma'!F111</f>
        <v>-392165.94196188095</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4813423.7414874658</v>
      </c>
      <c r="C821" s="2528">
        <f>'Part VI-Pro Forma'!C114</f>
        <v>4909692.216317215</v>
      </c>
      <c r="D821" s="2528">
        <f>'Part VI-Pro Forma'!D114</f>
        <v>5007886.0606435612</v>
      </c>
      <c r="E821" s="2528">
        <f>'Part VI-Pro Forma'!E114</f>
        <v>5108043.7818564316</v>
      </c>
      <c r="F821" s="2528">
        <f>'Part VI-Pro Forma'!F114</f>
        <v>5210204.6574935606</v>
      </c>
      <c r="G821" s="2528"/>
      <c r="H821" s="2528"/>
      <c r="I821" s="2528"/>
      <c r="J821" s="2528"/>
      <c r="K821" s="2528"/>
    </row>
    <row r="822" spans="1:11">
      <c r="A822" s="357" t="s">
        <v>572</v>
      </c>
      <c r="B822" s="2528">
        <f>'Part VI-Pro Forma'!B115</f>
        <v>-2025914.6215784489</v>
      </c>
      <c r="C822" s="2528">
        <f>'Part VI-Pro Forma'!C115</f>
        <v>-2086692.0602258027</v>
      </c>
      <c r="D822" s="2528">
        <f>'Part VI-Pro Forma'!D115</f>
        <v>-2149292.8220325764</v>
      </c>
      <c r="E822" s="2528">
        <f>'Part VI-Pro Forma'!E115</f>
        <v>-2213771.6066935537</v>
      </c>
      <c r="F822" s="2528">
        <f>'Part VI-Pro Forma'!F115</f>
        <v>-2280184.75489436</v>
      </c>
      <c r="G822" s="2528"/>
      <c r="H822" s="2528"/>
      <c r="I822" s="2528"/>
      <c r="J822" s="2528"/>
      <c r="K822" s="2528"/>
    </row>
    <row r="823" spans="1:11">
      <c r="A823" s="357" t="s">
        <v>1050</v>
      </c>
      <c r="B823" s="2528">
        <f>'Part VI-Pro Forma'!B116</f>
        <v>-322506</v>
      </c>
      <c r="C823" s="2528">
        <f>'Part VI-Pro Forma'!C116</f>
        <v>-332181</v>
      </c>
      <c r="D823" s="2528">
        <f>'Part VI-Pro Forma'!D116</f>
        <v>-342146</v>
      </c>
      <c r="E823" s="2528">
        <f>'Part VI-Pro Forma'!E116</f>
        <v>-352410</v>
      </c>
      <c r="F823" s="2528">
        <f>'Part VI-Pro Forma'!F116</f>
        <v>-362983</v>
      </c>
      <c r="G823" s="2528"/>
      <c r="H823" s="2528"/>
      <c r="I823" s="2528"/>
      <c r="J823" s="2528"/>
      <c r="K823" s="2528"/>
    </row>
    <row r="824" spans="1:11">
      <c r="A824" s="357" t="s">
        <v>1128</v>
      </c>
      <c r="B824" s="2528">
        <f>'Part VI-Pro Forma'!B117</f>
        <v>-127431.27973745711</v>
      </c>
      <c r="C824" s="2528">
        <f>'Part VI-Pro Forma'!C117</f>
        <v>-131254.21812958084</v>
      </c>
      <c r="D824" s="2528">
        <f>'Part VI-Pro Forma'!D117</f>
        <v>-135191.84467346824</v>
      </c>
      <c r="E824" s="2528">
        <f>'Part VI-Pro Forma'!E117</f>
        <v>-139247.60001367229</v>
      </c>
      <c r="F824" s="2528">
        <f>'Part VI-Pro Forma'!F117</f>
        <v>-143425.02801408243</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2337571.8401715597</v>
      </c>
      <c r="C826" s="2528">
        <f>SUM(C821:C825)</f>
        <v>2359564.9379618317</v>
      </c>
      <c r="D826" s="2528">
        <f>SUM(D821:D825)</f>
        <v>2381255.3939375165</v>
      </c>
      <c r="E826" s="2528">
        <f>SUM(E821:E825)</f>
        <v>2402614.5751492055</v>
      </c>
      <c r="F826" s="2528">
        <f>SUM(F821:F825)</f>
        <v>2423611.8745851181</v>
      </c>
      <c r="G826" s="2528"/>
      <c r="H826" s="2528"/>
      <c r="I826" s="2528"/>
      <c r="J826" s="2528"/>
      <c r="K826" s="2528"/>
    </row>
    <row r="827" spans="1:11">
      <c r="A827" s="357" t="str">
        <f>$A797</f>
        <v>Mortgage A</v>
      </c>
      <c r="B827" s="2528">
        <f>'Part VI-Pro Forma'!B120</f>
        <v>-1344571.9668434197</v>
      </c>
      <c r="C827" s="2528">
        <f>'Part VI-Pro Forma'!C120</f>
        <v>-1344571.9668434197</v>
      </c>
      <c r="D827" s="2528">
        <f>'Part VI-Pro Forma'!D120</f>
        <v>-1344571.9668434197</v>
      </c>
      <c r="E827" s="2528">
        <f>'Part VI-Pro Forma'!E120</f>
        <v>-1344571.9668434197</v>
      </c>
      <c r="F827" s="2528">
        <f>'Part VI-Pro Forma'!F120</f>
        <v>-1344571.9668434197</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992999.87332814001</v>
      </c>
      <c r="C833" s="2528">
        <f>SUM(C826:C832)</f>
        <v>1014992.971118412</v>
      </c>
      <c r="D833" s="2528">
        <f>SUM(D826:D832)</f>
        <v>1036683.4270940968</v>
      </c>
      <c r="E833" s="2528">
        <f>SUM(E826:E832)</f>
        <v>1058042.6083057858</v>
      </c>
      <c r="F833" s="2528">
        <f>SUM(F826:F832)</f>
        <v>1079039.9077416984</v>
      </c>
      <c r="G833" s="2528"/>
      <c r="H833" s="2528"/>
      <c r="I833" s="2528"/>
      <c r="J833" s="2528"/>
      <c r="K833" s="2528"/>
    </row>
    <row r="834" spans="1:11">
      <c r="A834" s="357" t="str">
        <f>$A804</f>
        <v>DCR Mortgage A</v>
      </c>
      <c r="B834" s="2529">
        <f>IF(B827=0,"",-B826/B827)</f>
        <v>1.7385248970044744</v>
      </c>
      <c r="C834" s="2529">
        <f>IF(C827=0,"",-C826/C827)</f>
        <v>1.7548818480138755</v>
      </c>
      <c r="D834" s="2529">
        <f>IF(D827=0,"",-D826/D827)</f>
        <v>1.7710137148908909</v>
      </c>
      <c r="E834" s="2529">
        <f>IF(E827=0,"",-E826/E827)</f>
        <v>1.7868992024203036</v>
      </c>
      <c r="F834" s="2529">
        <f>IF(F827=0,"",-F826/F827)</f>
        <v>1.8025155472152994</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1.7385248970044744</v>
      </c>
      <c r="C838" s="2529">
        <f>IF(AND(C827=0,C828=0,C829=0,C830=0),"",-C826/(C827+C828+C829+C830))</f>
        <v>1.7548818480138755</v>
      </c>
      <c r="D838" s="2529">
        <f>IF(AND(D827=0,D828=0,D829=0,D830=0),"",-D826/(D827+D828+D829+D830))</f>
        <v>1.7710137148908909</v>
      </c>
      <c r="E838" s="2529">
        <f>IF(AND(E827=0,E828=0,E829=0,E830=0),"",-E826/(E827+E828+E829+E830))</f>
        <v>1.7868992024203036</v>
      </c>
      <c r="F838" s="2529">
        <f>IF(AND(F827=0,F828=0,F829=0,F830=0),"",-F826/(F827+F828+F829+F830))</f>
        <v>1.8025155472152994</v>
      </c>
      <c r="G838" s="2528"/>
      <c r="H838" s="2528"/>
      <c r="I838" s="2528"/>
      <c r="J838" s="2528"/>
      <c r="K838" s="2528"/>
    </row>
    <row r="839" spans="1:11">
      <c r="A839" s="357" t="s">
        <v>718</v>
      </c>
      <c r="B839" s="2530">
        <f>IF(OR(B823="Choose mgt fee",B823="Choose One!"),"",(B816+B817+B818+B819+B820) / -(B822+B823+B824))</f>
        <v>1.9441484924559296</v>
      </c>
      <c r="C839" s="2530">
        <f>IF(OR(C823="Choose mgt fee",C823="Choose One!"),"",(C816+C817+C818+C819+C820) / -(C822+C823+C824))</f>
        <v>1.9252734002686924</v>
      </c>
      <c r="D839" s="2530">
        <f>IF(OR(D823="Choose mgt fee",D823="Choose One!"),"",(D816+D817+D818+D819+D820) / -(D822+D823+D824))</f>
        <v>1.9065817376311061</v>
      </c>
      <c r="E839" s="2530">
        <f>IF(OR(E823="Choose mgt fee",E823="Choose One!"),"",(E816+E817+E818+E819+E820) / -(E822+E823+E824))</f>
        <v>1.8880715005192925</v>
      </c>
      <c r="F839" s="2530">
        <f>IF(OR(F823="Choose mgt fee",F823="Choose One!"),"",(F816+F817+F818+F819+F820) / -(F822+F823+F824))</f>
        <v>1.8697402395679532</v>
      </c>
      <c r="G839" s="2528"/>
      <c r="H839" s="2528"/>
      <c r="I839" s="2528"/>
      <c r="J839" s="2528"/>
      <c r="K839" s="2528"/>
    </row>
    <row r="840" spans="1:11">
      <c r="A840" s="357" t="s">
        <v>2404</v>
      </c>
      <c r="B840" s="2528">
        <f>'Part VI-Pro Forma'!B133</f>
        <v>9218503.0817974973</v>
      </c>
      <c r="C840" s="2528">
        <f>'Part VI-Pro Forma'!C133</f>
        <v>8432251.3444310129</v>
      </c>
      <c r="D840" s="2528">
        <f>'Part VI-Pro Forma'!D133</f>
        <v>7595010.129173656</v>
      </c>
      <c r="E840" s="2528">
        <f>'Part VI-Pro Forma'!E133</f>
        <v>6703472.7001137314</v>
      </c>
      <c r="F840" s="2528">
        <f>'Part VI-Pro Forma'!F133</f>
        <v>5754117.8750882372</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Westbury,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6994</v>
      </c>
      <c r="B860" s="2780"/>
      <c r="C860" s="2780"/>
      <c r="D860" s="2780"/>
      <c r="E860" s="2780"/>
      <c r="F860" s="2780"/>
      <c r="G860" s="2780"/>
      <c r="H860" s="2780"/>
      <c r="I860" s="2781"/>
      <c r="J860" s="2781"/>
      <c r="K860" s="2782"/>
      <c r="L860" s="2782"/>
      <c r="M860" s="2782"/>
      <c r="N860" s="2782"/>
      <c r="O860" s="2782"/>
      <c r="P860" s="2781"/>
      <c r="Q860" s="2781"/>
    </row>
    <row r="861" spans="1:17" ht="15">
      <c r="A861" s="2783" t="s">
        <v>3066</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1871</v>
      </c>
      <c r="B869" s="2784"/>
      <c r="C869" s="2784"/>
      <c r="D869" s="2784"/>
      <c r="E869" s="2784"/>
      <c r="F869" s="2784"/>
      <c r="G869" s="2784"/>
      <c r="H869" s="2784"/>
      <c r="I869" s="2784"/>
      <c r="J869" s="2784"/>
      <c r="K869" s="2784"/>
      <c r="L869" s="2784"/>
      <c r="M869" s="2784"/>
      <c r="N869" s="2784"/>
      <c r="O869" s="2784"/>
      <c r="P869" s="2784"/>
      <c r="Q869" s="2784"/>
    </row>
    <row r="870" spans="1:17" ht="14.25">
      <c r="A870" s="2784" t="s">
        <v>1872</v>
      </c>
      <c r="B870" s="2784"/>
      <c r="C870" s="2784"/>
      <c r="D870" s="2784"/>
      <c r="E870" s="2784"/>
      <c r="F870" s="2784"/>
      <c r="G870" s="2784"/>
      <c r="H870" s="2784"/>
      <c r="I870" s="2784"/>
      <c r="J870" s="2784"/>
      <c r="K870" s="2784"/>
      <c r="L870" s="2784"/>
      <c r="M870" s="2784"/>
      <c r="N870" s="2784"/>
      <c r="O870" s="2784"/>
      <c r="P870" s="2784"/>
      <c r="Q870" s="2784"/>
    </row>
    <row r="871" spans="1:17" ht="14.25">
      <c r="A871" s="2784" t="s">
        <v>1873</v>
      </c>
      <c r="B871" s="2784"/>
      <c r="C871" s="2784"/>
      <c r="D871" s="2784"/>
      <c r="E871" s="2784"/>
      <c r="F871" s="2784"/>
      <c r="G871" s="2784"/>
      <c r="H871" s="2784"/>
      <c r="I871" s="2784"/>
      <c r="J871" s="2784"/>
      <c r="K871" s="2784"/>
      <c r="L871" s="2784"/>
      <c r="M871" s="2784"/>
      <c r="N871" s="2784"/>
      <c r="O871" s="2784"/>
      <c r="P871" s="2784"/>
      <c r="Q871" s="2784"/>
    </row>
    <row r="872" spans="1:17" ht="14.25">
      <c r="A872" s="2784" t="s">
        <v>1874</v>
      </c>
      <c r="B872" s="2784"/>
      <c r="C872" s="2784"/>
      <c r="D872" s="2784"/>
      <c r="E872" s="2784"/>
      <c r="F872" s="2784"/>
      <c r="G872" s="2784"/>
      <c r="H872" s="2784"/>
      <c r="I872" s="2784"/>
      <c r="J872" s="2784"/>
      <c r="K872" s="2784"/>
      <c r="L872" s="2784"/>
      <c r="M872" s="2784"/>
      <c r="N872" s="2784"/>
      <c r="O872" s="2784"/>
      <c r="P872" s="2784"/>
      <c r="Q872" s="2784"/>
    </row>
    <row r="873" spans="1:17" ht="14.25">
      <c r="A873" s="2784" t="s">
        <v>1875</v>
      </c>
      <c r="B873" s="2784"/>
      <c r="C873" s="2784"/>
      <c r="D873" s="2784"/>
      <c r="E873" s="2784"/>
      <c r="F873" s="2784"/>
      <c r="G873" s="2784"/>
      <c r="H873" s="2784"/>
      <c r="I873" s="2784"/>
      <c r="J873" s="2784"/>
      <c r="K873" s="2784"/>
      <c r="L873" s="2784"/>
      <c r="M873" s="2784"/>
      <c r="N873" s="2784"/>
      <c r="O873" s="2784"/>
      <c r="P873" s="2784"/>
      <c r="Q873" s="2784"/>
    </row>
    <row r="874" spans="1:17" ht="14.25">
      <c r="A874" s="2784" t="s">
        <v>1876</v>
      </c>
      <c r="B874" s="2784"/>
      <c r="C874" s="2784"/>
      <c r="D874" s="2784"/>
      <c r="E874" s="2784"/>
      <c r="F874" s="2784"/>
      <c r="G874" s="2784"/>
      <c r="H874" s="2784"/>
      <c r="I874" s="2784"/>
      <c r="J874" s="2784"/>
      <c r="K874" s="2784"/>
      <c r="L874" s="2784"/>
      <c r="M874" s="2784"/>
      <c r="N874" s="2784"/>
      <c r="O874" s="2784"/>
      <c r="P874" s="2784"/>
      <c r="Q874" s="2784"/>
    </row>
    <row r="875" spans="1:17" ht="14.25">
      <c r="A875" s="2784" t="s">
        <v>1877</v>
      </c>
      <c r="B875" s="2784"/>
      <c r="C875" s="2784"/>
      <c r="D875" s="2784"/>
      <c r="E875" s="2784"/>
      <c r="F875" s="2784"/>
      <c r="G875" s="2784"/>
      <c r="H875" s="2784"/>
      <c r="I875" s="2784"/>
      <c r="J875" s="2784"/>
      <c r="K875" s="2784"/>
      <c r="L875" s="2784"/>
      <c r="M875" s="2784"/>
      <c r="N875" s="2784"/>
      <c r="O875" s="2784"/>
      <c r="P875" s="2784"/>
      <c r="Q875" s="2784"/>
    </row>
    <row r="876" spans="1:17" ht="14.25">
      <c r="A876" s="2784" t="s">
        <v>1878</v>
      </c>
      <c r="B876" s="2784"/>
      <c r="C876" s="2784"/>
      <c r="D876" s="2784"/>
      <c r="E876" s="2784"/>
      <c r="F876" s="2784"/>
      <c r="G876" s="2784"/>
      <c r="H876" s="2784"/>
      <c r="I876" s="2784"/>
      <c r="J876" s="2784"/>
      <c r="K876" s="2784"/>
      <c r="L876" s="2784"/>
      <c r="M876" s="2784"/>
      <c r="N876" s="2784"/>
      <c r="O876" s="2784"/>
      <c r="P876" s="2784"/>
      <c r="Q876" s="2784"/>
    </row>
    <row r="877" spans="1:17" ht="14.25">
      <c r="A877" s="2784" t="s">
        <v>1879</v>
      </c>
      <c r="B877" s="2784"/>
      <c r="C877" s="2784"/>
      <c r="D877" s="2784"/>
      <c r="E877" s="2784"/>
      <c r="F877" s="2784"/>
      <c r="G877" s="2784"/>
      <c r="H877" s="2784"/>
      <c r="I877" s="2784"/>
      <c r="J877" s="2784"/>
      <c r="K877" s="2784"/>
      <c r="L877" s="2784"/>
      <c r="M877" s="2784"/>
      <c r="N877" s="2784"/>
      <c r="O877" s="2784"/>
      <c r="P877" s="2784"/>
      <c r="Q877" s="2784"/>
    </row>
    <row r="878" spans="1:17" ht="14.25">
      <c r="A878" s="2784" t="s">
        <v>1880</v>
      </c>
      <c r="B878" s="2784"/>
      <c r="C878" s="2784"/>
      <c r="D878" s="2784"/>
      <c r="E878" s="2784"/>
      <c r="F878" s="2784"/>
      <c r="G878" s="2784"/>
      <c r="H878" s="2784"/>
      <c r="I878" s="2784"/>
      <c r="J878" s="2784"/>
      <c r="K878" s="2784"/>
      <c r="L878" s="2784"/>
      <c r="M878" s="2784"/>
      <c r="N878" s="2784"/>
      <c r="O878" s="2784"/>
      <c r="P878" s="2784"/>
      <c r="Q878" s="2784"/>
    </row>
    <row r="879" spans="1:17" ht="14.25">
      <c r="A879" s="2784" t="s">
        <v>1881</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6632</v>
      </c>
      <c r="C882" s="2781"/>
      <c r="D882" s="2781"/>
      <c r="E882" s="2781"/>
      <c r="F882" s="2781"/>
      <c r="G882" s="2781"/>
      <c r="H882" s="2105"/>
      <c r="I882" s="2107"/>
      <c r="J882" s="2107"/>
      <c r="K882" s="2107"/>
      <c r="L882" s="2108"/>
      <c r="M882" s="2108"/>
      <c r="N882" s="2105"/>
      <c r="O882" s="2786" t="s">
        <v>1730</v>
      </c>
      <c r="P882" s="2781"/>
      <c r="Q882" s="2781"/>
    </row>
    <row r="883" spans="1:17" ht="15">
      <c r="A883" s="2105"/>
      <c r="B883" s="2787" t="s">
        <v>6773</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Construction cost estimate is based off of our historical cost to deliver similar projects that are currently under construction and our contractor's preliminary budget.
Local government fees were confirmed by the local government and our construction management team. Documents related to Feasibility were included in the application in the 52 Additional Documents Folder.</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1729</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1730</v>
      </c>
      <c r="P889" s="2781"/>
      <c r="Q889" s="2781"/>
    </row>
    <row r="890" spans="1:17" ht="15">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99.75">
      <c r="A892" s="2782" t="str">
        <f>'Part VII-Threshold Criteria'!A41</f>
        <v>The development will be a Family development.</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1729</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2421</v>
      </c>
      <c r="C897" s="2785"/>
      <c r="D897" s="2789"/>
      <c r="E897" s="2789"/>
      <c r="F897" s="2789"/>
      <c r="G897" s="2789"/>
      <c r="H897" s="2789"/>
      <c r="I897" s="2789"/>
      <c r="J897" s="2789"/>
      <c r="K897" s="2105"/>
      <c r="L897" s="2791"/>
      <c r="M897" s="2792"/>
      <c r="N897" s="2105"/>
      <c r="O897" s="2786" t="s">
        <v>1730</v>
      </c>
      <c r="P897" s="2781"/>
      <c r="Q897" s="2781"/>
    </row>
    <row r="898" spans="1:17" ht="15">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1729</v>
      </c>
      <c r="L899" s="2108"/>
      <c r="M899" s="2108"/>
      <c r="N899" s="2108"/>
      <c r="O899" s="2108"/>
      <c r="P899" s="2108"/>
      <c r="Q899" s="2108"/>
    </row>
    <row r="900" spans="1:17" ht="285">
      <c r="A900" s="2782" t="str">
        <f>'Part VII-Threshold Criteria'!A49</f>
        <v>Elmington Property Management will identify the needs of the community and provide social and recreational programming.</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4018</v>
      </c>
      <c r="C903" s="2785"/>
      <c r="D903" s="2789"/>
      <c r="E903" s="2789"/>
      <c r="F903" s="2789"/>
      <c r="G903" s="2789"/>
      <c r="H903" s="2794"/>
      <c r="I903" s="2105"/>
      <c r="J903" s="2793"/>
      <c r="K903" s="2781"/>
      <c r="L903" s="2793"/>
      <c r="M903" s="2785"/>
      <c r="N903" s="2105"/>
      <c r="O903" s="2786" t="s">
        <v>1730</v>
      </c>
      <c r="P903" s="2781"/>
      <c r="Q903" s="2781"/>
    </row>
    <row r="904" spans="1:17" ht="15" customHeight="1">
      <c r="A904" s="2793"/>
      <c r="B904" s="2782" t="s">
        <v>2263</v>
      </c>
      <c r="C904" s="2782"/>
      <c r="D904" s="2782"/>
      <c r="E904" s="2782"/>
      <c r="F904" s="2782"/>
      <c r="G904" s="2782"/>
      <c r="H904" s="2782"/>
      <c r="I904" s="2784" t="str">
        <f>'Part VII-Threshold Criteria'!I53</f>
        <v>Tad Scepaniak, Real Property Research Group</v>
      </c>
      <c r="J904" s="2784"/>
      <c r="K904" s="2784"/>
      <c r="L904" s="2784"/>
      <c r="M904" s="2784"/>
      <c r="N904" s="2784"/>
      <c r="O904" s="2784"/>
      <c r="P904" s="2784"/>
      <c r="Q904" s="2784"/>
    </row>
    <row r="905" spans="1:17" ht="15">
      <c r="A905" s="2793"/>
      <c r="B905" s="2105" t="s">
        <v>6776</v>
      </c>
      <c r="C905" s="2105"/>
      <c r="D905" s="2782"/>
      <c r="E905" s="2782"/>
      <c r="F905" s="2782"/>
      <c r="G905" s="2105"/>
      <c r="H905" s="2105"/>
      <c r="I905" s="2782">
        <f>'Part VII-Threshold Criteria'!I54</f>
        <v>95.3</v>
      </c>
      <c r="J905" s="2782"/>
      <c r="K905" s="2782"/>
      <c r="L905" s="2795"/>
      <c r="M905" s="2796"/>
      <c r="N905" s="2796"/>
      <c r="O905" s="2796"/>
      <c r="P905" s="2796"/>
      <c r="Q905" s="2108"/>
    </row>
    <row r="906" spans="1:17" ht="15">
      <c r="A906" s="2793"/>
      <c r="B906" s="2105" t="s">
        <v>6777</v>
      </c>
      <c r="C906" s="2105"/>
      <c r="D906" s="2782"/>
      <c r="E906" s="2782"/>
      <c r="F906" s="2782"/>
      <c r="G906" s="2105"/>
      <c r="H906" s="2795" t="s">
        <v>6778</v>
      </c>
      <c r="I906" s="2782">
        <f>'Part VII-Threshold Criteria'!I55</f>
        <v>3.1E-2</v>
      </c>
      <c r="J906" s="2782"/>
      <c r="K906" s="2782"/>
      <c r="L906" s="2796"/>
      <c r="M906" s="2797" t="s">
        <v>6779</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285">
      <c r="A908" s="2782" t="str">
        <f>'Part VII-Threshold Criteria'!A57</f>
        <v>The development will include 210 units. The overall market has a healthy occupancy of 95.3% and an overall capture rate of 3.1%.</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1729</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2422</v>
      </c>
      <c r="C913" s="2785"/>
      <c r="D913" s="2789"/>
      <c r="E913" s="2789"/>
      <c r="F913" s="2789"/>
      <c r="G913" s="2789"/>
      <c r="H913" s="2789"/>
      <c r="I913" s="2789"/>
      <c r="J913" s="2789"/>
      <c r="K913" s="2789"/>
      <c r="L913" s="2789"/>
      <c r="M913" s="2789"/>
      <c r="N913" s="2105"/>
      <c r="O913" s="2786" t="s">
        <v>1730</v>
      </c>
      <c r="P913" s="2781"/>
      <c r="Q913" s="2781"/>
    </row>
    <row r="914" spans="1:17" ht="42.75">
      <c r="A914" s="2793"/>
      <c r="B914" s="2105" t="s">
        <v>6780</v>
      </c>
      <c r="C914" s="2105"/>
      <c r="D914" s="2105"/>
      <c r="E914" s="2105"/>
      <c r="F914" s="2105"/>
      <c r="G914" s="2105"/>
      <c r="H914" s="2105"/>
      <c r="I914" s="2782"/>
      <c r="J914" s="2782" t="str">
        <f>'Part VII-Threshold Criteria'!J63</f>
        <v>Melissa Blakely, CBRE</v>
      </c>
      <c r="K914" s="2782"/>
      <c r="L914" s="2782"/>
      <c r="M914" s="2782"/>
      <c r="N914" s="2782"/>
      <c r="O914" s="2782"/>
      <c r="P914" s="2782"/>
      <c r="Q914" s="2782"/>
    </row>
    <row r="915" spans="1:17" ht="15">
      <c r="A915" s="2793"/>
      <c r="B915" s="2105" t="s">
        <v>3947</v>
      </c>
      <c r="C915" s="2105"/>
      <c r="D915" s="2105"/>
      <c r="E915" s="2105"/>
      <c r="F915" s="2105"/>
      <c r="G915" s="2105"/>
      <c r="H915" s="2105"/>
      <c r="I915" s="2105"/>
      <c r="J915" s="2105"/>
      <c r="K915" s="2105"/>
      <c r="L915" s="2105"/>
      <c r="M915" s="2105"/>
      <c r="N915" s="2105"/>
      <c r="O915" s="2795"/>
      <c r="P915" s="2108" t="str">
        <f>'Part VII-Threshold Criteria'!P64</f>
        <v>Yes</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t="str">
        <f>'Part VII-Threshold Criteria'!P66</f>
        <v>Yes</v>
      </c>
      <c r="Q917" s="2108"/>
    </row>
    <row r="918" spans="1:17" ht="15">
      <c r="A918" s="2105"/>
      <c r="B918" s="2790" t="s">
        <v>6773</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The appraisal has been provided by CBRE with a land value of $4,750,000, as of October 4, 2023, supporting the value of the property. There is an identity of interest between the ground lessor and the ground lessee. DCA is listed as an intended user in the appraisal. The appraisal meets USPAP standards.</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1729</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2423</v>
      </c>
      <c r="C924" s="2106"/>
      <c r="D924" s="2789"/>
      <c r="E924" s="2789"/>
      <c r="F924" s="2789"/>
      <c r="G924" s="2789"/>
      <c r="H924" s="2789"/>
      <c r="I924" s="2789"/>
      <c r="J924" s="2789"/>
      <c r="K924" s="2789"/>
      <c r="L924" s="2789"/>
      <c r="M924" s="2789"/>
      <c r="N924" s="2105"/>
      <c r="O924" s="2786" t="s">
        <v>1730</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Tri State Environmental Services</v>
      </c>
      <c r="M925" s="2798"/>
      <c r="N925" s="2798"/>
      <c r="O925" s="2798"/>
      <c r="P925" s="2798"/>
      <c r="Q925" s="2798"/>
    </row>
    <row r="926" spans="1:17" ht="15">
      <c r="A926" s="2105"/>
      <c r="B926" s="2105" t="s">
        <v>6784</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6630</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5">
      <c r="A928" s="2793"/>
      <c r="B928" s="2105" t="s">
        <v>6785</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6786</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6787</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6788</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6789</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4.25">
      <c r="A934" s="2105"/>
      <c r="B934" s="2782" t="str">
        <f>'Part VII-Threshold Criteria'!B83</f>
        <v>Asebestos are Lead present in the vacant building on-site. Both will be removed in a manner that meets DCA and state standards.</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14.25">
      <c r="A936" s="2782" t="str">
        <f>'Part VII-Threshold Criteria'!A85</f>
        <v>The Phase I report was completed by Tri State Environmental Services. The noise levels reported are below the minimum reporting thresholds. There are no Federal Funds on the property. There is no flood plain or state waters.</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1729</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2424</v>
      </c>
      <c r="C941" s="2785"/>
      <c r="D941" s="2789"/>
      <c r="E941" s="2789"/>
      <c r="F941" s="2789"/>
      <c r="G941" s="2789"/>
      <c r="H941" s="2789"/>
      <c r="I941" s="2789"/>
      <c r="J941" s="2789"/>
      <c r="K941" s="2789"/>
      <c r="L941" s="2105"/>
      <c r="M941" s="2105"/>
      <c r="N941" s="2105"/>
      <c r="O941" s="2786" t="s">
        <v>1730</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42.75">
      <c r="A943" s="2793"/>
      <c r="B943" s="2105" t="s">
        <v>636</v>
      </c>
      <c r="C943" s="2105"/>
      <c r="D943" s="2105"/>
      <c r="E943" s="2105"/>
      <c r="F943" s="2105"/>
      <c r="G943" s="2782" t="str">
        <f>'Part VII-Threshold Criteria'!G92</f>
        <v>Westbury Family I, LP</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327.75">
      <c r="A945" s="2782" t="str">
        <f>'Part VII-Threshold Criteria'!A94</f>
        <v>The entity with site control and the Applicant are the same. Site control exists through at least December 31, 2024. There is an existing ground lease option in place.</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1729</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2425</v>
      </c>
      <c r="C950" s="2785"/>
      <c r="D950" s="2789"/>
      <c r="E950" s="2789"/>
      <c r="F950" s="2789"/>
      <c r="G950" s="2789"/>
      <c r="H950" s="2789"/>
      <c r="I950" s="2789"/>
      <c r="J950" s="2789"/>
      <c r="K950" s="2789"/>
      <c r="L950" s="2789"/>
      <c r="M950" s="2789"/>
      <c r="N950" s="2105"/>
      <c r="O950" s="2786" t="s">
        <v>1730</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114">
      <c r="A952" s="2782" t="str">
        <f>'Part VII-Threshold Criteria'!A101</f>
        <v>The site entrance is legally accessible by paved roads.</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1729</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2426</v>
      </c>
      <c r="C957" s="2781"/>
      <c r="D957" s="2781"/>
      <c r="E957" s="2105"/>
      <c r="F957" s="2105"/>
      <c r="G957" s="2105"/>
      <c r="H957" s="2105"/>
      <c r="I957" s="2105"/>
      <c r="J957" s="2105"/>
      <c r="K957" s="2105"/>
      <c r="L957" s="2105"/>
      <c r="M957" s="2105"/>
      <c r="N957" s="2105"/>
      <c r="O957" s="2786" t="s">
        <v>1730</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85.5">
      <c r="A959" s="2782" t="str">
        <f>'Part VII-Threshold Criteria'!A108</f>
        <v>The site is zoned for its intended use.</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1729</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2427</v>
      </c>
      <c r="C964" s="2785"/>
      <c r="D964" s="2789"/>
      <c r="E964" s="2789"/>
      <c r="F964" s="2105"/>
      <c r="G964" s="2789"/>
      <c r="H964" s="2105"/>
      <c r="I964" s="2105"/>
      <c r="J964" s="2782"/>
      <c r="K964" s="2782"/>
      <c r="L964" s="2782"/>
      <c r="M964" s="2782"/>
      <c r="N964" s="2105"/>
      <c r="O964" s="2786" t="s">
        <v>1730</v>
      </c>
      <c r="P964" s="2781"/>
      <c r="Q964" s="2781"/>
    </row>
    <row r="965" spans="1:17" ht="15">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128.25">
      <c r="A968" s="2782" t="str">
        <f>'Part VII-Threshold Criteria'!A117</f>
        <v>The proposed development will be 100% electric. No gas.</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1729</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6794</v>
      </c>
      <c r="C973" s="2781"/>
      <c r="D973" s="2781"/>
      <c r="E973" s="2781"/>
      <c r="F973" s="2781"/>
      <c r="G973" s="2789"/>
      <c r="H973" s="2789"/>
      <c r="I973" s="2105"/>
      <c r="J973" s="2789"/>
      <c r="K973" s="2789"/>
      <c r="L973" s="2789"/>
      <c r="M973" s="2789"/>
      <c r="N973" s="2105"/>
      <c r="O973" s="2786" t="s">
        <v>1730</v>
      </c>
      <c r="P973" s="2781"/>
      <c r="Q973" s="2781"/>
    </row>
    <row r="974" spans="1:17" ht="15">
      <c r="A974" s="2793"/>
      <c r="B974" s="2105" t="s">
        <v>6795</v>
      </c>
      <c r="C974" s="2105"/>
      <c r="D974" s="2105"/>
      <c r="E974" s="2105"/>
      <c r="F974" s="2105"/>
      <c r="G974" s="2105"/>
      <c r="H974" s="2105" t="s">
        <v>6796</v>
      </c>
      <c r="I974" s="2105"/>
      <c r="J974" s="2781" t="str">
        <f>'Part VII-Threshold Criteria'!J123</f>
        <v>Dekalb County Department of Watershed Management</v>
      </c>
      <c r="K974" s="2781"/>
      <c r="L974" s="2781"/>
      <c r="M974" s="2781"/>
      <c r="N974" s="2781"/>
      <c r="O974" s="2781"/>
      <c r="P974" s="2781"/>
      <c r="Q974" s="2781"/>
    </row>
    <row r="975" spans="1:17" ht="15">
      <c r="A975" s="2782"/>
      <c r="B975" s="2793"/>
      <c r="C975" s="2105"/>
      <c r="D975" s="2105"/>
      <c r="E975" s="2105"/>
      <c r="F975" s="2105"/>
      <c r="G975" s="2105"/>
      <c r="H975" s="2105" t="s">
        <v>6797</v>
      </c>
      <c r="I975" s="2105"/>
      <c r="J975" s="2781" t="str">
        <f>'Part VII-Threshold Criteria'!J124</f>
        <v>Dekalb County Department of Watershed Management</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228">
      <c r="A977" s="2782" t="str">
        <f>'Part VII-Threshold Criteria'!A126</f>
        <v>There is currently water and sewer available at the site, therefore no commitments or easements are required.</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1729</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2429</v>
      </c>
      <c r="C982" s="2785"/>
      <c r="D982" s="2789"/>
      <c r="E982" s="2789"/>
      <c r="F982" s="2789"/>
      <c r="G982" s="2789"/>
      <c r="H982" s="2789"/>
      <c r="I982" s="2789"/>
      <c r="J982" s="2789"/>
      <c r="K982" s="2789"/>
      <c r="L982" s="2789"/>
      <c r="M982" s="2789"/>
      <c r="N982" s="2105"/>
      <c r="O982" s="2786" t="s">
        <v>1730</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1840</v>
      </c>
      <c r="B984" s="2105" t="s">
        <v>6999</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1791</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6717</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1842</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Furnished Exercise /Fitness Center</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 xml:space="preserve">Equipped Computer Center and WiFi </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2181</v>
      </c>
      <c r="C994" s="2784" t="str">
        <f>'Part VII-Threshold Criteria'!C143</f>
        <v>Fenced community gardens</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114">
      <c r="A996" s="2782" t="str">
        <f>'Part VII-Threshold Criteria'!A145</f>
        <v>None of the proposed amenities require a waiver.</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1729</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2495</v>
      </c>
      <c r="B1001" s="2781" t="s">
        <v>3950</v>
      </c>
      <c r="C1001" s="2781"/>
      <c r="D1001" s="2781"/>
      <c r="E1001" s="2781"/>
      <c r="F1001" s="2781"/>
      <c r="G1001" s="2781"/>
      <c r="H1001" s="2789"/>
      <c r="I1001" s="2789"/>
      <c r="J1001" s="2789"/>
      <c r="K1001" s="2789"/>
      <c r="L1001" s="2813"/>
      <c r="M1001" s="2814"/>
      <c r="N1001" s="2105"/>
      <c r="O1001" s="2786" t="s">
        <v>1730</v>
      </c>
      <c r="P1001" s="2781"/>
      <c r="Q1001" s="2781"/>
    </row>
    <row r="1002" spans="1:17" ht="15">
      <c r="A1002" s="2105"/>
      <c r="B1002" s="2105" t="s">
        <v>6803</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1805</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71.25">
      <c r="A1006" s="2782" t="str">
        <f>'Part VII-Threshold Criteria'!A155</f>
        <v>This is not a rehab development.</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1729</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2079</v>
      </c>
      <c r="B1011" s="2781" t="s">
        <v>2430</v>
      </c>
      <c r="C1011" s="2781"/>
      <c r="D1011" s="2781"/>
      <c r="E1011" s="2781"/>
      <c r="F1011" s="2781"/>
      <c r="G1011" s="2781"/>
      <c r="H1011" s="2789"/>
      <c r="I1011" s="2789"/>
      <c r="J1011" s="2789"/>
      <c r="K1011" s="2789"/>
      <c r="L1011" s="2789"/>
      <c r="M1011" s="2789"/>
      <c r="N1011" s="2105"/>
      <c r="O1011" s="2786" t="s">
        <v>1730</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185.25">
      <c r="A1013" s="2782" t="str">
        <f>'Part VII-Threshold Criteria'!A162</f>
        <v>The CSDP and supplemental documents meet the requirements of the section.</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1729</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3369</v>
      </c>
      <c r="B1018" s="2785" t="s">
        <v>2431</v>
      </c>
      <c r="C1018" s="2785"/>
      <c r="D1018" s="2789"/>
      <c r="E1018" s="2789"/>
      <c r="F1018" s="2789"/>
      <c r="G1018" s="2789"/>
      <c r="H1018" s="2789"/>
      <c r="I1018" s="2789"/>
      <c r="J1018" s="2789"/>
      <c r="K1018" s="2789"/>
      <c r="L1018" s="2789"/>
      <c r="M1018" s="2789"/>
      <c r="N1018" s="2105"/>
      <c r="O1018" s="2786" t="s">
        <v>1730</v>
      </c>
      <c r="P1018" s="2781"/>
      <c r="Q1018" s="2781"/>
    </row>
    <row r="1019" spans="1:17" ht="15">
      <c r="A1019" s="2793" t="s">
        <v>1840</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1842</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85.25">
      <c r="A1025" s="2782" t="str">
        <f>'Part VII-Threshold Criteria'!A174</f>
        <v>The development will receive a National Green Building Standard Certification.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1729</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3370</v>
      </c>
      <c r="B1030" s="2785" t="s">
        <v>2432</v>
      </c>
      <c r="C1030" s="2816"/>
      <c r="D1030" s="2816"/>
      <c r="E1030" s="2789"/>
      <c r="F1030" s="2789"/>
      <c r="G1030" s="2789"/>
      <c r="H1030" s="2789"/>
      <c r="I1030" s="2789"/>
      <c r="J1030" s="2789"/>
      <c r="K1030" s="2789"/>
      <c r="L1030" s="2789"/>
      <c r="M1030" s="2789"/>
      <c r="N1030" s="2105"/>
      <c r="O1030" s="2786" t="s">
        <v>1730</v>
      </c>
      <c r="P1030" s="2781"/>
      <c r="Q1030" s="2781"/>
    </row>
    <row r="1031" spans="1:17" ht="15">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5">
      <c r="A1034" s="2793" t="s">
        <v>1842</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5">
      <c r="A1035" s="2793"/>
      <c r="B1035" s="2105" t="s">
        <v>6809</v>
      </c>
      <c r="C1035" s="2105"/>
      <c r="D1035" s="2782"/>
      <c r="E1035" s="2782"/>
      <c r="F1035" s="2782"/>
      <c r="G1035" s="2782"/>
      <c r="H1035" s="2105"/>
      <c r="I1035" s="2105"/>
      <c r="J1035" s="2105"/>
      <c r="K1035" s="2533"/>
      <c r="L1035" s="2819">
        <f>ROUNDUP('Part V-Revenues &amp; Expenses'!$P$67*M1035,0)</f>
        <v>11</v>
      </c>
      <c r="M1035" s="2820">
        <f>'DCA Underwriting Assumptions'!$Q$122</f>
        <v>0.05</v>
      </c>
      <c r="N1035" s="2105"/>
      <c r="O1035" s="2795"/>
      <c r="P1035" s="2781">
        <f>'Part VII-Threshold Criteria'!P184</f>
        <v>11</v>
      </c>
      <c r="Q1035" s="2781"/>
    </row>
    <row r="1036" spans="1:17" ht="15" customHeight="1">
      <c r="A1036" s="2793"/>
      <c r="B1036" s="2106"/>
      <c r="C1036" s="2105"/>
      <c r="D1036" s="2782" t="s">
        <v>6810</v>
      </c>
      <c r="E1036" s="2782"/>
      <c r="F1036" s="2782"/>
      <c r="G1036" s="2782"/>
      <c r="H1036" s="2782"/>
      <c r="I1036" s="2782"/>
      <c r="J1036" s="2782"/>
      <c r="K1036" s="2533"/>
      <c r="L1036" s="2819">
        <f>ROUNDUP(L1035*M1036,0)</f>
        <v>5</v>
      </c>
      <c r="M1036" s="2820">
        <f>'DCA Underwriting Assumptions'!$Q$123</f>
        <v>0.4</v>
      </c>
      <c r="N1036" s="2105"/>
      <c r="O1036" s="2795"/>
      <c r="P1036" s="2781">
        <f>'Part VII-Threshold Criteria'!P185</f>
        <v>5</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5</v>
      </c>
      <c r="M1037" s="2820">
        <f>'DCA Underwriting Assumptions'!$Q$124</f>
        <v>0.02</v>
      </c>
      <c r="N1037" s="2105"/>
      <c r="O1037" s="2795"/>
      <c r="P1037" s="2781">
        <f>'Part VII-Threshold Criteria'!P186</f>
        <v>5</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28.25">
      <c r="A1039" s="2782" t="str">
        <f>'Part VII-Threshold Criteria'!A188</f>
        <v>The development will comply with the required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1729</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3368</v>
      </c>
      <c r="B1044" s="2781" t="s">
        <v>2433</v>
      </c>
      <c r="C1044" s="2781"/>
      <c r="D1044" s="2781"/>
      <c r="E1044" s="2781"/>
      <c r="F1044" s="2781"/>
      <c r="G1044" s="2781"/>
      <c r="H1044" s="2789"/>
      <c r="I1044" s="2789"/>
      <c r="J1044" s="2789"/>
      <c r="K1044" s="2789"/>
      <c r="L1044" s="2789"/>
      <c r="M1044" s="2789"/>
      <c r="N1044" s="2105"/>
      <c r="O1044" s="2786" t="s">
        <v>1730</v>
      </c>
      <c r="P1044" s="2781"/>
      <c r="Q1044" s="2781"/>
    </row>
    <row r="1045" spans="1:17" ht="15">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1842</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6910</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6911</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28.25">
      <c r="A1054" s="2782" t="str">
        <f>'Part VII-Threshold Criteria'!A203</f>
        <v>The development will comply with the required standards.</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1729</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3371</v>
      </c>
      <c r="B1059" s="2785" t="s">
        <v>6532</v>
      </c>
      <c r="C1059" s="2785"/>
      <c r="D1059" s="2789"/>
      <c r="E1059" s="2789"/>
      <c r="F1059" s="2789"/>
      <c r="G1059" s="2789"/>
      <c r="H1059" s="2789"/>
      <c r="I1059" s="2105"/>
      <c r="J1059" s="2105"/>
      <c r="K1059" s="2105"/>
      <c r="L1059" s="2105"/>
      <c r="M1059" s="2105"/>
      <c r="N1059" s="2105"/>
      <c r="O1059" s="2786" t="s">
        <v>1730</v>
      </c>
      <c r="P1059" s="2781"/>
      <c r="Q1059" s="2781"/>
    </row>
    <row r="1060" spans="1:17" ht="15">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6818</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Certifying Entity met the Experience requirements in 2022 with its Anthem III Application. It was deemed Qualified with its Qualification Determination request for Finley Place during the Pre-Application round. It did not submit a 2023 Pre-Application for Westbury since there was no pre-application 4% round. The Certifying Entity still meets all requirements of the QAP for Experience, Capacity, and Performance.</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1729</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3372</v>
      </c>
      <c r="B1072" s="2781" t="s">
        <v>6538</v>
      </c>
      <c r="C1072" s="2781"/>
      <c r="D1072" s="2781"/>
      <c r="E1072" s="2781"/>
      <c r="F1072" s="2781"/>
      <c r="G1072" s="2781"/>
      <c r="H1072" s="2789"/>
      <c r="I1072" s="2789"/>
      <c r="J1072" s="2789"/>
      <c r="K1072" s="2789"/>
      <c r="L1072" s="2789"/>
      <c r="M1072" s="2789"/>
      <c r="N1072" s="2795"/>
      <c r="O1072" s="2786" t="s">
        <v>1730</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1840</v>
      </c>
      <c r="B1074" s="2821" t="s">
        <v>7005</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1842</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1961</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4.25">
      <c r="A1079" s="2782" t="str">
        <f>'Part VII-Threshold Criteria'!A228</f>
        <v>N/A</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1729</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3375</v>
      </c>
      <c r="B1084" s="2781" t="s">
        <v>3357</v>
      </c>
      <c r="C1084" s="2781"/>
      <c r="D1084" s="2781"/>
      <c r="E1084" s="2781"/>
      <c r="F1084" s="2781"/>
      <c r="G1084" s="2781"/>
      <c r="H1084" s="2789"/>
      <c r="I1084" s="2789"/>
      <c r="J1084" s="2789"/>
      <c r="K1084" s="2789"/>
      <c r="L1084" s="2789"/>
      <c r="M1084" s="2789"/>
      <c r="N1084" s="2793"/>
      <c r="O1084" s="2786" t="s">
        <v>1730</v>
      </c>
      <c r="P1084" s="2781"/>
      <c r="Q1084" s="2781"/>
    </row>
    <row r="1085" spans="1:17" ht="15">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6825</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1962</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1963</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5">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4.25">
      <c r="A1095" s="2782" t="str">
        <f>'Part VII-Threshold Criteria'!A244</f>
        <v>N/A</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1729</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3376</v>
      </c>
      <c r="B1100" s="2781" t="s">
        <v>2434</v>
      </c>
      <c r="C1100" s="2781"/>
      <c r="D1100" s="2781"/>
      <c r="E1100" s="2789"/>
      <c r="F1100" s="2105"/>
      <c r="G1100" s="2105" t="s">
        <v>655</v>
      </c>
      <c r="H1100" s="2789"/>
      <c r="I1100" s="2789"/>
      <c r="J1100" s="2789"/>
      <c r="K1100" s="2789"/>
      <c r="L1100" s="2789"/>
      <c r="M1100" s="2789"/>
      <c r="N1100" s="2105"/>
      <c r="O1100" s="2786" t="s">
        <v>1730</v>
      </c>
      <c r="P1100" s="2781"/>
      <c r="Q1100" s="2781"/>
    </row>
    <row r="1101" spans="1:17" ht="15">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57">
      <c r="A1107" s="2782" t="str">
        <f>'Part VII-Threshold Criteria'!A256</f>
        <v>No legal opinions are required.</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1729</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3377</v>
      </c>
      <c r="B1112" s="2781" t="s">
        <v>3938</v>
      </c>
      <c r="C1112" s="2781"/>
      <c r="D1112" s="2781"/>
      <c r="E1112" s="2781"/>
      <c r="F1112" s="2781"/>
      <c r="G1112" s="2781"/>
      <c r="H1112" s="2789"/>
      <c r="I1112" s="2789"/>
      <c r="J1112" s="2789"/>
      <c r="K1112" s="2789"/>
      <c r="L1112" s="2789"/>
      <c r="M1112" s="2789"/>
      <c r="N1112" s="2105"/>
      <c r="O1112" s="2786" t="s">
        <v>1730</v>
      </c>
      <c r="P1112" s="2781"/>
      <c r="Q1112" s="2781"/>
    </row>
    <row r="1113" spans="1:17" ht="14.25">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5">
      <c r="A1114" s="2793" t="s">
        <v>1840</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42.5">
      <c r="A1119" s="2782" t="str">
        <f>'Part VII-Threshold Criteria'!A268</f>
        <v>The site has no tenants on the property. No displacement will occur.</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1729</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3378</v>
      </c>
      <c r="B1124" s="2781" t="s">
        <v>2508</v>
      </c>
      <c r="C1124" s="2781"/>
      <c r="D1124" s="2781"/>
      <c r="E1124" s="2789"/>
      <c r="F1124" s="2789"/>
      <c r="G1124" s="2789"/>
      <c r="H1124" s="2789"/>
      <c r="I1124" s="2105"/>
      <c r="J1124" s="2105"/>
      <c r="K1124" s="2105"/>
      <c r="L1124" s="2105"/>
      <c r="M1124" s="2105"/>
      <c r="N1124" s="2105"/>
      <c r="O1124" s="2786" t="s">
        <v>1730</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1840</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1842</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1843</v>
      </c>
      <c r="D1128" s="2784" t="s">
        <v>3866</v>
      </c>
      <c r="E1128" s="2784"/>
      <c r="F1128" s="2784"/>
      <c r="G1128" s="2784"/>
      <c r="H1128" s="2784"/>
      <c r="I1128" s="2784"/>
      <c r="J1128" s="2784"/>
      <c r="K1128" s="2784"/>
      <c r="L1128" s="2784"/>
      <c r="M1128" s="2784"/>
      <c r="N1128" s="2784"/>
      <c r="O1128" s="2784"/>
      <c r="P1128" s="2795"/>
      <c r="Q1128" s="2108"/>
    </row>
    <row r="1129" spans="1:17" ht="15">
      <c r="A1129" s="2105"/>
      <c r="B1129" s="2105"/>
      <c r="C1129" s="2822" t="s">
        <v>1845</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1961</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409.5">
      <c r="A1137" s="2782" t="str">
        <f>'Part VII-Threshold Criteria'!A286</f>
        <v>The development team agrees to prepare and submit an AFFH marketing plan that meets the requirements above, and agrees to provide reasonable accomodation for residents in the Property Management's tenant application.</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1729</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3379</v>
      </c>
      <c r="B1142" s="2781" t="s">
        <v>2435</v>
      </c>
      <c r="C1142" s="2105"/>
      <c r="D1142" s="2781"/>
      <c r="E1142" s="2789"/>
      <c r="F1142" s="2789"/>
      <c r="G1142" s="2789"/>
      <c r="H1142" s="2789"/>
      <c r="I1142" s="2105"/>
      <c r="J1142" s="2789"/>
      <c r="K1142" s="2789"/>
      <c r="L1142" s="2789"/>
      <c r="M1142" s="2789"/>
      <c r="N1142" s="2105"/>
      <c r="O1142" s="2786" t="s">
        <v>1730</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242.25">
      <c r="A1144" s="2782" t="str">
        <f>'Part VII-Threshold Criteria'!A293</f>
        <v>The development is an effective, efficient, and lawful allocation and utilization of the Housing Credit Program.</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1729</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Westbury,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2049</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2050</v>
      </c>
      <c r="P1155" s="2461" t="s">
        <v>2050</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62</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3393</v>
      </c>
      <c r="C1164" s="2399"/>
      <c r="D1164" s="2399"/>
      <c r="E1164" s="2836">
        <f>'Part VIII Scoring Criteria'!E13</f>
        <v>20</v>
      </c>
      <c r="F1164" s="2835" t="str">
        <f>'Part VIII Scoring Criteria'!F13</f>
        <v>Westbury has eleven (11) Desirable Activities within 1.5 miles and qualifies for twenty-two (22.0) Desirable Activities points, which allows the development to receive the maximum twenty (20) points in the category. The Food Desert Map states the site is in a Food Desert, but there is a Supermarket, Georgetown Food Market, within 0.2 miles. There is another grocery store, Food Depot, within a mile.</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4037</v>
      </c>
      <c r="C1165" s="2399"/>
      <c r="D1165" s="2399"/>
      <c r="E1165" s="2838">
        <f>'Part VIII Scoring Criteria'!E14</f>
        <v>4</v>
      </c>
      <c r="F1165" s="2835" t="str">
        <f>'Part VIII Scoring Criteria'!F14</f>
        <v>Westbury is within one (1.0) miles walking distance of a transit hub as defined by DCA. The hub services three bus lines - Routes 111, 116, and 119 - for MARTA. The lines are available more than five days a week. The services are publicized to the general public, the services are available to all residents, and services local routes. The MARTA website includes the cost of service, relevant transit route information, and route schedules. All backup documentation has been provided.</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c r="A1166" s="2835" t="s">
        <v>720</v>
      </c>
      <c r="B1166" s="2396" t="s">
        <v>3338</v>
      </c>
      <c r="C1166" s="2399"/>
      <c r="D1166" s="2399"/>
      <c r="E1166" s="2838">
        <f>'Part VIII Scoring Criteria'!E15</f>
        <v>0</v>
      </c>
      <c r="F1166" s="2835" t="str">
        <f>'Part VIII Scoring Criteria'!F15</f>
        <v>N/A</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3394</v>
      </c>
      <c r="C1167" s="2399"/>
      <c r="D1167" s="2399"/>
      <c r="E1167" s="2838">
        <f>'Part VIII Scoring Criteria'!E16</f>
        <v>7</v>
      </c>
      <c r="F1167" s="2835" t="str">
        <f>'Part VIII Scoring Criteria'!F16</f>
        <v>The development is within an area of a qualifying Community Revitalization Plan. The site is within the clearly Targeted Area that does not encompass the full Local Government Boundary. The plan discusses housing as a goal of the CRP. The plan includes an assessment of the targeted area's existing infrastructure. The plan designates implementation measures, and has been officially approved by the Local Government within ten (10) years. The site is within the Targeted Area. The Local Government solicited public input and engagement. The Local Government has demonstrated financial commitment to advance the CRP by adopting a TAD and a CID. The site is within a Qualified Census Tract. There has been Third Party Capital Investment that qualifies for the full two (2) points.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N/A</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4040</v>
      </c>
      <c r="B1170" s="2396" t="s">
        <v>3262</v>
      </c>
      <c r="C1170" s="2399"/>
      <c r="D1170" s="2399"/>
      <c r="E1170" s="2836">
        <f>'Part VIII Scoring Criteria'!E19</f>
        <v>0</v>
      </c>
      <c r="F1170" s="2835" t="str">
        <f>'Part VIII Scoring Criteria'!F19</f>
        <v>N/A</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6638</v>
      </c>
      <c r="B1174" s="2396" t="s">
        <v>6637</v>
      </c>
      <c r="C1174" s="2399"/>
      <c r="D1174" s="2399"/>
      <c r="E1174" s="2836">
        <f>'Part VIII Scoring Criteria'!E23</f>
        <v>2</v>
      </c>
      <c r="F1174" s="2835" t="str">
        <f>'Part VIII Scoring Criteria'!F23</f>
        <v>The Applicant commits to engage QBs in the development or operation of Westbury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
      <c r="A1177" s="2835" t="s">
        <v>3375</v>
      </c>
      <c r="B1177" s="2396" t="s">
        <v>3397</v>
      </c>
      <c r="C1177" s="2399"/>
      <c r="D1177" s="2399"/>
      <c r="E1177" s="2836">
        <f>'Part VIII Scoring Criteria'!E26</f>
        <v>0</v>
      </c>
      <c r="F1177" s="2835" t="str">
        <f>'Part VIII Scoring Criteria'!F26</f>
        <v>N/A</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3</v>
      </c>
      <c r="F1179" s="2835" t="str">
        <f>'Part VIII Scoring Criteria'!F28</f>
        <v>The Applicant agrees to accept a DCA PBRA Agreement for not more than 20% of the units. The development will have a Family tenancy.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0</v>
      </c>
      <c r="F1180" s="2835" t="str">
        <f>'Part VIII Scoring Criteria'!F29</f>
        <v>N/A</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835" t="s">
        <v>3802</v>
      </c>
      <c r="B1181" s="2396" t="s">
        <v>6552</v>
      </c>
      <c r="C1181" s="2399"/>
      <c r="D1181" s="2399"/>
      <c r="E1181" s="2836">
        <f>'Part VIII Scoring Criteria'!E30</f>
        <v>0</v>
      </c>
      <c r="F1181" s="2835" t="str">
        <f>'Part VIII Scoring Criteria'!F30</f>
        <v>N/A</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0</v>
      </c>
      <c r="F1182" s="2835" t="str">
        <f>'Part VIII Scoring Criteria'!F31</f>
        <v>N/A</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6915</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7" t="s">
        <v>6944</v>
      </c>
      <c r="B1185" s="3937"/>
      <c r="C1185" s="3937"/>
      <c r="D1185" s="3937"/>
      <c r="E1185" s="2390"/>
      <c r="F1185" s="2456" t="s">
        <v>6880</v>
      </c>
      <c r="G1185" s="2456"/>
      <c r="H1185" s="2456"/>
      <c r="I1185" s="2456"/>
      <c r="J1185" s="2196" t="s">
        <v>6139</v>
      </c>
      <c r="K1185" s="2196"/>
      <c r="L1185" s="2196"/>
      <c r="M1185" s="2196"/>
      <c r="N1185" s="2340"/>
      <c r="O1185" s="2197" t="s">
        <v>6881</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6906</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31</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1840</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1843</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1845</v>
      </c>
      <c r="C1195" s="2197" t="s">
        <v>6872</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1842</v>
      </c>
      <c r="B1199" s="2196" t="s">
        <v>679</v>
      </c>
      <c r="C1199" s="2197"/>
      <c r="D1199" s="2197"/>
      <c r="E1199" s="2197"/>
      <c r="F1199" s="2310"/>
      <c r="G1199" s="2197"/>
      <c r="H1199" s="2197"/>
      <c r="I1199" s="2197"/>
      <c r="J1199" s="2832"/>
      <c r="K1199" s="2197"/>
      <c r="L1199" s="2197"/>
      <c r="M1199" s="2310"/>
      <c r="N1199" s="2460" t="s">
        <v>1842</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3179</v>
      </c>
      <c r="G1201" s="2456" t="s">
        <v>7013</v>
      </c>
      <c r="H1201" s="2456"/>
      <c r="I1201" s="2456"/>
      <c r="J1201" s="2310" t="s">
        <v>3179</v>
      </c>
      <c r="K1201" s="2845" t="s">
        <v>7014</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1840</v>
      </c>
      <c r="B1219" s="2851" t="s">
        <v>6876</v>
      </c>
      <c r="C1219" s="2431"/>
      <c r="D1219" s="2431"/>
      <c r="E1219" s="2431"/>
      <c r="F1219" s="2431"/>
      <c r="G1219" s="2390" t="s">
        <v>6645</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3812</v>
      </c>
      <c r="D1220" s="2197"/>
      <c r="E1220" s="2197"/>
      <c r="F1220" s="2197"/>
      <c r="G1220" s="2197" t="s">
        <v>3813</v>
      </c>
      <c r="H1220" s="2197"/>
      <c r="I1220" s="2197"/>
      <c r="J1220" s="2854">
        <f>'Part V-Revenues &amp; Expenses'!$B$50</f>
        <v>57.857142857142854</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1842</v>
      </c>
      <c r="B1223" s="2851" t="s">
        <v>6879</v>
      </c>
      <c r="C1223" s="2390"/>
      <c r="D1223" s="2390"/>
      <c r="E1223" s="2390"/>
      <c r="F1223" s="2390"/>
      <c r="G1223" s="2391" t="s">
        <v>6845</v>
      </c>
      <c r="H1223" s="2390"/>
      <c r="I1223" s="2197"/>
      <c r="J1223" s="2844">
        <f>IF(OR('Part V-Revenues &amp; Expenses'!$P$65="", 'Part V-Revenues &amp; Expenses'!$P$65=0),0,'Part V-Revenues &amp; Expenses'!$P$100/'Part V-Revenues &amp; Expenses'!$P$65)</f>
        <v>9.5238095238095233E-2</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1729</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1840</v>
      </c>
      <c r="B1229" s="2196" t="s">
        <v>1736</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1842</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Westbury has eleven (11) Desirable Activities within 1.5 miles and qualifies for twenty-two (22.0) Desirable Activities points, which allows the development to receive the maximum twenty (20) points in the category. The Food Desert Map states the site is in a Food Desert, but there is a Supermarket, Georgetown Food Market, within 0.2 miles. There is another grocery store, Food Depot, within a mile.</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1729</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4</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3216</v>
      </c>
      <c r="G1239" s="2197"/>
      <c r="H1239" s="2197"/>
      <c r="I1239" s="2197"/>
      <c r="J1239" s="2197" t="s">
        <v>3217</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6847</v>
      </c>
      <c r="D1240" s="2390"/>
      <c r="E1240" s="2390"/>
      <c r="F1240" s="2197">
        <f>'Part VIII Scoring Criteria'!F89</f>
        <v>33.759445999999997</v>
      </c>
      <c r="G1240" s="2197"/>
      <c r="H1240" s="2197"/>
      <c r="I1240" s="2197"/>
      <c r="J1240" s="2197">
        <f>'Part VIII Scoring Criteria'!J89</f>
        <v>-84.237944999999996</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6848</v>
      </c>
      <c r="D1241" s="2390"/>
      <c r="E1241" s="2390"/>
      <c r="F1241" s="2197">
        <f>'Part VIII Scoring Criteria'!F90</f>
        <v>33.763463999999999</v>
      </c>
      <c r="G1241" s="2197"/>
      <c r="H1241" s="2197"/>
      <c r="I1241" s="2197"/>
      <c r="J1241" s="2197">
        <f>'Part VIII Scoring Criteria'!J90</f>
        <v>-84.227771000000004</v>
      </c>
      <c r="K1241" s="2197"/>
      <c r="L1241" s="2197"/>
      <c r="M1241" s="2197"/>
      <c r="N1241" s="2460"/>
      <c r="O1241" s="2866">
        <f>'Part VIII Scoring Criteria'!O90</f>
        <v>0.8</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6885</v>
      </c>
      <c r="C1242" s="2390"/>
      <c r="D1242" s="2390"/>
      <c r="E1242" s="2390"/>
      <c r="F1242" s="2340" t="s">
        <v>6849</v>
      </c>
      <c r="G1242" s="2197" t="s">
        <v>1672</v>
      </c>
      <c r="H1242" s="2197"/>
      <c r="I1242" s="2197"/>
      <c r="J1242" s="2197" t="s">
        <v>6882</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Metropolitan Atlanta Rapid Transit Agency</v>
      </c>
      <c r="C1243" s="2197"/>
      <c r="D1243" s="2197"/>
      <c r="E1243" s="2197"/>
      <c r="F1243" s="2869" t="str">
        <f>'Part VIII Scoring Criteria'!F92</f>
        <v>404-848-5000</v>
      </c>
      <c r="G1243" s="2197" t="str">
        <f>'Part VIII Scoring Criteria'!G92</f>
        <v>schedinfo@itsmarta.com</v>
      </c>
      <c r="H1243" s="2197"/>
      <c r="I1243" s="2197"/>
      <c r="J1243" s="2197" t="str">
        <f>'Part VIII Scoring Criteria'!J92</f>
        <v>http://www.itsmarta.com/111.aspx; http://www.itsmarta.com/116.aspx; http://www.itsmarta.com/119.aspx</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1840</v>
      </c>
      <c r="B1245" s="2196" t="s">
        <v>3238</v>
      </c>
      <c r="C1245" s="2390"/>
      <c r="D1245" s="2390"/>
      <c r="E1245" s="2390"/>
      <c r="F1245" s="2458"/>
      <c r="G1245" s="2390"/>
      <c r="H1245" s="2390"/>
      <c r="I1245" s="2390"/>
      <c r="J1245" s="2390"/>
      <c r="K1245" s="2390"/>
      <c r="L1245" s="2390"/>
      <c r="M1245" s="2461">
        <v>6</v>
      </c>
      <c r="N1245" s="2842"/>
      <c r="O1245" s="2871">
        <f>'Part VIII Scoring Criteria'!O94</f>
        <v>4</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1843</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1845</v>
      </c>
      <c r="C1247" s="2197" t="s">
        <v>7016</v>
      </c>
      <c r="D1247" s="2197"/>
      <c r="E1247" s="2197"/>
      <c r="F1247" s="2197"/>
      <c r="G1247" s="2197"/>
      <c r="H1247" s="2197"/>
      <c r="I1247" s="2197"/>
      <c r="J1247" s="2431"/>
      <c r="K1247" s="2431"/>
      <c r="L1247" s="2431"/>
      <c r="M1247" s="2310">
        <v>5</v>
      </c>
      <c r="N1247" s="2833"/>
      <c r="O1247" s="2830">
        <f>'Part VIII Scoring Criteria'!O96</f>
        <v>4</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1842</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1843</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1845</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Westbury is within one (1.0) miles walking distance of a transit hub as defined by DCA. The hub services three bus lines - Routes 111, 116, and 119 - for MARTA. The lines are available more than five days a week. The services are publicized to the general public, the services are available to all residents, and services local routes. The MARTA website includes the cost of service, relevant transit route information, and route schedules. All backup documentation has been provided.</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1729</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6887</v>
      </c>
      <c r="K1258" s="2885"/>
      <c r="L1258" s="2884" t="s">
        <v>6888</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c r="A1268" s="2399" t="str">
        <f>'Part VIII Scoring Criteria'!A117</f>
        <v>N/A</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1729</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1840</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6886</v>
      </c>
      <c r="D1276" s="2396"/>
      <c r="E1276" s="2396"/>
      <c r="F1276" s="2396"/>
      <c r="G1276" s="2396"/>
      <c r="H1276" s="2396"/>
      <c r="I1276" s="2396"/>
      <c r="J1276" s="2396"/>
      <c r="K1276" s="2396"/>
      <c r="L1276" s="2857"/>
      <c r="M1276" s="2431" t="str">
        <f>'Part VIII Scoring Criteria'!M125</f>
        <v>Page 8 of Part 1 pdf and Page 69 of Part 1 pdf</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6852</v>
      </c>
      <c r="D1277" s="2197"/>
      <c r="E1277" s="2197"/>
      <c r="F1277" s="2197"/>
      <c r="G1277" s="2197"/>
      <c r="H1277" s="2197"/>
      <c r="I1277" s="2197"/>
      <c r="J1277" s="2197"/>
      <c r="K1277" s="2197"/>
      <c r="L1277" s="2460"/>
      <c r="M1277" s="2431" t="str">
        <f>'Part VIII Scoring Criteria'!M126</f>
        <v>Pages 10-13, 22, 24, 27, 28, 83, 109, 116, 123, 127-128, 131, 132, 135, 139-140, 142, 144-155 of Part 1 pdf</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6853</v>
      </c>
      <c r="D1278" s="2197"/>
      <c r="E1278" s="2197"/>
      <c r="F1278" s="2197"/>
      <c r="G1278" s="2197"/>
      <c r="H1278" s="2197"/>
      <c r="I1278" s="2197"/>
      <c r="J1278" s="2197"/>
      <c r="K1278" s="2197"/>
      <c r="L1278" s="2460"/>
      <c r="M1278" s="2431" t="str">
        <f>'Part VIII Scoring Criteria'!M127</f>
        <v>Page 31-110 of Part 1 pdf</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6854</v>
      </c>
      <c r="D1279" s="2197"/>
      <c r="E1279" s="2197"/>
      <c r="F1279" s="2197"/>
      <c r="G1279" s="2197"/>
      <c r="H1279" s="2197"/>
      <c r="I1279" s="2197"/>
      <c r="J1279" s="2197"/>
      <c r="K1279" s="2197"/>
      <c r="L1279" s="2460"/>
      <c r="M1279" s="2431" t="str">
        <f>'Part VIII Scoring Criteria'!M128</f>
        <v>123-172 of Part 2 pdf</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6891</v>
      </c>
      <c r="D1280" s="2197"/>
      <c r="E1280" s="2197"/>
      <c r="F1280" s="2197"/>
      <c r="G1280" s="2197"/>
      <c r="H1280" s="2197"/>
      <c r="I1280" s="2197"/>
      <c r="J1280" s="2197"/>
      <c r="K1280" s="2197"/>
      <c r="L1280" s="2460"/>
      <c r="M1280" s="2431" t="str">
        <f>'Part VIII Scoring Criteria'!M129</f>
        <v>Adoption PDF</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1843</v>
      </c>
      <c r="C1281" s="2851" t="s">
        <v>6890</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1845</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7025</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1842</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The development is within an area of a qualifying Community Revitalization Plan. The site is within the clearly Targeted Area that does not encompass the full Local Government Boundary. The plan discusses housing as a goal of the CRP. The plan includes an assessment of the targeted area's existing infrastructure. The plan designates implementation measures, and has been officially approved by the Local Government within ten (10) years. The site is within the Targeted Area. The Local Government solicited public input and engagement. The Local Government has demonstrated financial commitment to advance the CRP by adopting a TAD and a CID. The site is within a Qualified Census Tract. There has been Third Party Capital Investment that qualifies for the full two (2) points.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1729</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6898</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1729</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1840</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6254</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6892</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1842</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6219</v>
      </c>
      <c r="D1309" s="2390"/>
      <c r="E1309" s="2899" t="s">
        <v>6218</v>
      </c>
      <c r="F1309" s="2899"/>
      <c r="G1309" s="2899"/>
      <c r="H1309" s="2899"/>
      <c r="I1309" s="2340" t="s">
        <v>6893</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c r="A1316" s="2399" t="str">
        <f>'Part VIII Scoring Criteria'!A165</f>
        <v>N/A</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1729</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4034</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1840</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1842</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1729</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1840</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1842</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t="str">
        <f>'Part VIII Scoring Criteria'!A184</f>
        <v>N/A</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1729</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6857</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1729</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2495</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1840</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1842</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1729</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2079</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1840</v>
      </c>
      <c r="B1362" s="2196" t="s">
        <v>2064</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1843</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1845</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1842</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6894</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1729</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6858</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6895</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1729</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6896</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6897</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6859</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1840</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6860</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1842</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6861</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The Applicant commits to engage QBs in the development or operation of Westbury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1729</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1840</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1842</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1729</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1840</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6900</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1842</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6900</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1729</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1729</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1840</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6862</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1847</v>
      </c>
      <c r="K1434" s="2899"/>
      <c r="L1434" s="2390"/>
      <c r="M1434" s="2899" t="s">
        <v>1847</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1843</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1845</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1741</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3888</v>
      </c>
      <c r="C1443" s="2197" t="s">
        <v>6863</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6864</v>
      </c>
      <c r="C1444" s="2197" t="s">
        <v>6901</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6865</v>
      </c>
      <c r="C1445" s="2197" t="s">
        <v>6902</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6907</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2411</v>
      </c>
      <c r="D1448" s="2431"/>
      <c r="E1448" s="2431"/>
      <c r="F1448" s="2390"/>
      <c r="G1448" s="2390"/>
      <c r="H1448" s="2390"/>
      <c r="I1448" s="2460" t="s">
        <v>6235</v>
      </c>
      <c r="J1448" s="2916">
        <f>'Part V-Revenues &amp; Expenses'!$P$67</f>
        <v>210</v>
      </c>
      <c r="K1448" s="2916"/>
      <c r="L1448" s="2196"/>
      <c r="M1448" s="2196"/>
      <c r="N1448" s="2196"/>
      <c r="O1448" s="2390"/>
      <c r="P1448" s="2196"/>
      <c r="Q1448" s="2390"/>
      <c r="R1448" s="2390"/>
      <c r="S1448" s="2390"/>
      <c r="T1448" s="2390"/>
      <c r="U1448" s="2917" t="s">
        <v>6905</v>
      </c>
      <c r="V1448" s="2917" t="s">
        <v>6906</v>
      </c>
      <c r="W1448" s="2917" t="s">
        <v>6905</v>
      </c>
      <c r="X1448" s="2917" t="s">
        <v>6906</v>
      </c>
      <c r="Y1448" s="2917" t="s">
        <v>6905</v>
      </c>
      <c r="Z1448" s="2917" t="s">
        <v>6906</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6903</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6866</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6904</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1842</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6867</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6868</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6869</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
      <c r="A1458" s="2399" t="str">
        <f>'Part VIII Scoring Criteria'!A307</f>
        <v>N/A</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1729</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3376</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1840</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1842</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1729</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1729</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1840</v>
      </c>
      <c r="B1484" s="2196" t="s">
        <v>6606</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1842</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1961</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The Applicant agrees to accept a DCA PBRA Agreement for not more than 20% of the units. The development will have a Family tenancy. 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1729</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5">
      <c r="A1498" s="2399" t="str">
        <f>'Part VIII Scoring Criteria'!A347</f>
        <v>N/A</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1729</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3380</v>
      </c>
      <c r="B1503" s="2458" t="s">
        <v>6914</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6870</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1729</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5">
      <c r="A1511" s="2399" t="str">
        <f>'Part VIII Scoring Criteria'!A360</f>
        <v>N/A</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1729</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1840</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1842</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
      <c r="A1520" s="2399" t="str">
        <f>'Part VIII Scoring Criteria'!A369</f>
        <v>N/A</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1729</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6915</v>
      </c>
      <c r="B1525" s="2458" t="s">
        <v>6916</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1840</v>
      </c>
      <c r="B1526" s="2196" t="s">
        <v>6917</v>
      </c>
      <c r="C1526" s="2390"/>
      <c r="D1526" s="2390"/>
      <c r="E1526" s="2390" t="s">
        <v>6919</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6930</v>
      </c>
      <c r="E1527" s="2197"/>
      <c r="F1527" s="2197"/>
      <c r="G1527" s="2197" t="s">
        <v>6222</v>
      </c>
      <c r="H1527" s="2197"/>
      <c r="I1527" s="2197"/>
      <c r="J1527" s="2197" t="s">
        <v>575</v>
      </c>
      <c r="L1527" s="2340" t="s">
        <v>6931</v>
      </c>
      <c r="M1527" s="3937" t="s">
        <v>6941</v>
      </c>
      <c r="N1527" s="3937"/>
      <c r="O1527" s="3937"/>
      <c r="P1527" s="3937"/>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1842</v>
      </c>
      <c r="B1538" s="2875" t="s">
        <v>6918</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t="str">
        <f>'Part VIII Scoring Criteria'!A389</f>
        <v>N/A</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1729</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6920</v>
      </c>
      <c r="B1545" s="2458" t="s">
        <v>6921</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1840</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This development will close and commence construction in 2024 if it receives an invitation to apply. The team will be ready to provide a full application within one week of receiving a notice from DCA, considering an almost complete application has been provided during this application round. 
Site:
Importantly, the site is zoned and does not require any special approvals or variances. Further, it does not require any combination or subdivision plats, and all utilities are readily available to the site. No easements are required from adjacent land owners.
Development Team:
Prestwick is more equipped than our competitors to close quickly. While other development team staff are either national or small development companies, we have specialized staff that is local and focused on the Atlanta area. We have a Development Manager staffed to work with the design professionals to design the property and usher it through the permitting process. He has permitted and closed two other 4% bond developments in Unincorporated Dekalb County within the last twelve months. He understands the challenges and needs of the county professionals, and is equipped to meet those needs. Prestwick also has dedicated finance professionals focused on closing the transaction with debt and equity. We have long-term relationships with our lenders and investors, and do not need the time our competitors need to negotiate an LPA. We have already negotiated ours. Our team knows how to work through the Due Diligence process with these lenders and investors, and can also get through the Plan and Cost Review Process Quickly. This will be Prestwick's sixth (6th) development in Dekalb County.
This is also Prestwick's fifth development with the Housing Authority of Dekalb County and the Housing Development Corporation. The team knows how to navigate all necessary county approvals, and has provided to DCA its Bond Inducement Resolution. There are no architectural review boards or community meetings required for the team to move to close.
Consultants: 
The development team has built a larger team to be able to move towards closing quickly. 
Architect - Geheber Lewis and Associates have designed more than thirty (30) communities with Prestwick Development Company. The design timeline has shrunk due to using the same footprints and units after we have optimized them. The team is very flexible and responsive.
Engineer - Foresite Group has entitled and worked on more than ten (10) developments in DeKalb County within the last five (5) years. The team knows how to draw civil plans to get Land Disturbance Permits Quickly. 
Expeditor - Battle Law and Michele Battle is a best in class zoning and land use attorney. They help interface and provide needed support to expedite processes within Dekalb County. As a member of the team, Battle Law ensures that the development stays on track with the county. While active throughout the metro, the team is exceptional at working with Dekalb County.
Contractor - JM Wilkerson Construction is prepared with a team to close when the development team is ready. This will be the third development completed with the Prestwick Team.
Attorneys - Arnall Golden Gregory is the best in class attorney representing the developer.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1842</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1729</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62</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t="str">
        <f>'Part VIII Scoring Criteria'!A408</f>
        <v>This is an effective and efficient use of resources for the program.</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1938</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1939</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1940</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1941</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0"/>
      <c r="B1568" s="2390"/>
      <c r="C1568" s="2393" t="s">
        <v>1979</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6912</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5">
      <c r="A1571" s="2390"/>
      <c r="B1571" s="2390"/>
      <c r="C1571" s="2393" t="s">
        <v>1974</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1975</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1976</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1977</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1978</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4</v>
      </c>
      <c r="AZ1575" s="2930">
        <f>O1237</f>
        <v>4</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2107</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4063</v>
      </c>
      <c r="H1580" s="2390" t="s">
        <v>4064</v>
      </c>
      <c r="I1580" s="2395" t="s">
        <v>4062</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2319</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4066</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4065</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2350</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2079</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2079</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4065</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4065</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4065</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1908</v>
      </c>
      <c r="H1589" s="2340" t="s">
        <v>4066</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4066</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4065</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2498</v>
      </c>
      <c r="B1592" s="2390"/>
      <c r="C1592" s="2390"/>
      <c r="D1592" s="2390"/>
      <c r="E1592" s="2390"/>
      <c r="F1592" s="2390"/>
      <c r="G1592" s="2397" t="s">
        <v>1985</v>
      </c>
      <c r="H1592" s="2340" t="s">
        <v>4066</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2513</v>
      </c>
      <c r="B1593" s="2390"/>
      <c r="C1593" s="2390"/>
      <c r="D1593" s="2390"/>
      <c r="E1593" s="2390"/>
      <c r="F1593" s="2390"/>
      <c r="G1593" s="2397" t="s">
        <v>1906</v>
      </c>
      <c r="H1593" s="2340">
        <v>2019</v>
      </c>
      <c r="I1593" s="2340" t="s">
        <v>4065</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3005</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3006</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6913</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6913</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3007</v>
      </c>
      <c r="B1596" s="2390"/>
      <c r="C1596" s="2390"/>
      <c r="D1596" s="2396"/>
      <c r="E1596" s="2396">
        <v>10</v>
      </c>
      <c r="F1596" s="2390"/>
      <c r="G1596" s="2397" t="s">
        <v>1788</v>
      </c>
      <c r="H1596" s="2340">
        <v>2019</v>
      </c>
      <c r="I1596" s="2340" t="s">
        <v>4065</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2514</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6920</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6920</v>
      </c>
      <c r="AT1598" s="2197" t="s">
        <v>6925</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4065</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4066</v>
      </c>
      <c r="I1600" s="2395" t="s">
        <v>2453</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62</v>
      </c>
      <c r="AZ1600" s="2464">
        <f>'Part VIII Scoring Criteria'!AZ449</f>
        <v>62</v>
      </c>
      <c r="BA1600" s="2464">
        <f>'Part VIII Scoring Criteria'!BA449</f>
        <v>29</v>
      </c>
      <c r="BB1600" s="2464">
        <f>'Part VIII Scoring Criteria'!BB449</f>
        <v>29</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3019</v>
      </c>
      <c r="H1601" s="2340">
        <v>2019</v>
      </c>
      <c r="I1601" s="2340" t="s">
        <v>4065</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4065</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3345</v>
      </c>
      <c r="H1604" s="2340" t="s">
        <v>4066</v>
      </c>
      <c r="I1604" s="2395" t="s">
        <v>2453</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4066</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1706</v>
      </c>
      <c r="H1608" s="2340" t="s">
        <v>4066</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1968</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4065</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2095</v>
      </c>
      <c r="H1613" s="2340">
        <v>2020</v>
      </c>
      <c r="I1613" s="2340" t="s">
        <v>4065</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4060</v>
      </c>
      <c r="H1614" s="2340" t="s">
        <v>4066</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1748</v>
      </c>
      <c r="H1615" s="2340" t="s">
        <v>4066</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4066</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1950</v>
      </c>
      <c r="H1617" s="2340" t="s">
        <v>4066</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2087</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1973</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2153</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4066</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E18" sqref="E18"/>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Westbury, Decatur, DeKalb County</v>
      </c>
      <c r="B2" s="3120"/>
      <c r="C2" s="3120"/>
      <c r="D2" s="3120"/>
      <c r="E2" s="3120"/>
      <c r="F2" s="3120"/>
      <c r="G2" s="3120"/>
      <c r="H2" s="3120"/>
      <c r="I2" s="3120"/>
      <c r="J2" s="3120"/>
      <c r="K2" s="3120"/>
      <c r="L2" s="3120"/>
      <c r="M2" s="3120"/>
      <c r="N2" s="3120"/>
      <c r="O2" s="3120"/>
      <c r="P2" s="3120"/>
      <c r="Q2" s="3121"/>
      <c r="S2" s="3212" t="str">
        <f>$A$2</f>
        <v>PART TWO - SOURCES OF FUNDS (Proposed)  -  2023-5 Westbury, Decatur, DeKalb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2447</v>
      </c>
      <c r="T5" s="3213"/>
      <c r="Y5" s="1742"/>
      <c r="Z5" s="1706">
        <v>5</v>
      </c>
      <c r="AZ5" s="1676"/>
    </row>
    <row r="6" spans="1:52" s="223" customFormat="1" ht="16.5" customHeight="1">
      <c r="A6" s="375"/>
      <c r="B6" s="1232" t="s">
        <v>2649</v>
      </c>
      <c r="C6" s="224" t="s">
        <v>2218</v>
      </c>
      <c r="D6" s="144"/>
      <c r="E6" s="1232" t="s">
        <v>2652</v>
      </c>
      <c r="F6" s="224" t="s">
        <v>6079</v>
      </c>
      <c r="G6" s="144"/>
      <c r="I6" s="3223"/>
      <c r="J6" s="3224"/>
      <c r="L6" s="1232" t="s">
        <v>2652</v>
      </c>
      <c r="M6" s="224" t="s">
        <v>1437</v>
      </c>
      <c r="Q6" s="1620"/>
      <c r="S6" s="3214"/>
      <c r="T6" s="3215"/>
      <c r="Y6" s="1742"/>
      <c r="Z6" s="1706">
        <v>6</v>
      </c>
      <c r="AZ6" s="1676"/>
    </row>
    <row r="7" spans="1:52" s="223" customFormat="1" ht="16.5" customHeight="1">
      <c r="A7" s="375"/>
      <c r="B7" s="823" t="s">
        <v>2652</v>
      </c>
      <c r="C7" s="224" t="s">
        <v>3876</v>
      </c>
      <c r="D7" s="144"/>
      <c r="E7" s="818" t="s">
        <v>2652</v>
      </c>
      <c r="F7" s="224" t="s">
        <v>6080</v>
      </c>
      <c r="I7" s="3225"/>
      <c r="J7" s="3226"/>
      <c r="L7" s="823" t="s">
        <v>2652</v>
      </c>
      <c r="M7" s="224" t="s">
        <v>514</v>
      </c>
      <c r="P7" s="1620"/>
      <c r="Q7" s="1620"/>
      <c r="S7" s="3216"/>
      <c r="T7" s="3217"/>
      <c r="Y7" s="1742"/>
      <c r="Z7" s="1706">
        <v>7</v>
      </c>
      <c r="AZ7" s="1676"/>
    </row>
    <row r="8" spans="1:52" s="223" customFormat="1" ht="16.5" customHeight="1">
      <c r="A8" s="144"/>
      <c r="B8" s="823" t="s">
        <v>2652</v>
      </c>
      <c r="C8" s="224" t="s">
        <v>6660</v>
      </c>
      <c r="F8" s="223" t="s">
        <v>6663</v>
      </c>
      <c r="H8" s="3237" t="s">
        <v>3065</v>
      </c>
      <c r="I8" s="3238"/>
      <c r="J8" s="3239"/>
      <c r="L8" s="823" t="s">
        <v>2652</v>
      </c>
      <c r="M8" s="224" t="s">
        <v>6665</v>
      </c>
      <c r="P8" s="1620"/>
      <c r="Q8" s="1620"/>
      <c r="S8" s="3216"/>
      <c r="T8" s="3217"/>
      <c r="Y8" s="1742"/>
      <c r="Z8" s="1706">
        <v>8</v>
      </c>
      <c r="AZ8" s="1676"/>
    </row>
    <row r="9" spans="1:52" s="223" customFormat="1" ht="16.5" customHeight="1">
      <c r="A9" s="375"/>
      <c r="B9" s="823" t="s">
        <v>2652</v>
      </c>
      <c r="C9" s="223" t="s">
        <v>3300</v>
      </c>
      <c r="E9" s="1235" t="s">
        <v>2652</v>
      </c>
      <c r="F9" s="3229" t="s">
        <v>6659</v>
      </c>
      <c r="G9" s="3230"/>
      <c r="H9" s="3227"/>
      <c r="I9" s="3227"/>
      <c r="J9" s="3228"/>
      <c r="L9" s="823" t="s">
        <v>2652</v>
      </c>
      <c r="M9" s="224" t="s">
        <v>3877</v>
      </c>
      <c r="Q9" s="1620"/>
      <c r="S9" s="3218"/>
      <c r="T9" s="3219"/>
      <c r="Y9" s="1742"/>
      <c r="Z9" s="1706">
        <v>9</v>
      </c>
      <c r="AZ9" s="1676"/>
    </row>
    <row r="10" spans="1:52" s="223" customFormat="1" ht="16.5" customHeight="1">
      <c r="A10" s="375"/>
      <c r="B10" s="823" t="s">
        <v>2652</v>
      </c>
      <c r="C10" s="224" t="s">
        <v>2393</v>
      </c>
      <c r="F10" s="3231" t="s">
        <v>3769</v>
      </c>
      <c r="G10" s="3232"/>
      <c r="H10" s="3232"/>
      <c r="I10" s="3232"/>
      <c r="J10" s="3233"/>
      <c r="L10" s="823" t="s">
        <v>2652</v>
      </c>
      <c r="M10" s="224" t="s">
        <v>3193</v>
      </c>
      <c r="P10" s="1620"/>
      <c r="Q10" s="1620"/>
      <c r="S10" s="3214"/>
      <c r="T10" s="3215"/>
      <c r="Y10" s="1742"/>
      <c r="Z10" s="1706">
        <v>10</v>
      </c>
      <c r="AZ10" s="1676"/>
    </row>
    <row r="11" spans="1:52" s="223" customFormat="1" ht="16.5" customHeight="1">
      <c r="A11" s="375"/>
      <c r="B11" s="823" t="s">
        <v>2652</v>
      </c>
      <c r="C11" s="224" t="s">
        <v>2394</v>
      </c>
      <c r="E11" s="1235" t="s">
        <v>2652</v>
      </c>
      <c r="F11" s="3227" t="s">
        <v>6661</v>
      </c>
      <c r="G11" s="3227"/>
      <c r="H11" s="3227"/>
      <c r="I11" s="3227"/>
      <c r="J11" s="3228"/>
      <c r="L11" s="823" t="s">
        <v>2652</v>
      </c>
      <c r="M11" s="223" t="s">
        <v>2397</v>
      </c>
      <c r="S11" s="3216"/>
      <c r="T11" s="3217"/>
      <c r="Y11" s="1742"/>
      <c r="Z11" s="1706">
        <v>11</v>
      </c>
      <c r="AZ11" s="1676"/>
    </row>
    <row r="12" spans="1:52" s="223" customFormat="1" ht="16.5" customHeight="1">
      <c r="A12" s="375"/>
      <c r="B12" s="823" t="s">
        <v>2652</v>
      </c>
      <c r="C12" s="224" t="s">
        <v>3194</v>
      </c>
      <c r="F12" s="3220" t="s">
        <v>3770</v>
      </c>
      <c r="G12" s="3221"/>
      <c r="H12" s="3240"/>
      <c r="I12" s="3240"/>
      <c r="J12" s="3241"/>
      <c r="L12" s="823" t="s">
        <v>2652</v>
      </c>
      <c r="M12" s="223" t="s">
        <v>3220</v>
      </c>
      <c r="S12" s="3216"/>
      <c r="T12" s="3217"/>
      <c r="Y12" s="1742"/>
      <c r="Z12" s="1706">
        <v>12</v>
      </c>
      <c r="AZ12" s="1676"/>
    </row>
    <row r="13" spans="1:52" s="223" customFormat="1" ht="16.5" customHeight="1">
      <c r="A13" s="375"/>
      <c r="B13" s="823" t="s">
        <v>2652</v>
      </c>
      <c r="C13" s="224" t="s">
        <v>6662</v>
      </c>
      <c r="E13" s="1232" t="s">
        <v>2649</v>
      </c>
      <c r="F13" s="224" t="s">
        <v>6664</v>
      </c>
      <c r="H13" s="3220" t="s">
        <v>7047</v>
      </c>
      <c r="I13" s="3221"/>
      <c r="J13" s="3222"/>
      <c r="L13" s="823" t="s">
        <v>2652</v>
      </c>
      <c r="M13" s="223" t="s">
        <v>6078</v>
      </c>
      <c r="S13" s="3216"/>
      <c r="T13" s="3217"/>
      <c r="Y13" s="1742"/>
      <c r="Z13" s="1706">
        <v>13</v>
      </c>
      <c r="AZ13" s="1676"/>
    </row>
    <row r="14" spans="1:52" s="223" customFormat="1" ht="16.5" customHeight="1">
      <c r="A14" s="375"/>
      <c r="B14" s="823" t="s">
        <v>2652</v>
      </c>
      <c r="C14" s="223" t="s">
        <v>2396</v>
      </c>
      <c r="E14" s="823" t="s">
        <v>2652</v>
      </c>
      <c r="F14" s="224" t="s">
        <v>3299</v>
      </c>
      <c r="L14" s="823" t="s">
        <v>2652</v>
      </c>
      <c r="M14" s="223" t="s">
        <v>6710</v>
      </c>
      <c r="S14" s="3218"/>
      <c r="T14" s="3219"/>
      <c r="Y14" s="1742"/>
      <c r="Z14" s="1706">
        <v>14</v>
      </c>
      <c r="AZ14" s="1676"/>
    </row>
    <row r="15" spans="1:52" s="223" customFormat="1" ht="16.5" customHeight="1">
      <c r="A15" s="375"/>
      <c r="B15" s="823" t="s">
        <v>2652</v>
      </c>
      <c r="C15" s="223" t="s">
        <v>3219</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2649</v>
      </c>
      <c r="F16" s="224" t="s">
        <v>6499</v>
      </c>
      <c r="I16" s="3198">
        <v>30000000</v>
      </c>
      <c r="J16" s="3199"/>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201" t="s">
        <v>1220</v>
      </c>
      <c r="I21" s="3201"/>
      <c r="J21" s="3201"/>
      <c r="K21" s="3201"/>
      <c r="L21" s="3202" t="s">
        <v>3844</v>
      </c>
      <c r="M21" s="3202"/>
      <c r="N21" s="3202" t="s">
        <v>1410</v>
      </c>
      <c r="O21" s="3202"/>
      <c r="P21" s="3202" t="s">
        <v>1523</v>
      </c>
      <c r="Q21" s="3202"/>
      <c r="S21" s="3213" t="s">
        <v>2447</v>
      </c>
      <c r="T21" s="3213"/>
      <c r="Y21" s="1742"/>
      <c r="Z21" s="1706">
        <v>21</v>
      </c>
      <c r="AZ21" s="1676" t="s">
        <v>6340</v>
      </c>
    </row>
    <row r="22" spans="1:52" s="223" customFormat="1" ht="15.75" customHeight="1">
      <c r="A22" s="144"/>
      <c r="B22" s="3242" t="s">
        <v>1486</v>
      </c>
      <c r="C22" s="3243"/>
      <c r="D22" s="3243"/>
      <c r="E22" s="821"/>
      <c r="F22" s="821"/>
      <c r="G22" s="821"/>
      <c r="H22" s="3244" t="s">
        <v>7049</v>
      </c>
      <c r="I22" s="3245"/>
      <c r="J22" s="3245"/>
      <c r="K22" s="3246"/>
      <c r="L22" s="3247">
        <v>42612257</v>
      </c>
      <c r="M22" s="3248"/>
      <c r="N22" s="3249">
        <v>7.0000000000000007E-2</v>
      </c>
      <c r="O22" s="3250"/>
      <c r="P22" s="3251">
        <v>36</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c r="I23" s="3256"/>
      <c r="J23" s="3256"/>
      <c r="K23" s="3257"/>
      <c r="L23" s="3258"/>
      <c r="M23" s="3259"/>
      <c r="N23" s="3267"/>
      <c r="O23" s="3268"/>
      <c r="P23" s="3269"/>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2046</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7048</v>
      </c>
      <c r="I28" s="3256"/>
      <c r="J28" s="3256"/>
      <c r="K28" s="3257"/>
      <c r="L28" s="3258">
        <v>15689568.95767702</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7048</v>
      </c>
      <c r="I29" s="3256"/>
      <c r="J29" s="3256"/>
      <c r="K29" s="3257"/>
      <c r="L29" s="3258">
        <v>10000945.144462436</v>
      </c>
      <c r="M29" s="3259"/>
      <c r="N29" s="144"/>
      <c r="Q29" s="144"/>
      <c r="S29" s="3214"/>
      <c r="T29" s="3215"/>
      <c r="Y29" s="1742" t="s">
        <v>6347</v>
      </c>
      <c r="Z29" s="1706">
        <v>29</v>
      </c>
      <c r="AZ29" s="1676" t="s">
        <v>6348</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68302771.102139458</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55681789.594854057</v>
      </c>
      <c r="M34" s="3279"/>
      <c r="N34" s="657"/>
      <c r="S34" s="3216"/>
      <c r="T34" s="3217"/>
      <c r="Y34" s="1742"/>
      <c r="Z34" s="1706">
        <v>34</v>
      </c>
      <c r="AZ34" s="1676"/>
    </row>
    <row r="35" spans="1:52" s="223" customFormat="1" ht="16.5" customHeight="1">
      <c r="A35" s="144"/>
      <c r="B35" s="246" t="s">
        <v>2001</v>
      </c>
      <c r="C35" s="144"/>
      <c r="D35" s="144"/>
      <c r="E35" s="144"/>
      <c r="F35" s="144"/>
      <c r="G35" s="144"/>
      <c r="H35" s="144"/>
      <c r="I35" s="144"/>
      <c r="L35" s="3280">
        <f>L33-L34</f>
        <v>12620981.507285401</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1947</v>
      </c>
      <c r="L38" s="248" t="s">
        <v>1218</v>
      </c>
      <c r="M38" s="248" t="s">
        <v>1223</v>
      </c>
      <c r="P38" s="3282" t="s">
        <v>31</v>
      </c>
      <c r="Q38" s="3282"/>
      <c r="S38" s="258"/>
      <c r="Y38" s="1742"/>
      <c r="Z38" s="1706">
        <v>38</v>
      </c>
      <c r="AZ38" s="1676"/>
    </row>
    <row r="39" spans="1:52" s="223" customFormat="1" ht="13.35" customHeight="1">
      <c r="A39" s="144"/>
      <c r="B39" s="827" t="s">
        <v>1733</v>
      </c>
      <c r="C39" s="826"/>
      <c r="D39" s="826"/>
      <c r="E39" s="3284" t="s">
        <v>1220</v>
      </c>
      <c r="F39" s="3284"/>
      <c r="G39" s="3284"/>
      <c r="H39" s="3284"/>
      <c r="I39" s="3202" t="s">
        <v>3843</v>
      </c>
      <c r="J39" s="3202"/>
      <c r="K39" s="446" t="s">
        <v>1675</v>
      </c>
      <c r="L39" s="446" t="s">
        <v>2045</v>
      </c>
      <c r="M39" s="446" t="s">
        <v>2045</v>
      </c>
      <c r="N39" s="3202" t="s">
        <v>69</v>
      </c>
      <c r="O39" s="3202"/>
      <c r="P39" s="3283"/>
      <c r="Q39" s="3283"/>
      <c r="S39" s="3213" t="s">
        <v>2447</v>
      </c>
      <c r="T39" s="3213"/>
      <c r="Y39" s="1742"/>
      <c r="Z39" s="1706">
        <v>39</v>
      </c>
      <c r="AZ39" s="1676" t="s">
        <v>6351</v>
      </c>
    </row>
    <row r="40" spans="1:52" s="223" customFormat="1" ht="15" customHeight="1">
      <c r="A40" s="144"/>
      <c r="B40" s="3242" t="s">
        <v>2401</v>
      </c>
      <c r="C40" s="3243"/>
      <c r="D40" s="3243"/>
      <c r="E40" s="3244" t="s">
        <v>7049</v>
      </c>
      <c r="F40" s="3245"/>
      <c r="G40" s="3245"/>
      <c r="H40" s="3246"/>
      <c r="I40" s="3304">
        <v>19613853</v>
      </c>
      <c r="J40" s="3305"/>
      <c r="K40" s="654">
        <v>6.3E-2</v>
      </c>
      <c r="L40" s="822">
        <v>15</v>
      </c>
      <c r="M40" s="822">
        <v>40</v>
      </c>
      <c r="N40" s="3289" t="s">
        <v>7050</v>
      </c>
      <c r="O40" s="3289"/>
      <c r="P40" s="3303">
        <f>IF(OR(I40&lt;=0,I40=""),"",IF(N40="Cash Flow",0,IF(N40="Amortizing",-PMT(K40/12,M40*12,I40,0,0)*12,"")))</f>
        <v>1344571.9668434197</v>
      </c>
      <c r="Q40" s="3303"/>
      <c r="S40" s="3214"/>
      <c r="T40" s="3215"/>
      <c r="Y40" s="1742" t="s">
        <v>6351</v>
      </c>
      <c r="Z40" s="1706">
        <v>40</v>
      </c>
      <c r="AZ40" s="1676" t="s">
        <v>6352</v>
      </c>
    </row>
    <row r="41" spans="1:52" s="223" customFormat="1" ht="15" customHeight="1">
      <c r="A41" s="144"/>
      <c r="B41" s="3253" t="s">
        <v>2402</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6352</v>
      </c>
      <c r="Z41" s="1706">
        <v>41</v>
      </c>
      <c r="AZ41" s="1676" t="s">
        <v>6353</v>
      </c>
    </row>
    <row r="42" spans="1:52" s="223" customFormat="1" ht="15" customHeight="1">
      <c r="A42" s="144"/>
      <c r="B42" s="3253" t="s">
        <v>2403</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0.40631842857142858</v>
      </c>
      <c r="E45" s="3203" t="s">
        <v>7037</v>
      </c>
      <c r="F45" s="3204"/>
      <c r="G45" s="3204"/>
      <c r="H45" s="3205"/>
      <c r="I45" s="3290">
        <v>1422114.5</v>
      </c>
      <c r="J45" s="3291"/>
      <c r="K45" s="653">
        <v>0</v>
      </c>
      <c r="L45" s="652">
        <v>15</v>
      </c>
      <c r="M45" s="652">
        <v>15</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3405</v>
      </c>
      <c r="C47" s="144"/>
      <c r="E47" s="223" t="s">
        <v>3363</v>
      </c>
      <c r="F47" s="3301">
        <f>IF(OR($I$45="",$I$45=0,'Part VI-Pro Forma'!$S$35=0,'Part VI-Pro Forma'!$S$35=""),"",VLOOKUP($L$45,'Part VI-Pro Forma'!$Q$21:$S$40,3))</f>
        <v>6721881.3534182012</v>
      </c>
      <c r="G47" s="3302"/>
      <c r="H47" s="485" t="s">
        <v>3404</v>
      </c>
      <c r="I47" s="3301">
        <f>IF(OR($I$45="",$I$45=0,'Part VI-Pro Forma'!$R$35=0,'Part VI-Pro Forma'!$R$35=""),"",VLOOKUP($L$45,'Part VI-Pro Forma'!$Q$21:$S$35,2))</f>
        <v>1422115</v>
      </c>
      <c r="J47" s="3302"/>
      <c r="K47" s="485" t="s">
        <v>3406</v>
      </c>
      <c r="L47" s="3299">
        <f>IF(OR($F$47 = 0,$F$47 =""),"",$I$47/$F$47)</f>
        <v>0.21156502550834644</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2046</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2356</v>
      </c>
      <c r="Q50" s="144"/>
      <c r="S50" s="3216"/>
      <c r="T50" s="3217"/>
      <c r="Y50" s="1742" t="s">
        <v>6358</v>
      </c>
      <c r="Z50" s="1706">
        <v>50</v>
      </c>
      <c r="AZ50" s="1676" t="s">
        <v>6359</v>
      </c>
    </row>
    <row r="51" spans="1:52" s="223" customFormat="1" ht="15" customHeight="1">
      <c r="A51" s="144"/>
      <c r="B51" s="3253" t="s">
        <v>746</v>
      </c>
      <c r="C51" s="3254"/>
      <c r="D51" s="3294"/>
      <c r="E51" s="3255" t="s">
        <v>7048</v>
      </c>
      <c r="F51" s="3256"/>
      <c r="G51" s="3256"/>
      <c r="H51" s="3257"/>
      <c r="I51" s="3286">
        <v>24137798.396426182</v>
      </c>
      <c r="J51" s="3286"/>
      <c r="L51" s="3297">
        <f>'Part III-A-Uses of Funds'!$J$191*10*'Part III-A-Uses of Funds'!$N$182</f>
        <v>24140207</v>
      </c>
      <c r="M51" s="3297"/>
      <c r="N51" s="3298">
        <f>I51-L51</f>
        <v>-2408.6035738177598</v>
      </c>
      <c r="O51" s="3298"/>
      <c r="P51" s="324">
        <f>I51/I61</f>
        <v>0.39857767755957696</v>
      </c>
      <c r="Q51" s="144"/>
      <c r="S51" s="3216"/>
      <c r="T51" s="3217"/>
      <c r="Y51" s="1742" t="s">
        <v>6359</v>
      </c>
      <c r="Z51" s="1706">
        <v>51</v>
      </c>
      <c r="AZ51" s="1676" t="s">
        <v>6360</v>
      </c>
    </row>
    <row r="52" spans="1:52" s="223" customFormat="1" ht="15" customHeight="1">
      <c r="A52" s="144"/>
      <c r="B52" s="3253" t="s">
        <v>747</v>
      </c>
      <c r="C52" s="3254"/>
      <c r="D52" s="3294"/>
      <c r="E52" s="3255" t="s">
        <v>7048</v>
      </c>
      <c r="F52" s="3256"/>
      <c r="G52" s="3256"/>
      <c r="H52" s="3257"/>
      <c r="I52" s="3286">
        <v>15386069.453019133</v>
      </c>
      <c r="J52" s="3286"/>
      <c r="L52" s="3297">
        <f>'Part III-A-Uses of Funds'!$J$191*10*'Part III-A-Uses of Funds'!$Q$182</f>
        <v>15386065.999999998</v>
      </c>
      <c r="M52" s="3297"/>
      <c r="N52" s="3298">
        <f>I52-L52</f>
        <v>3.4530191347002983</v>
      </c>
      <c r="O52" s="3298"/>
      <c r="P52" s="324">
        <f>I52/I61</f>
        <v>0.25406392615586249</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0.65264160371543944</v>
      </c>
      <c r="Q53" s="144"/>
      <c r="S53" s="3218"/>
      <c r="T53" s="3219"/>
      <c r="Y53" s="1742" t="s">
        <v>6361</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1731</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1732</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2047</v>
      </c>
      <c r="C60" s="144"/>
      <c r="D60" s="144"/>
      <c r="E60" s="144"/>
      <c r="F60" s="144"/>
      <c r="G60" s="144"/>
      <c r="I60" s="3327">
        <f>SUM(I40:J45)+SUM(I49:J59)</f>
        <v>60559835.349445313</v>
      </c>
      <c r="J60" s="3328"/>
      <c r="K60" s="144"/>
      <c r="L60" s="248"/>
      <c r="M60" s="301"/>
      <c r="N60" s="301"/>
      <c r="O60" s="301"/>
      <c r="P60" s="301"/>
      <c r="Q60" s="144"/>
      <c r="S60" s="3216"/>
      <c r="T60" s="3217"/>
      <c r="Y60" s="1742"/>
      <c r="Z60" s="1706">
        <v>60</v>
      </c>
      <c r="AZ60" s="1676"/>
    </row>
    <row r="61" spans="1:52" s="223" customFormat="1" ht="14.25" customHeight="1" thickBot="1">
      <c r="A61" s="144"/>
      <c r="B61" s="246" t="s">
        <v>2048</v>
      </c>
      <c r="C61" s="144"/>
      <c r="D61" s="144"/>
      <c r="E61" s="144"/>
      <c r="F61" s="144"/>
      <c r="G61" s="144"/>
      <c r="I61" s="3329">
        <f>'Part III-A-Uses of Funds'!$G$146</f>
        <v>60559835.021915421</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0.32752989232540131</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7051</v>
      </c>
      <c r="B66" s="3321"/>
      <c r="C66" s="3321"/>
      <c r="D66" s="3321"/>
      <c r="E66" s="3321"/>
      <c r="F66" s="3321"/>
      <c r="G66" s="3321"/>
      <c r="H66" s="3321"/>
      <c r="I66" s="3321"/>
      <c r="J66" s="3321"/>
      <c r="K66" s="3321"/>
      <c r="L66" s="3321"/>
      <c r="M66" s="3320"/>
      <c r="N66" s="3320"/>
      <c r="O66" s="3320"/>
      <c r="P66" s="3320"/>
      <c r="Q66" s="3320"/>
      <c r="S66" s="3319" t="s">
        <v>2451</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65" customHeight="1">
      <c r="A15" s="10"/>
      <c r="E15" s="169"/>
      <c r="F15" s="162"/>
      <c r="G15" s="162"/>
      <c r="H15" s="162"/>
    </row>
    <row r="16" spans="1:17" ht="13.35" customHeight="1">
      <c r="A16" s="170" t="s">
        <v>2283</v>
      </c>
      <c r="B16" s="171" t="s">
        <v>2280</v>
      </c>
      <c r="C16" s="171" t="s">
        <v>2281</v>
      </c>
      <c r="D16" s="3343" t="s">
        <v>2081</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5">
      <c r="A59" s="3333" t="s">
        <v>2274</v>
      </c>
      <c r="B59" s="3333"/>
      <c r="C59" s="3333"/>
      <c r="D59" s="3333"/>
      <c r="E59" s="3333"/>
      <c r="F59" s="3333"/>
      <c r="G59" s="3333" t="s">
        <v>2274</v>
      </c>
      <c r="H59" s="3333"/>
      <c r="I59" s="3333"/>
      <c r="J59" s="3333"/>
      <c r="K59" s="3333"/>
      <c r="L59" s="3333"/>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2082</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2081</v>
      </c>
      <c r="D26" s="188"/>
      <c r="E26" s="60"/>
      <c r="F26" s="3346" t="s">
        <v>2081</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5">
      <c r="A51" s="3333" t="s">
        <v>2274</v>
      </c>
      <c r="B51" s="3333"/>
      <c r="C51" s="3333"/>
      <c r="D51" s="3333"/>
      <c r="E51" s="3333"/>
      <c r="F51" s="3333"/>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P62" sqref="P62:Q6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Westbury, Decatur, DeKalb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Westbury, Decatur, DeKalb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47">
        <v>22000</v>
      </c>
      <c r="H9" s="3248"/>
      <c r="J9" s="3247">
        <v>22000</v>
      </c>
      <c r="K9" s="3248"/>
      <c r="L9" s="828"/>
      <c r="M9" s="3247"/>
      <c r="N9" s="3248"/>
      <c r="P9" s="3247"/>
      <c r="Q9" s="3248"/>
      <c r="S9" s="3247"/>
      <c r="T9" s="3248"/>
      <c r="V9" s="849"/>
      <c r="W9" s="3359"/>
      <c r="X9" s="3360"/>
      <c r="AZ9" s="1968"/>
      <c r="BA9" s="1706">
        <v>9</v>
      </c>
    </row>
    <row r="10" spans="1:53" s="144" customFormat="1" ht="11.25" customHeight="1">
      <c r="B10" s="144" t="s">
        <v>431</v>
      </c>
      <c r="G10" s="3258">
        <v>14000</v>
      </c>
      <c r="H10" s="3259"/>
      <c r="J10" s="3258">
        <v>14000</v>
      </c>
      <c r="K10" s="3259"/>
      <c r="L10" s="828"/>
      <c r="M10" s="3258"/>
      <c r="N10" s="3259"/>
      <c r="P10" s="3258"/>
      <c r="Q10" s="3259"/>
      <c r="S10" s="3258"/>
      <c r="T10" s="3259"/>
      <c r="V10" s="849"/>
      <c r="W10" s="3359"/>
      <c r="X10" s="3360"/>
      <c r="AZ10" s="1968"/>
      <c r="BA10" s="1706">
        <v>10</v>
      </c>
    </row>
    <row r="11" spans="1:53" s="144" customFormat="1" ht="11.25" customHeight="1">
      <c r="B11" s="144" t="s">
        <v>458</v>
      </c>
      <c r="G11" s="3258">
        <v>35000</v>
      </c>
      <c r="H11" s="3259"/>
      <c r="J11" s="3258">
        <v>35000</v>
      </c>
      <c r="K11" s="3259"/>
      <c r="L11" s="828"/>
      <c r="M11" s="3258"/>
      <c r="N11" s="3259"/>
      <c r="P11" s="3258"/>
      <c r="Q11" s="3259"/>
      <c r="S11" s="3258"/>
      <c r="T11" s="3259"/>
      <c r="V11" s="849"/>
      <c r="W11" s="3359"/>
      <c r="X11" s="3360"/>
      <c r="AZ11" s="1968"/>
      <c r="BA11" s="1706">
        <v>11</v>
      </c>
    </row>
    <row r="12" spans="1:53" s="144" customFormat="1" ht="11.25" customHeight="1">
      <c r="B12" s="144" t="s">
        <v>459</v>
      </c>
      <c r="G12" s="3258">
        <v>13000</v>
      </c>
      <c r="H12" s="3259"/>
      <c r="J12" s="3258">
        <v>13000</v>
      </c>
      <c r="K12" s="3259"/>
      <c r="L12" s="828"/>
      <c r="M12" s="3258"/>
      <c r="N12" s="3259"/>
      <c r="P12" s="3258"/>
      <c r="Q12" s="3259"/>
      <c r="S12" s="3258"/>
      <c r="T12" s="3259"/>
      <c r="V12" s="849"/>
      <c r="W12" s="3359"/>
      <c r="X12" s="3360"/>
      <c r="AZ12" s="1968"/>
      <c r="BA12" s="1706">
        <v>12</v>
      </c>
    </row>
    <row r="13" spans="1:53" s="144" customFormat="1" ht="11.25" customHeight="1">
      <c r="B13" s="144" t="s">
        <v>2300</v>
      </c>
      <c r="G13" s="3258">
        <v>15000</v>
      </c>
      <c r="H13" s="3259"/>
      <c r="J13" s="3258">
        <v>15000</v>
      </c>
      <c r="K13" s="3259"/>
      <c r="L13" s="828"/>
      <c r="M13" s="3258"/>
      <c r="N13" s="3259"/>
      <c r="P13" s="3258"/>
      <c r="Q13" s="3259"/>
      <c r="S13" s="3258"/>
      <c r="T13" s="3259"/>
      <c r="V13" s="849"/>
      <c r="W13" s="3359"/>
      <c r="X13" s="3360"/>
      <c r="AZ13" s="1968"/>
      <c r="BA13" s="1706">
        <v>13</v>
      </c>
    </row>
    <row r="14" spans="1:53" s="144" customFormat="1" ht="11.25" customHeight="1">
      <c r="B14" s="144" t="s">
        <v>183</v>
      </c>
      <c r="G14" s="3258">
        <v>0</v>
      </c>
      <c r="H14" s="3259"/>
      <c r="J14" s="3258">
        <v>0</v>
      </c>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7052</v>
      </c>
      <c r="D15" s="3394"/>
      <c r="E15" s="3394"/>
      <c r="F15" s="3395"/>
      <c r="G15" s="3258">
        <v>6000</v>
      </c>
      <c r="H15" s="3259"/>
      <c r="J15" s="3258">
        <v>6000</v>
      </c>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6721</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6721</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105000</v>
      </c>
      <c r="H18" s="3356"/>
      <c r="J18" s="3355">
        <f>SUM(J9:J17)</f>
        <v>105000</v>
      </c>
      <c r="K18" s="3356"/>
      <c r="L18" s="828"/>
      <c r="M18" s="3355">
        <f>SUM(M9:M17)</f>
        <v>0</v>
      </c>
      <c r="N18" s="3356"/>
      <c r="P18" s="3355">
        <f>SUM(P9:P17)</f>
        <v>0</v>
      </c>
      <c r="Q18" s="3356"/>
      <c r="S18" s="3355">
        <f>SUM(S9:S17)</f>
        <v>0</v>
      </c>
      <c r="T18" s="3356"/>
      <c r="V18" s="851">
        <f>SUM(V9:V17)</f>
        <v>0</v>
      </c>
      <c r="W18" s="3368"/>
      <c r="X18" s="3369"/>
      <c r="AZ18" s="1968" t="s">
        <v>6368</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3221</v>
      </c>
      <c r="F20" s="1900">
        <f>IF('Part I-Project Identification'!$O$27="","",G20/'Part I-Project Identification'!$O$27)</f>
        <v>572139.3034825871</v>
      </c>
      <c r="G20" s="3247">
        <v>4600000</v>
      </c>
      <c r="H20" s="3248"/>
      <c r="J20" s="283"/>
      <c r="K20" s="280"/>
      <c r="L20" s="283"/>
      <c r="M20" s="283"/>
      <c r="N20" s="280"/>
      <c r="P20" s="283"/>
      <c r="Q20" s="280"/>
      <c r="S20" s="3247">
        <v>4600000</v>
      </c>
      <c r="T20" s="3248"/>
      <c r="V20" s="849"/>
      <c r="W20" s="3359"/>
      <c r="X20" s="3360"/>
      <c r="AZ20" s="1968"/>
      <c r="BA20" s="1706">
        <v>20</v>
      </c>
    </row>
    <row r="21" spans="1:53" s="144" customFormat="1" ht="11.25" customHeight="1">
      <c r="B21" s="144" t="s">
        <v>1054</v>
      </c>
      <c r="G21" s="3258">
        <v>50000</v>
      </c>
      <c r="H21" s="3259"/>
      <c r="J21" s="283"/>
      <c r="K21" s="280"/>
      <c r="L21" s="283"/>
      <c r="M21" s="283"/>
      <c r="N21" s="280"/>
      <c r="P21" s="283"/>
      <c r="Q21" s="280"/>
      <c r="S21" s="3258">
        <v>50000</v>
      </c>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c r="H23" s="3358"/>
      <c r="J23" s="283"/>
      <c r="K23" s="280"/>
      <c r="L23" s="283"/>
      <c r="M23" s="3357"/>
      <c r="N23" s="3358"/>
      <c r="P23" s="283"/>
      <c r="Q23" s="280"/>
      <c r="S23" s="3357"/>
      <c r="T23" s="3358"/>
      <c r="V23" s="849"/>
      <c r="W23" s="3366"/>
      <c r="X23" s="3367"/>
      <c r="AZ23" s="1968"/>
      <c r="BA23" s="1706">
        <v>23</v>
      </c>
    </row>
    <row r="24" spans="1:53" s="144" customFormat="1" ht="12.6" customHeight="1" thickTop="1">
      <c r="F24" s="281" t="s">
        <v>184</v>
      </c>
      <c r="G24" s="3355">
        <f>SUM(G20:G23)</f>
        <v>4650000</v>
      </c>
      <c r="H24" s="3356"/>
      <c r="J24" s="283"/>
      <c r="K24" s="280"/>
      <c r="L24" s="283"/>
      <c r="M24" s="3355">
        <f>SUM(M22:M23)</f>
        <v>0</v>
      </c>
      <c r="N24" s="3356"/>
      <c r="P24" s="283"/>
      <c r="Q24" s="280"/>
      <c r="S24" s="3355">
        <f>SUM(S20:S23)</f>
        <v>4650000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273631.84079601994</v>
      </c>
      <c r="G26" s="3247">
        <v>2200000</v>
      </c>
      <c r="H26" s="3248"/>
      <c r="J26" s="3247">
        <v>2100000</v>
      </c>
      <c r="K26" s="3248"/>
      <c r="L26" s="828"/>
      <c r="M26" s="3396"/>
      <c r="N26" s="3397"/>
      <c r="P26" s="3396"/>
      <c r="Q26" s="3397"/>
      <c r="S26" s="3247">
        <v>100000</v>
      </c>
      <c r="T26" s="3248"/>
      <c r="V26" s="849"/>
      <c r="W26" s="3359"/>
      <c r="X26" s="3360"/>
      <c r="AZ26" s="1968"/>
      <c r="BA26" s="1706">
        <v>26</v>
      </c>
    </row>
    <row r="27" spans="1:53" s="144" customFormat="1" ht="11.25" customHeight="1" thickBot="1">
      <c r="B27" s="144" t="s">
        <v>1057</v>
      </c>
      <c r="G27" s="3357">
        <v>20000</v>
      </c>
      <c r="H27" s="3358"/>
      <c r="J27" s="3357"/>
      <c r="K27" s="3358"/>
      <c r="L27" s="284"/>
      <c r="M27" s="3398"/>
      <c r="N27" s="3398"/>
      <c r="P27" s="3398"/>
      <c r="Q27" s="3398"/>
      <c r="S27" s="3357">
        <v>20000</v>
      </c>
      <c r="T27" s="3358"/>
      <c r="V27" s="849"/>
      <c r="W27" s="3366"/>
      <c r="X27" s="3367"/>
      <c r="AZ27" s="1968"/>
      <c r="BA27" s="1706">
        <v>27</v>
      </c>
    </row>
    <row r="28" spans="1:53" s="144" customFormat="1" ht="12.6" customHeight="1" thickTop="1">
      <c r="F28" s="281" t="s">
        <v>184</v>
      </c>
      <c r="G28" s="3355">
        <f>SUM(G26:G27)</f>
        <v>2220000</v>
      </c>
      <c r="H28" s="3356"/>
      <c r="J28" s="3355">
        <f>SUM(J26:J27)</f>
        <v>2100000</v>
      </c>
      <c r="K28" s="3356"/>
      <c r="L28" s="283"/>
      <c r="M28" s="3355">
        <f>M26</f>
        <v>0</v>
      </c>
      <c r="N28" s="3356"/>
      <c r="P28" s="3355">
        <f>P26</f>
        <v>0</v>
      </c>
      <c r="Q28" s="3356"/>
      <c r="S28" s="3355">
        <f>SUM(S26:S27)</f>
        <v>120000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v>33219460</v>
      </c>
      <c r="H30" s="3248"/>
      <c r="J30" s="3247">
        <v>33119460</v>
      </c>
      <c r="K30" s="3248"/>
      <c r="L30" s="828"/>
      <c r="M30" s="3247"/>
      <c r="N30" s="3248"/>
      <c r="P30" s="3247"/>
      <c r="Q30" s="3248"/>
      <c r="S30" s="3247">
        <v>100000</v>
      </c>
      <c r="T30" s="3248"/>
      <c r="V30" s="849"/>
      <c r="W30" s="3359"/>
      <c r="X30" s="3360"/>
      <c r="AZ30" s="1968"/>
      <c r="BA30" s="1706">
        <v>30</v>
      </c>
    </row>
    <row r="31" spans="1:53" s="144" customFormat="1" ht="11.25" customHeight="1">
      <c r="B31" s="144" t="s">
        <v>1060</v>
      </c>
      <c r="G31" s="3258"/>
      <c r="H31" s="3259"/>
      <c r="J31" s="3258"/>
      <c r="K31" s="3259"/>
      <c r="L31" s="828"/>
      <c r="M31" s="3258"/>
      <c r="N31" s="3259"/>
      <c r="P31" s="3258"/>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2494</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33219460</v>
      </c>
      <c r="H36" s="3356"/>
      <c r="J36" s="3355">
        <f>SUM(J30:J35)</f>
        <v>33119460</v>
      </c>
      <c r="K36" s="3356"/>
      <c r="L36" s="828"/>
      <c r="M36" s="3355">
        <f>SUM(M30:M35)</f>
        <v>0</v>
      </c>
      <c r="N36" s="3356"/>
      <c r="P36" s="3355">
        <f>SUM(P30:P35)</f>
        <v>0</v>
      </c>
      <c r="Q36" s="3356"/>
      <c r="S36" s="3355">
        <f>SUM(S30:S35)</f>
        <v>100000</v>
      </c>
      <c r="T36" s="3356"/>
      <c r="V36" s="851">
        <f>SUM(V30:V35)</f>
        <v>0</v>
      </c>
      <c r="W36" s="3368"/>
      <c r="X36" s="3369"/>
      <c r="AZ36" s="1968" t="s">
        <v>6371</v>
      </c>
      <c r="BA36" s="1706">
        <v>36</v>
      </c>
    </row>
    <row r="37" spans="1:53" s="144" customFormat="1" ht="12" customHeight="1">
      <c r="B37" s="243" t="s">
        <v>2162</v>
      </c>
      <c r="D37" s="3401" t="s">
        <v>3225</v>
      </c>
      <c r="E37" s="3401"/>
      <c r="F37" s="760">
        <f>SUM(F38:F40)</f>
        <v>0.13999996049601207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2126367</v>
      </c>
      <c r="F38" s="1949">
        <f>IF(($G$28+$G$36)=0,0,G38/($G$28+$G$36))</f>
        <v>5.9999983069719459E-2</v>
      </c>
      <c r="G38" s="3247">
        <v>2126367</v>
      </c>
      <c r="H38" s="3248"/>
      <c r="I38" s="145"/>
      <c r="J38" s="3247">
        <v>2113167</v>
      </c>
      <c r="K38" s="3248"/>
      <c r="L38" s="828"/>
      <c r="M38" s="3247"/>
      <c r="N38" s="3248"/>
      <c r="P38" s="3247"/>
      <c r="Q38" s="3248"/>
      <c r="S38" s="3247">
        <v>13200</v>
      </c>
      <c r="T38" s="3248"/>
      <c r="V38" s="849"/>
      <c r="W38" s="3359"/>
      <c r="X38" s="3360"/>
      <c r="AZ38" s="1968"/>
      <c r="BA38" s="1706">
        <v>38</v>
      </c>
    </row>
    <row r="39" spans="1:53" s="144" customFormat="1" ht="11.25" customHeight="1">
      <c r="B39" s="144" t="s">
        <v>2475</v>
      </c>
      <c r="D39" s="1947">
        <f>'DCA Underwriting Assumptions'!$R$39</f>
        <v>0.02</v>
      </c>
      <c r="E39" s="1948">
        <f>ROUNDDOWN(D39*(G28+G36),0)</f>
        <v>708789</v>
      </c>
      <c r="F39" s="1949">
        <f>IF(($G$28+$G$36)=0,0,G39/($G$28+$G$36))</f>
        <v>1.9999994356573153E-2</v>
      </c>
      <c r="G39" s="3258">
        <v>708789</v>
      </c>
      <c r="H39" s="3259"/>
      <c r="I39" s="145"/>
      <c r="J39" s="3258">
        <v>704389</v>
      </c>
      <c r="K39" s="3259"/>
      <c r="L39" s="828"/>
      <c r="M39" s="3258"/>
      <c r="N39" s="3259"/>
      <c r="P39" s="3258"/>
      <c r="Q39" s="3259"/>
      <c r="S39" s="3258">
        <v>4400</v>
      </c>
      <c r="T39" s="3259"/>
      <c r="V39" s="849"/>
      <c r="W39" s="3359"/>
      <c r="X39" s="3360"/>
      <c r="AZ39" s="1968"/>
      <c r="BA39" s="1706">
        <v>39</v>
      </c>
    </row>
    <row r="40" spans="1:53" s="144" customFormat="1" ht="11.25" customHeight="1" thickBot="1">
      <c r="B40" s="144" t="s">
        <v>2476</v>
      </c>
      <c r="D40" s="1950">
        <f>'DCA Underwriting Assumptions'!$R$40</f>
        <v>0.06</v>
      </c>
      <c r="E40" s="1951">
        <f>ROUNDDOWN(D40*(G28+G36),0)</f>
        <v>2126367</v>
      </c>
      <c r="F40" s="1952">
        <f>IF(($G$28+$G$36)=0,0,G40/($G$28+$G$36))</f>
        <v>5.9999983069719459E-2</v>
      </c>
      <c r="G40" s="3357">
        <v>2126367</v>
      </c>
      <c r="H40" s="3358"/>
      <c r="I40" s="145"/>
      <c r="J40" s="3357">
        <v>2113167</v>
      </c>
      <c r="K40" s="3358"/>
      <c r="L40" s="828"/>
      <c r="M40" s="3357"/>
      <c r="N40" s="3358"/>
      <c r="P40" s="3357"/>
      <c r="Q40" s="3358"/>
      <c r="S40" s="3357">
        <v>13200</v>
      </c>
      <c r="T40" s="3358"/>
      <c r="V40" s="849"/>
      <c r="W40" s="3366"/>
      <c r="X40" s="3367"/>
      <c r="AZ40" s="1968"/>
      <c r="BA40" s="1706">
        <v>40</v>
      </c>
    </row>
    <row r="41" spans="1:53" s="144" customFormat="1" ht="12.6" customHeight="1" thickTop="1">
      <c r="B41" s="147" t="s">
        <v>3226</v>
      </c>
      <c r="D41" s="761">
        <f>SUM(D38:D40)</f>
        <v>0.14000000000000001</v>
      </c>
      <c r="E41" s="762">
        <f>SUM(E38:E40)</f>
        <v>4961523</v>
      </c>
      <c r="F41" s="1946" t="s">
        <v>184</v>
      </c>
      <c r="G41" s="3355">
        <f>SUM(G38:G40)</f>
        <v>4961523</v>
      </c>
      <c r="H41" s="3356"/>
      <c r="J41" s="3355">
        <f>SUM(J38:J40)</f>
        <v>4930723</v>
      </c>
      <c r="K41" s="3356"/>
      <c r="L41" s="283"/>
      <c r="M41" s="3355">
        <f>SUM(M38:M40)</f>
        <v>0</v>
      </c>
      <c r="N41" s="3356"/>
      <c r="P41" s="3355">
        <f>SUM(P38:P40)</f>
        <v>0</v>
      </c>
      <c r="Q41" s="3356"/>
      <c r="S41" s="3355">
        <f>SUM(S38:S40)</f>
        <v>30800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40400983</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7053</v>
      </c>
      <c r="D46" s="3419"/>
      <c r="E46" s="3419"/>
      <c r="F46" s="3420"/>
      <c r="G46" s="3405">
        <v>50000</v>
      </c>
      <c r="H46" s="3406"/>
      <c r="I46" s="144"/>
      <c r="J46" s="3405">
        <v>50000</v>
      </c>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2479</v>
      </c>
      <c r="C48" s="1666"/>
      <c r="E48" s="3413" t="s">
        <v>2478</v>
      </c>
      <c r="F48" s="1667">
        <f>C49/'Part V-Revenues &amp; Expenses'!$P$65</f>
        <v>192623.72857142857</v>
      </c>
      <c r="G48" s="1668" t="s">
        <v>2492</v>
      </c>
      <c r="H48" s="1669"/>
      <c r="I48" s="1669"/>
      <c r="J48" s="3415">
        <f>C49/'Part V-Revenues &amp; Expenses'!$P$67</f>
        <v>192623.72857142857</v>
      </c>
      <c r="K48" s="3415"/>
      <c r="L48" s="1669"/>
      <c r="M48" s="3416" t="s">
        <v>6475</v>
      </c>
      <c r="N48" s="3416"/>
      <c r="O48" s="1669"/>
      <c r="P48" s="3415">
        <f>C49/'Part V-Revenues &amp; Expenses'!$K$175</f>
        <v>200.76922275163787</v>
      </c>
      <c r="Q48" s="3415"/>
      <c r="R48" s="1669"/>
      <c r="S48" s="3417" t="s">
        <v>6477</v>
      </c>
      <c r="T48" s="3418"/>
      <c r="V48" s="852"/>
      <c r="W48" s="3409"/>
      <c r="X48" s="3410"/>
      <c r="AZ48" s="1968"/>
      <c r="BA48" s="1706">
        <v>48</v>
      </c>
    </row>
    <row r="49" spans="1:53" s="144" customFormat="1" ht="12.6" customHeight="1">
      <c r="B49" s="1714" t="s">
        <v>6488</v>
      </c>
      <c r="C49" s="1713">
        <f>G28+G36+G41+G46</f>
        <v>40450983</v>
      </c>
      <c r="E49" s="3414"/>
      <c r="F49" s="1670">
        <f>C49/'Part V-Revenues &amp; Expenses'!$P$166</f>
        <v>209.61230697481605</v>
      </c>
      <c r="G49" s="1671" t="s">
        <v>2493</v>
      </c>
      <c r="H49" s="1672"/>
      <c r="I49" s="1672"/>
      <c r="J49" s="3403">
        <f>C49/'Part V-Revenues &amp; Expenses'!$P$168</f>
        <v>209.61230697481605</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2447</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2022549.1500000001</v>
      </c>
      <c r="F55" s="1756">
        <f>G55/C49</f>
        <v>4.9938198535249438E-2</v>
      </c>
      <c r="G55" s="3405">
        <v>2020049.22</v>
      </c>
      <c r="H55" s="3406"/>
      <c r="I55" s="144"/>
      <c r="J55" s="3405">
        <v>2020049.22</v>
      </c>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202243.01057142857</v>
      </c>
      <c r="G57" s="1668" t="s">
        <v>2492</v>
      </c>
      <c r="H57" s="1669"/>
      <c r="I57" s="1669"/>
      <c r="J57" s="3415">
        <f>B58/'Part V-Revenues &amp; Expenses'!$P$67</f>
        <v>202243.01057142857</v>
      </c>
      <c r="K57" s="3415"/>
      <c r="L57" s="1669"/>
      <c r="M57" s="3416" t="s">
        <v>6475</v>
      </c>
      <c r="N57" s="3416"/>
      <c r="O57" s="1669"/>
      <c r="P57" s="3415">
        <f>B58/'Part V-Revenues &amp; Expenses'!$K$175</f>
        <v>210.79527605717689</v>
      </c>
      <c r="Q57" s="3415"/>
      <c r="R57" s="1669"/>
      <c r="S57" s="3417" t="s">
        <v>6477</v>
      </c>
      <c r="T57" s="3418"/>
      <c r="V57" s="852"/>
      <c r="W57" s="3409"/>
      <c r="X57" s="3410"/>
      <c r="AZ57" s="1968"/>
      <c r="BA57" s="1706">
        <v>54</v>
      </c>
    </row>
    <row r="58" spans="1:53" s="144" customFormat="1" ht="12.6" customHeight="1">
      <c r="B58" s="3496">
        <f>C49+G55</f>
        <v>42471032.219999999</v>
      </c>
      <c r="C58" s="3497"/>
      <c r="E58" s="3499"/>
      <c r="F58" s="1670">
        <f>B58/'Part V-Revenues &amp; Expenses'!$P$166</f>
        <v>220.07996797595604</v>
      </c>
      <c r="G58" s="1671" t="s">
        <v>2493</v>
      </c>
      <c r="H58" s="1672"/>
      <c r="I58" s="1672"/>
      <c r="J58" s="3403">
        <f>B58/'Part V-Revenues &amp; Expenses'!$P$168</f>
        <v>220.07996797595604</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3228</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2165</v>
      </c>
      <c r="G63" s="3258">
        <v>319591.93</v>
      </c>
      <c r="H63" s="3259"/>
      <c r="J63" s="3258">
        <v>207734.75450000001</v>
      </c>
      <c r="K63" s="3259"/>
      <c r="L63" s="828"/>
      <c r="M63" s="3258"/>
      <c r="N63" s="3259"/>
      <c r="P63" s="3258"/>
      <c r="Q63" s="3259"/>
      <c r="S63" s="3258">
        <v>111857.17549999998</v>
      </c>
      <c r="T63" s="3259"/>
      <c r="V63" s="853"/>
      <c r="W63" s="3359"/>
      <c r="X63" s="3360"/>
      <c r="AZ63" s="1968"/>
      <c r="BA63" s="1706">
        <v>63</v>
      </c>
    </row>
    <row r="64" spans="1:53" s="144" customFormat="1" ht="12" customHeight="1">
      <c r="B64" s="144" t="s">
        <v>2166</v>
      </c>
      <c r="G64" s="3258">
        <v>3835255.9962540641</v>
      </c>
      <c r="H64" s="3259"/>
      <c r="J64" s="3258">
        <v>2492916.3975643078</v>
      </c>
      <c r="K64" s="3259"/>
      <c r="L64" s="828"/>
      <c r="M64" s="3258"/>
      <c r="N64" s="3259"/>
      <c r="P64" s="3258"/>
      <c r="Q64" s="3259"/>
      <c r="S64" s="3258">
        <v>1342339.5986881698</v>
      </c>
      <c r="T64" s="3259"/>
      <c r="V64" s="853"/>
      <c r="W64" s="3359"/>
      <c r="X64" s="3360"/>
      <c r="AZ64" s="1968"/>
      <c r="BA64" s="1706">
        <v>64</v>
      </c>
    </row>
    <row r="65" spans="1:53" s="144" customFormat="1" ht="12" customHeight="1">
      <c r="B65" s="144" t="s">
        <v>2167</v>
      </c>
      <c r="G65" s="3258">
        <v>75000</v>
      </c>
      <c r="H65" s="3259"/>
      <c r="J65" s="3258">
        <v>48750</v>
      </c>
      <c r="K65" s="3259"/>
      <c r="L65" s="828"/>
      <c r="M65" s="3258"/>
      <c r="N65" s="3259"/>
      <c r="P65" s="3258"/>
      <c r="Q65" s="3259"/>
      <c r="S65" s="3258">
        <v>26250</v>
      </c>
      <c r="T65" s="3259"/>
      <c r="V65" s="853"/>
      <c r="W65" s="3359"/>
      <c r="X65" s="3360"/>
      <c r="AZ65" s="1968" t="s">
        <v>6375</v>
      </c>
      <c r="BA65" s="1706">
        <v>65</v>
      </c>
    </row>
    <row r="66" spans="1:53" s="144" customFormat="1" ht="12" customHeight="1">
      <c r="B66" s="144" t="s">
        <v>2449</v>
      </c>
      <c r="G66" s="3258">
        <v>28800</v>
      </c>
      <c r="H66" s="3259"/>
      <c r="J66" s="3258">
        <v>28800</v>
      </c>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v>50000</v>
      </c>
      <c r="H67" s="3259"/>
      <c r="J67" s="3258">
        <v>50000</v>
      </c>
      <c r="K67" s="3259"/>
      <c r="L67" s="828"/>
      <c r="M67" s="3258"/>
      <c r="N67" s="3259"/>
      <c r="P67" s="3258"/>
      <c r="Q67" s="3259"/>
      <c r="S67" s="3258"/>
      <c r="T67" s="3259"/>
      <c r="V67" s="853"/>
      <c r="W67" s="3359"/>
      <c r="X67" s="3360"/>
      <c r="AZ67" s="1968" t="s">
        <v>6377</v>
      </c>
      <c r="BA67" s="1706">
        <v>67</v>
      </c>
    </row>
    <row r="68" spans="1:53" s="144" customFormat="1" ht="12" customHeight="1">
      <c r="B68" s="144" t="s">
        <v>2168</v>
      </c>
      <c r="G68" s="3258">
        <v>300000</v>
      </c>
      <c r="H68" s="3259"/>
      <c r="J68" s="3258">
        <v>300000</v>
      </c>
      <c r="K68" s="3259"/>
      <c r="L68" s="828"/>
      <c r="M68" s="3258"/>
      <c r="N68" s="3259"/>
      <c r="P68" s="3258"/>
      <c r="Q68" s="3259"/>
      <c r="S68" s="3258"/>
      <c r="T68" s="3259"/>
      <c r="V68" s="853"/>
      <c r="W68" s="3359"/>
      <c r="X68" s="3360"/>
      <c r="AZ68" s="1968"/>
      <c r="BA68" s="1706">
        <v>68</v>
      </c>
    </row>
    <row r="69" spans="1:53" s="144" customFormat="1" ht="12" customHeight="1">
      <c r="B69" s="144" t="s">
        <v>1200</v>
      </c>
      <c r="G69" s="3258">
        <v>100000</v>
      </c>
      <c r="H69" s="3259"/>
      <c r="J69" s="3258">
        <v>100000</v>
      </c>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262606.39859999996</v>
      </c>
      <c r="H70" s="3259"/>
      <c r="I70" s="145"/>
      <c r="J70" s="3258">
        <v>262606.39859999996</v>
      </c>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7061</v>
      </c>
      <c r="D71" s="3425"/>
      <c r="E71" s="3425"/>
      <c r="F71" s="3426"/>
      <c r="G71" s="3258">
        <v>25000</v>
      </c>
      <c r="H71" s="3259"/>
      <c r="J71" s="3258">
        <v>25000</v>
      </c>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6721</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4996254.3248540638</v>
      </c>
      <c r="H73" s="3356"/>
      <c r="J73" s="3355">
        <f>SUM(J61:J72)</f>
        <v>3515807.5506643075</v>
      </c>
      <c r="K73" s="3356"/>
      <c r="L73" s="283"/>
      <c r="M73" s="3355">
        <f>SUM(M61:M72)</f>
        <v>0</v>
      </c>
      <c r="N73" s="3356"/>
      <c r="P73" s="3355">
        <f>SUM(P61:P72)</f>
        <v>0</v>
      </c>
      <c r="Q73" s="3356"/>
      <c r="S73" s="3355">
        <f>SUM(S61:S72)</f>
        <v>1480446.7741881697</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250000</v>
      </c>
      <c r="H75" s="3248"/>
      <c r="J75" s="3247">
        <v>250000</v>
      </c>
      <c r="K75" s="3248"/>
      <c r="L75" s="828"/>
      <c r="M75" s="3247"/>
      <c r="N75" s="3248"/>
      <c r="P75" s="3247"/>
      <c r="Q75" s="3248"/>
      <c r="S75" s="3247"/>
      <c r="T75" s="3248"/>
      <c r="V75" s="849"/>
      <c r="W75" s="3359"/>
      <c r="X75" s="3360"/>
      <c r="AZ75" s="1968"/>
      <c r="BA75" s="1706">
        <v>75</v>
      </c>
    </row>
    <row r="76" spans="1:53" s="144" customFormat="1" ht="12" customHeight="1">
      <c r="B76" s="144" t="s">
        <v>451</v>
      </c>
      <c r="G76" s="3258">
        <v>50000</v>
      </c>
      <c r="H76" s="3259"/>
      <c r="J76" s="3258">
        <v>50000</v>
      </c>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20000</v>
      </c>
      <c r="H77" s="3259"/>
      <c r="J77" s="3258">
        <v>20000</v>
      </c>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v>0</v>
      </c>
      <c r="K78" s="3259"/>
      <c r="L78" s="828"/>
      <c r="M78" s="3258"/>
      <c r="N78" s="3259"/>
      <c r="P78" s="3258"/>
      <c r="Q78" s="3259"/>
      <c r="S78" s="3258"/>
      <c r="T78" s="3259"/>
      <c r="V78" s="849"/>
      <c r="W78" s="3359"/>
      <c r="X78" s="3360"/>
      <c r="AZ78" s="1968"/>
      <c r="BA78" s="1706">
        <v>78</v>
      </c>
    </row>
    <row r="79" spans="1:53" s="144" customFormat="1" ht="12" customHeight="1">
      <c r="B79" s="144" t="s">
        <v>1063</v>
      </c>
      <c r="G79" s="3258">
        <v>20000</v>
      </c>
      <c r="H79" s="3259"/>
      <c r="J79" s="3258">
        <v>20000</v>
      </c>
      <c r="K79" s="3259"/>
      <c r="L79" s="828"/>
      <c r="M79" s="3258"/>
      <c r="N79" s="3259"/>
      <c r="P79" s="3258"/>
      <c r="Q79" s="3259"/>
      <c r="S79" s="3258"/>
      <c r="T79" s="3259"/>
      <c r="V79" s="849"/>
      <c r="W79" s="3359"/>
      <c r="X79" s="3360"/>
      <c r="AZ79" s="1968" t="s">
        <v>6378</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v>150000</v>
      </c>
      <c r="H81" s="3259"/>
      <c r="J81" s="3258">
        <v>150000</v>
      </c>
      <c r="K81" s="3259"/>
      <c r="L81" s="828"/>
      <c r="M81" s="3258"/>
      <c r="N81" s="3259"/>
      <c r="P81" s="3258"/>
      <c r="Q81" s="3259"/>
      <c r="S81" s="3258"/>
      <c r="T81" s="3259"/>
      <c r="V81" s="849"/>
      <c r="W81" s="3359"/>
      <c r="X81" s="3360"/>
      <c r="AZ81" s="744"/>
      <c r="BA81" s="1706">
        <v>81</v>
      </c>
    </row>
    <row r="82" spans="1:53" s="144" customFormat="1" ht="12" customHeight="1">
      <c r="B82" s="144" t="s">
        <v>453</v>
      </c>
      <c r="G82" s="3258">
        <v>160000</v>
      </c>
      <c r="H82" s="3259"/>
      <c r="J82" s="3258">
        <v>100000</v>
      </c>
      <c r="K82" s="3259"/>
      <c r="L82" s="828"/>
      <c r="M82" s="3258"/>
      <c r="N82" s="3259"/>
      <c r="P82" s="3258"/>
      <c r="Q82" s="3259"/>
      <c r="S82" s="3258">
        <v>60000</v>
      </c>
      <c r="T82" s="3259"/>
      <c r="V82" s="849"/>
      <c r="W82" s="3359"/>
      <c r="X82" s="3360"/>
      <c r="AZ82" s="1968"/>
      <c r="BA82" s="1706">
        <v>82</v>
      </c>
    </row>
    <row r="83" spans="1:53" s="144" customFormat="1" ht="12" customHeight="1">
      <c r="B83" s="144" t="s">
        <v>1898</v>
      </c>
      <c r="G83" s="3258">
        <v>40000</v>
      </c>
      <c r="H83" s="3259"/>
      <c r="J83" s="3258">
        <v>40000</v>
      </c>
      <c r="K83" s="3259"/>
      <c r="L83" s="828"/>
      <c r="M83" s="3258"/>
      <c r="N83" s="3259"/>
      <c r="P83" s="3258"/>
      <c r="Q83" s="3259"/>
      <c r="S83" s="3258"/>
      <c r="T83" s="3259"/>
      <c r="V83" s="849"/>
      <c r="W83" s="3359"/>
      <c r="X83" s="3360"/>
      <c r="AZ83" s="1968"/>
      <c r="BA83" s="1706">
        <v>83</v>
      </c>
    </row>
    <row r="84" spans="1:53" s="144" customFormat="1" ht="12" customHeight="1">
      <c r="B84" s="144" t="s">
        <v>1201</v>
      </c>
      <c r="G84" s="3258">
        <v>10000</v>
      </c>
      <c r="H84" s="3259"/>
      <c r="J84" s="3258">
        <v>10000</v>
      </c>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7062</v>
      </c>
      <c r="D85" s="3394"/>
      <c r="E85" s="3394"/>
      <c r="F85" s="3395"/>
      <c r="G85" s="3206">
        <v>6500</v>
      </c>
      <c r="H85" s="3207"/>
      <c r="J85" s="3206">
        <v>6500</v>
      </c>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706500</v>
      </c>
      <c r="H86" s="3356"/>
      <c r="J86" s="3355">
        <f>SUM(J75:J85)</f>
        <v>646500</v>
      </c>
      <c r="K86" s="3356"/>
      <c r="L86" s="283"/>
      <c r="M86" s="3355">
        <f>SUM(M75:M85)</f>
        <v>0</v>
      </c>
      <c r="N86" s="3356"/>
      <c r="P86" s="3355">
        <f>SUM(P75:P85)</f>
        <v>0</v>
      </c>
      <c r="Q86" s="3356"/>
      <c r="S86" s="3355">
        <f>SUM(S75:S85)</f>
        <v>60000</v>
      </c>
      <c r="T86" s="3356"/>
      <c r="V86" s="851">
        <f>SUM(V75:V85)</f>
        <v>0</v>
      </c>
      <c r="W86" s="3368"/>
      <c r="X86" s="3369"/>
      <c r="AZ86" s="1968" t="s">
        <v>6380</v>
      </c>
      <c r="BA86" s="1706">
        <v>86</v>
      </c>
    </row>
    <row r="87" spans="1:53" ht="12" customHeight="1">
      <c r="A87" s="144"/>
      <c r="B87" s="243" t="s">
        <v>1193</v>
      </c>
      <c r="C87" s="144"/>
      <c r="D87" s="690" t="s">
        <v>3229</v>
      </c>
      <c r="E87" s="763">
        <f>G92/'Part V-Revenues &amp; Expenses'!$P$67</f>
        <v>4058.4811904761905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247125.75</v>
      </c>
      <c r="H88" s="3248"/>
      <c r="J88" s="3247">
        <v>247125.75</v>
      </c>
      <c r="K88" s="3248"/>
      <c r="L88" s="828"/>
      <c r="M88" s="3247"/>
      <c r="N88" s="3248"/>
      <c r="P88" s="3247"/>
      <c r="Q88" s="3248"/>
      <c r="S88" s="3247"/>
      <c r="T88" s="3248"/>
      <c r="V88" s="849"/>
      <c r="W88" s="3359"/>
      <c r="X88" s="3360"/>
      <c r="AZ88" s="1968"/>
      <c r="BA88" s="1706">
        <v>88</v>
      </c>
    </row>
    <row r="89" spans="1:53" s="144" customFormat="1" ht="12" customHeight="1">
      <c r="B89" s="144" t="s">
        <v>1195</v>
      </c>
      <c r="G89" s="3258">
        <v>568505.30000000005</v>
      </c>
      <c r="H89" s="3259"/>
      <c r="J89" s="3258">
        <v>568505.30000000005</v>
      </c>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2652</v>
      </c>
      <c r="G90" s="3258">
        <v>36650</v>
      </c>
      <c r="H90" s="3259"/>
      <c r="I90" s="145"/>
      <c r="J90" s="3258">
        <v>36650</v>
      </c>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2652</v>
      </c>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852281.05</v>
      </c>
      <c r="H92" s="3356"/>
      <c r="J92" s="3355">
        <f>SUM(J88:J91)</f>
        <v>852281.05</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245173.16331228858</v>
      </c>
      <c r="H97" s="3248"/>
      <c r="J97" s="3427"/>
      <c r="K97" s="3427"/>
      <c r="L97" s="828"/>
      <c r="M97" s="3427"/>
      <c r="N97" s="3427"/>
      <c r="P97" s="3427"/>
      <c r="Q97" s="3427"/>
      <c r="S97" s="3247">
        <v>245173.16331228858</v>
      </c>
      <c r="T97" s="3248"/>
      <c r="V97" s="849"/>
      <c r="W97" s="3359"/>
      <c r="X97" s="3360"/>
      <c r="AZ97" s="1968" t="s">
        <v>6382</v>
      </c>
      <c r="BA97" s="1706">
        <v>97</v>
      </c>
    </row>
    <row r="98" spans="1:53" s="144" customFormat="1" ht="12" customHeight="1">
      <c r="B98" s="144" t="s">
        <v>1199</v>
      </c>
      <c r="G98" s="3258">
        <v>125000</v>
      </c>
      <c r="H98" s="3259"/>
      <c r="J98" s="3427"/>
      <c r="K98" s="3427"/>
      <c r="L98" s="828"/>
      <c r="M98" s="3427"/>
      <c r="N98" s="3427"/>
      <c r="P98" s="3427"/>
      <c r="Q98" s="3427"/>
      <c r="S98" s="3258">
        <v>125000</v>
      </c>
      <c r="T98" s="3259"/>
      <c r="V98" s="849"/>
      <c r="W98" s="3359"/>
      <c r="X98" s="3360"/>
      <c r="AZ98" s="1968"/>
      <c r="BA98" s="1706">
        <v>98</v>
      </c>
    </row>
    <row r="99" spans="1:53" s="144" customFormat="1" ht="12" customHeight="1">
      <c r="B99" s="144" t="s">
        <v>1200</v>
      </c>
      <c r="G99" s="3258">
        <v>75000</v>
      </c>
      <c r="H99" s="3259"/>
      <c r="J99" s="3427"/>
      <c r="K99" s="3427"/>
      <c r="L99" s="828"/>
      <c r="M99" s="3427"/>
      <c r="N99" s="3427"/>
      <c r="P99" s="3427"/>
      <c r="Q99" s="3427"/>
      <c r="S99" s="3258">
        <v>75000</v>
      </c>
      <c r="T99" s="3259"/>
      <c r="V99" s="849"/>
      <c r="W99" s="3359"/>
      <c r="X99" s="3360"/>
      <c r="AZ99" s="1968"/>
      <c r="BA99" s="1706">
        <v>99</v>
      </c>
    </row>
    <row r="100" spans="1:53" s="144" customFormat="1" ht="12" customHeight="1">
      <c r="B100" s="144" t="s">
        <v>1202</v>
      </c>
      <c r="G100" s="3258">
        <v>0</v>
      </c>
      <c r="H100" s="3259"/>
      <c r="J100" s="3427"/>
      <c r="K100" s="3427"/>
      <c r="L100" s="828"/>
      <c r="M100" s="3427"/>
      <c r="N100" s="3427"/>
      <c r="P100" s="3427"/>
      <c r="Q100" s="3427"/>
      <c r="S100" s="3258">
        <v>0</v>
      </c>
      <c r="T100" s="3259"/>
      <c r="V100" s="849"/>
      <c r="W100" s="3359"/>
      <c r="X100" s="3360"/>
      <c r="AZ100" s="1968"/>
      <c r="BA100" s="1706">
        <v>100</v>
      </c>
    </row>
    <row r="101" spans="1:53" s="144" customFormat="1" ht="12" customHeight="1">
      <c r="B101" s="144" t="s">
        <v>2120</v>
      </c>
      <c r="G101" s="3258">
        <v>303250</v>
      </c>
      <c r="H101" s="3259"/>
      <c r="J101" s="3427"/>
      <c r="K101" s="3427"/>
      <c r="L101" s="828"/>
      <c r="M101" s="3427"/>
      <c r="N101" s="3427"/>
      <c r="P101" s="3427"/>
      <c r="Q101" s="3427"/>
      <c r="S101" s="3258">
        <v>303250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7054</v>
      </c>
      <c r="D102" s="3394"/>
      <c r="E102" s="3394"/>
      <c r="F102" s="3395"/>
      <c r="G102" s="3206">
        <v>421698</v>
      </c>
      <c r="H102" s="3207"/>
      <c r="J102" s="3427"/>
      <c r="K102" s="3427"/>
      <c r="L102" s="828"/>
      <c r="M102" s="3427"/>
      <c r="N102" s="3427"/>
      <c r="P102" s="3427"/>
      <c r="Q102" s="3427"/>
      <c r="S102" s="3206">
        <v>421698</v>
      </c>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1170121.1633122885</v>
      </c>
      <c r="H103" s="3356"/>
      <c r="J103" s="3427"/>
      <c r="K103" s="3427"/>
      <c r="L103" s="283"/>
      <c r="M103" s="3427"/>
      <c r="N103" s="3427"/>
      <c r="P103" s="3427"/>
      <c r="Q103" s="3427"/>
      <c r="S103" s="3355">
        <f>SUM(S97:S102)</f>
        <v>1170121.1633122885</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6500</v>
      </c>
      <c r="H106" s="3259"/>
      <c r="J106" s="283"/>
      <c r="K106" s="283"/>
      <c r="L106" s="290"/>
      <c r="M106" s="283"/>
      <c r="N106" s="283"/>
      <c r="P106" s="283"/>
      <c r="Q106" s="283"/>
      <c r="S106" s="3258">
        <v>6500</v>
      </c>
      <c r="T106" s="3259"/>
      <c r="V106" s="849"/>
      <c r="W106" s="3359"/>
      <c r="X106" s="3360"/>
      <c r="Y106" s="3348"/>
      <c r="AA106" s="1931" t="s">
        <v>3152</v>
      </c>
      <c r="AB106" s="1931"/>
      <c r="AC106" s="1931"/>
      <c r="AD106" s="1932">
        <f>'Part V-Revenues &amp; Expenses'!$P$67</f>
        <v>210</v>
      </c>
      <c r="AZ106" s="1968" t="s">
        <v>6383</v>
      </c>
      <c r="BA106" s="1706">
        <v>106</v>
      </c>
    </row>
    <row r="107" spans="1:53" s="144" customFormat="1" ht="12.6" customHeight="1">
      <c r="B107" s="144" t="s">
        <v>3318</v>
      </c>
      <c r="G107" s="3258">
        <v>2000</v>
      </c>
      <c r="H107" s="3259"/>
      <c r="J107" s="283"/>
      <c r="K107" s="283"/>
      <c r="L107" s="290"/>
      <c r="M107" s="283"/>
      <c r="N107" s="283"/>
      <c r="P107" s="283"/>
      <c r="Q107" s="283"/>
      <c r="S107" s="3258">
        <v>2000</v>
      </c>
      <c r="T107" s="3259"/>
      <c r="V107" s="849"/>
      <c r="W107" s="3359"/>
      <c r="X107" s="3360"/>
      <c r="Y107" s="3348"/>
      <c r="Z107" s="301"/>
      <c r="AA107" s="225" t="s">
        <v>6708</v>
      </c>
      <c r="AB107" s="147"/>
      <c r="AC107" s="147"/>
      <c r="AD107" s="147"/>
      <c r="AF107" s="1936" t="s">
        <v>6709</v>
      </c>
      <c r="AZ107" s="1968" t="s">
        <v>6384</v>
      </c>
      <c r="BA107" s="1706">
        <v>107</v>
      </c>
    </row>
    <row r="108" spans="1:53" s="144" customFormat="1" ht="12.6" customHeight="1">
      <c r="B108" s="144" t="s">
        <v>486</v>
      </c>
      <c r="E108" s="3428">
        <f>ROUNDUP('DCA Underwriting Assumptions'!$Q$56*J191,0)</f>
        <v>212222</v>
      </c>
      <c r="F108" s="3429"/>
      <c r="G108" s="3258">
        <v>212222</v>
      </c>
      <c r="H108" s="3259"/>
      <c r="J108" s="764" t="str">
        <f>IF(E108&gt;G108,"WARNING!  LIHTC Allocation Fee proposed is below minimum required.","")</f>
        <v/>
      </c>
      <c r="K108" s="283"/>
      <c r="L108" s="828"/>
      <c r="M108" s="283"/>
      <c r="N108" s="283"/>
      <c r="P108" s="283"/>
      <c r="Q108" s="283"/>
      <c r="S108" s="3258">
        <v>212222</v>
      </c>
      <c r="T108" s="3259"/>
      <c r="V108" s="849"/>
      <c r="W108" s="3359"/>
      <c r="X108" s="3360"/>
      <c r="Y108" s="3348"/>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210000</v>
      </c>
      <c r="F109" s="3429"/>
      <c r="G109" s="3258">
        <v>210000</v>
      </c>
      <c r="H109" s="3259"/>
      <c r="I109" s="3363" t="str">
        <f>IF(E109&gt;G109,"WARNING!  LIHTC Compliance Fee proposed is below minimum required.","")</f>
        <v/>
      </c>
      <c r="J109" s="3364"/>
      <c r="K109" s="3364"/>
      <c r="L109" s="3364"/>
      <c r="M109" s="3364"/>
      <c r="N109" s="3364"/>
      <c r="O109" s="3364"/>
      <c r="P109" s="3364"/>
      <c r="Q109" s="3364"/>
      <c r="R109" s="3365"/>
      <c r="S109" s="3258">
        <v>210000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8">
        <v>3000</v>
      </c>
      <c r="H110" s="3259"/>
      <c r="I110" s="3363"/>
      <c r="J110" s="3364"/>
      <c r="K110" s="3364"/>
      <c r="L110" s="3364"/>
      <c r="M110" s="3364"/>
      <c r="N110" s="3364"/>
      <c r="O110" s="3364"/>
      <c r="P110" s="3364"/>
      <c r="Q110" s="3364"/>
      <c r="R110" s="3365"/>
      <c r="S110" s="3258">
        <v>3000</v>
      </c>
      <c r="T110" s="3259"/>
      <c r="V110" s="849"/>
      <c r="W110" s="3359"/>
      <c r="X110" s="3360"/>
      <c r="Y110" s="3348"/>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6721</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6721</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210</v>
      </c>
      <c r="AF113" s="1934">
        <f>IF($AD$105="Income Averaging",AD113*'DCA Underwriting Assumptions'!$Q$61,AD113*'DCA Underwriting Assumptions'!$Q$60)</f>
        <v>210000</v>
      </c>
      <c r="AZ113" s="1968" t="s">
        <v>6386</v>
      </c>
      <c r="BA113" s="1706">
        <v>113</v>
      </c>
    </row>
    <row r="114" spans="1:53" s="144" customFormat="1" ht="12.6" customHeight="1" thickTop="1">
      <c r="F114" s="281" t="s">
        <v>184</v>
      </c>
      <c r="G114" s="3355">
        <f>SUM(G105:G113)</f>
        <v>441722</v>
      </c>
      <c r="H114" s="3356"/>
      <c r="J114" s="283"/>
      <c r="K114" s="283"/>
      <c r="L114" s="828"/>
      <c r="M114" s="283"/>
      <c r="N114" s="283"/>
      <c r="P114" s="283"/>
      <c r="Q114" s="283"/>
      <c r="S114" s="3355">
        <f>SUM(S105:S113)</f>
        <v>441722</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210</v>
      </c>
      <c r="AF115" s="1935">
        <f>SUM(AF113:AF114)</f>
        <v>210000</v>
      </c>
      <c r="AZ115" s="1959"/>
      <c r="BA115" s="1706">
        <v>115</v>
      </c>
    </row>
    <row r="116" spans="1:53" s="144" customFormat="1" ht="12.6" customHeight="1">
      <c r="B116" s="144" t="s">
        <v>267</v>
      </c>
      <c r="G116" s="3247">
        <v>22000</v>
      </c>
      <c r="H116" s="3248"/>
      <c r="J116" s="3427"/>
      <c r="K116" s="3427"/>
      <c r="L116" s="828"/>
      <c r="M116" s="3427"/>
      <c r="N116" s="3427"/>
      <c r="P116" s="3427"/>
      <c r="Q116" s="3427"/>
      <c r="S116" s="3247">
        <v>22000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2199</v>
      </c>
      <c r="G118" s="3258">
        <v>22000</v>
      </c>
      <c r="H118" s="3259"/>
      <c r="J118" s="3427"/>
      <c r="K118" s="3427"/>
      <c r="L118" s="828"/>
      <c r="M118" s="3427"/>
      <c r="N118" s="3427"/>
      <c r="P118" s="3427"/>
      <c r="Q118" s="3427"/>
      <c r="S118" s="3258">
        <v>21500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6721</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44000</v>
      </c>
      <c r="H120" s="3356"/>
      <c r="J120" s="3427"/>
      <c r="K120" s="3427"/>
      <c r="L120" s="828"/>
      <c r="M120" s="3427"/>
      <c r="N120" s="3427"/>
      <c r="P120" s="3427"/>
      <c r="Q120" s="3427"/>
      <c r="S120" s="3355">
        <f>SUM(S116:S119)</f>
        <v>43500</v>
      </c>
      <c r="T120" s="3356"/>
      <c r="V120" s="851">
        <f>SUM(V116:V119)</f>
        <v>0</v>
      </c>
      <c r="W120" s="3368"/>
      <c r="X120" s="3369"/>
      <c r="AC120" s="3379" t="s">
        <v>3922</v>
      </c>
      <c r="AD120" s="3379" t="s">
        <v>3923</v>
      </c>
      <c r="AE120" s="3393" t="s">
        <v>3926</v>
      </c>
      <c r="AF120" s="3385" t="s">
        <v>3924</v>
      </c>
      <c r="AG120" s="3393" t="s">
        <v>3915</v>
      </c>
      <c r="AH120" s="3505" t="s">
        <v>6742</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1723</v>
      </c>
      <c r="F122" s="323">
        <f>IF($G$127=0,0,G122/$G$127)</f>
        <v>0.5</v>
      </c>
      <c r="G122" s="3430">
        <v>1750000</v>
      </c>
      <c r="H122" s="3430"/>
      <c r="J122" s="3431">
        <v>1750000</v>
      </c>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3411</v>
      </c>
      <c r="F123" s="949">
        <v>1400000</v>
      </c>
      <c r="G123" s="241" t="s">
        <v>6722</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1724</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3164</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3500000</v>
      </c>
      <c r="AG125" s="3387">
        <f>'DCA Underwriting Assumptions'!$Q$75</f>
        <v>3500000</v>
      </c>
      <c r="AH125" s="3506">
        <f>MIN(AF125,AG125)</f>
        <v>3500000</v>
      </c>
      <c r="AI125" s="3507"/>
      <c r="AZ125" s="1959"/>
      <c r="BA125" s="1706">
        <v>125</v>
      </c>
    </row>
    <row r="126" spans="1:53" s="144" customFormat="1" ht="12.6" customHeight="1" thickBot="1">
      <c r="B126" s="144" t="s">
        <v>1716</v>
      </c>
      <c r="F126" s="323">
        <f>IF($G$127=0,0,G126/$G$127)</f>
        <v>0.5</v>
      </c>
      <c r="G126" s="3206">
        <v>1750000</v>
      </c>
      <c r="H126" s="3207"/>
      <c r="J126" s="3206">
        <v>1750000</v>
      </c>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3500000</v>
      </c>
      <c r="F127" s="281" t="s">
        <v>184</v>
      </c>
      <c r="G127" s="3355">
        <f>SUM(G122:G126)</f>
        <v>3500000</v>
      </c>
      <c r="H127" s="3433"/>
      <c r="J127" s="3355">
        <f>SUM(J122:J126)</f>
        <v>3500000</v>
      </c>
      <c r="K127" s="3433"/>
      <c r="L127" s="828"/>
      <c r="M127" s="3355">
        <f>SUM(M122:M126)</f>
        <v>0</v>
      </c>
      <c r="N127" s="3433"/>
      <c r="P127" s="3355">
        <f>SUM(P122:P126)</f>
        <v>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v>50000</v>
      </c>
      <c r="H129" s="3248"/>
      <c r="J129" s="291"/>
      <c r="K129" s="291"/>
      <c r="L129" s="291"/>
      <c r="M129" s="291"/>
      <c r="N129" s="291"/>
      <c r="P129" s="291"/>
      <c r="Q129" s="291"/>
      <c r="S129" s="3247">
        <v>50000</v>
      </c>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241879.5</v>
      </c>
      <c r="G130" s="3258">
        <v>241879.5</v>
      </c>
      <c r="H130" s="3259"/>
      <c r="J130" s="765" t="str">
        <f>IF(E130&gt;G130,"WARNING! Rent-Up Reserves proposed is below minimum - add comment.","")</f>
        <v/>
      </c>
      <c r="K130" s="765"/>
      <c r="L130" s="828"/>
      <c r="M130" s="750"/>
      <c r="N130" s="750"/>
      <c r="P130" s="750"/>
      <c r="Q130" s="750"/>
      <c r="S130" s="3258">
        <v>241879.5</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1156044.9834217099</v>
      </c>
      <c r="G131" s="3258">
        <v>1156044.7637490751</v>
      </c>
      <c r="H131" s="3259"/>
      <c r="J131" s="765" t="str">
        <f>IF(E131&gt;G131,"WARNING! ODR proposed is below minimum - add comment.","")</f>
        <v/>
      </c>
      <c r="K131" s="290"/>
      <c r="L131" s="290"/>
      <c r="M131" s="290"/>
      <c r="N131" s="290"/>
      <c r="P131" s="290"/>
      <c r="Q131" s="290"/>
      <c r="S131" s="3258">
        <v>1156044.7637490751</v>
      </c>
      <c r="T131" s="3259"/>
      <c r="V131" s="849"/>
      <c r="W131" s="3359"/>
      <c r="X131" s="3360"/>
      <c r="Y131"/>
      <c r="Z131" s="1307"/>
      <c r="AB131" s="236"/>
      <c r="AD131"/>
      <c r="AG131"/>
      <c r="AH131"/>
      <c r="AI131"/>
      <c r="AZ131" s="1968"/>
      <c r="BA131" s="1706">
        <v>131</v>
      </c>
    </row>
    <row r="132" spans="1:53" s="144" customFormat="1" ht="12.6" customHeight="1">
      <c r="B132" s="144" t="s">
        <v>1170</v>
      </c>
      <c r="G132" s="3258">
        <v>0</v>
      </c>
      <c r="H132" s="3259"/>
      <c r="J132" s="291"/>
      <c r="K132" s="291"/>
      <c r="L132" s="291"/>
      <c r="M132" s="291"/>
      <c r="N132" s="291"/>
      <c r="P132" s="291"/>
      <c r="Q132" s="291"/>
      <c r="S132" s="3258">
        <v>0</v>
      </c>
      <c r="T132" s="3259"/>
      <c r="V132" s="849"/>
      <c r="W132" s="3359"/>
      <c r="X132" s="3360"/>
      <c r="AZ132" s="1968" t="s">
        <v>6391</v>
      </c>
      <c r="BA132" s="1706">
        <v>132</v>
      </c>
    </row>
    <row r="133" spans="1:53" s="144" customFormat="1" ht="12.6" customHeight="1">
      <c r="B133" s="144" t="s">
        <v>1171</v>
      </c>
      <c r="E133" s="658" t="s">
        <v>3138</v>
      </c>
      <c r="F133" s="365">
        <f>IF('Part V-Revenues &amp; Expenses'!$P$67=0,0,G133/'Part V-Revenues &amp; Expenses'!$P$67)</f>
        <v>833.33333333333337</v>
      </c>
      <c r="G133" s="3258">
        <v>175000</v>
      </c>
      <c r="H133" s="3259"/>
      <c r="J133" s="3247">
        <v>175000</v>
      </c>
      <c r="K133" s="3248"/>
      <c r="L133" s="828"/>
      <c r="M133" s="3247"/>
      <c r="N133" s="3248"/>
      <c r="P133" s="3247"/>
      <c r="Q133" s="3248"/>
      <c r="S133" s="3258"/>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6721</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1622924.2637490751</v>
      </c>
      <c r="H135" s="3356"/>
      <c r="J135" s="3355">
        <f>SUM(J133:J134)</f>
        <v>175000</v>
      </c>
      <c r="K135" s="3356"/>
      <c r="L135" s="828"/>
      <c r="M135" s="3355">
        <f>SUM(M133:M134)</f>
        <v>0</v>
      </c>
      <c r="N135" s="3356"/>
      <c r="P135" s="3355">
        <f>SUM(P133:P134)</f>
        <v>0</v>
      </c>
      <c r="Q135" s="3356"/>
      <c r="S135" s="3355">
        <f>SUM(S129:S134)</f>
        <v>1447924.2637490751</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c r="H142" s="3248"/>
      <c r="J142" s="3247"/>
      <c r="K142" s="3248"/>
      <c r="L142" s="282"/>
      <c r="M142" s="3247"/>
      <c r="N142" s="3248"/>
      <c r="P142" s="3247"/>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6721</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0</v>
      </c>
      <c r="H144" s="3356"/>
      <c r="J144" s="3355">
        <f>SUM(J142:J143)</f>
        <v>0</v>
      </c>
      <c r="K144" s="3356"/>
      <c r="L144" s="828"/>
      <c r="M144" s="3355">
        <f>SUM(M142:M143)</f>
        <v>0</v>
      </c>
      <c r="N144" s="3356"/>
      <c r="P144" s="3355">
        <f>SUM(P142:P143)</f>
        <v>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60559835.021915421</v>
      </c>
      <c r="H146" s="3504"/>
      <c r="J146" s="3503">
        <f>J18+J24+J28+J36+J41+J46+J55+J73+J86+J92+J103+J114+J120+J127+J135+J144</f>
        <v>51014820.820664302</v>
      </c>
      <c r="K146" s="3504"/>
      <c r="M146" s="3503">
        <f>M18+M24+M28+M36+M41+M46+M55+M73+M86+M92+M103+M114+M120+M127+M135+M144</f>
        <v>0</v>
      </c>
      <c r="N146" s="3504"/>
      <c r="P146" s="3503">
        <f>P18+P24+P28+P36+P41+P46+P55+P73+P86+P92+P103+P114+P120+P127+P135+P144</f>
        <v>0</v>
      </c>
      <c r="Q146" s="3504"/>
      <c r="S146" s="3503">
        <f>S18+S24+S28+S36+S41+S46+S55+S73+S86+S92+S103+S114+S120+S127+S135+S144</f>
        <v>9544514.2012495324</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500">
        <f>IF('Part V-Revenues &amp; Expenses'!$P$67=0,0,G146/'Part V-Revenues &amp; Expenses'!$P$67)</f>
        <v>288380.1667710258</v>
      </c>
      <c r="E148" s="3500"/>
      <c r="F148" s="390" t="s">
        <v>2487</v>
      </c>
      <c r="G148" s="3501">
        <f>IF('Part V-Revenues &amp; Expenses'!$K$175=0,0,G146/'Part V-Revenues &amp; Expenses'!$K$175)</f>
        <v>300.57492069642359</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1893</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1997</v>
      </c>
      <c r="I154" s="295"/>
      <c r="J154" s="3519"/>
      <c r="K154" s="3520"/>
      <c r="P154" s="3519"/>
      <c r="Q154" s="3520"/>
      <c r="V154" s="849"/>
      <c r="W154" s="3359"/>
      <c r="X154" s="3360"/>
      <c r="AZ154" s="1968"/>
      <c r="BA154" s="1706">
        <v>154</v>
      </c>
    </row>
    <row r="155" spans="1:53" s="144" customFormat="1" ht="14.1" customHeight="1">
      <c r="B155" s="144" t="s">
        <v>1726</v>
      </c>
      <c r="I155" s="295"/>
      <c r="J155" s="3519"/>
      <c r="K155" s="3520"/>
      <c r="P155" s="3519"/>
      <c r="Q155" s="3520"/>
      <c r="V155" s="849"/>
      <c r="W155" s="3359"/>
      <c r="X155" s="3360"/>
      <c r="AZ155" s="1968"/>
      <c r="BA155" s="1706">
        <v>155</v>
      </c>
    </row>
    <row r="156" spans="1:53" s="144" customFormat="1" ht="14.1" customHeight="1">
      <c r="B156" s="144" t="s">
        <v>1727</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2223</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1728</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351">
        <f>J146</f>
        <v>51014820.820664302</v>
      </c>
      <c r="K162" s="3352"/>
      <c r="M162" s="3353">
        <f>M146</f>
        <v>0</v>
      </c>
      <c r="N162" s="3354"/>
      <c r="P162" s="3351">
        <f>P146</f>
        <v>0</v>
      </c>
      <c r="Q162" s="3352"/>
      <c r="R162" s="3486" t="s">
        <v>3773</v>
      </c>
      <c r="S162" s="3452"/>
      <c r="T162" s="3452"/>
      <c r="V162" s="849"/>
      <c r="W162" s="3359"/>
      <c r="X162" s="3360"/>
      <c r="AZ162" s="1968"/>
      <c r="BA162" s="1706">
        <v>162</v>
      </c>
    </row>
    <row r="163" spans="1:53" s="144" customFormat="1" ht="14.1" customHeight="1">
      <c r="B163" s="144" t="s">
        <v>2051</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2052</v>
      </c>
      <c r="J164" s="3372">
        <f>J162-J163</f>
        <v>51014820.820664302</v>
      </c>
      <c r="K164" s="3373"/>
      <c r="M164" s="3370">
        <f>M162</f>
        <v>0</v>
      </c>
      <c r="N164" s="3371"/>
      <c r="P164" s="3372">
        <f>P162-P163</f>
        <v>0</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7055</v>
      </c>
      <c r="I165" s="3437"/>
      <c r="J165" s="3438">
        <v>1.3</v>
      </c>
      <c r="K165" s="3439"/>
      <c r="M165" s="3440"/>
      <c r="N165" s="3440"/>
      <c r="P165" s="3438"/>
      <c r="Q165" s="3439"/>
      <c r="R165" s="3487" t="s">
        <v>3205</v>
      </c>
      <c r="S165" s="3488"/>
      <c r="T165" s="3489"/>
      <c r="U165" s="1170"/>
      <c r="V165" s="849"/>
      <c r="W165" s="3359"/>
      <c r="X165" s="3360"/>
      <c r="AZ165" s="1968"/>
      <c r="BA165" s="1706">
        <v>165</v>
      </c>
    </row>
    <row r="166" spans="1:53" s="144" customFormat="1" ht="14.1" customHeight="1">
      <c r="B166" s="144" t="s">
        <v>1902</v>
      </c>
      <c r="J166" s="3372">
        <f>J164*J165</f>
        <v>66319267.066863596</v>
      </c>
      <c r="K166" s="3373"/>
      <c r="M166" s="3351">
        <f>+M164</f>
        <v>0</v>
      </c>
      <c r="N166" s="3352"/>
      <c r="P166" s="3372">
        <f>P164*P165</f>
        <v>0</v>
      </c>
      <c r="Q166" s="3373"/>
      <c r="R166" s="3490"/>
      <c r="S166" s="3491"/>
      <c r="T166" s="3492"/>
      <c r="U166" s="1170"/>
      <c r="V166" s="849"/>
      <c r="W166" s="3359"/>
      <c r="X166" s="3360"/>
      <c r="AZ166" s="1968"/>
      <c r="BA166" s="1706">
        <v>166</v>
      </c>
    </row>
    <row r="167" spans="1:53" s="144" customFormat="1" ht="14.1" customHeight="1">
      <c r="B167" s="144" t="s">
        <v>2338</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1894</v>
      </c>
      <c r="J168" s="3372">
        <f>J166*J167</f>
        <v>66319267.066863596</v>
      </c>
      <c r="K168" s="3373"/>
      <c r="M168" s="3372">
        <f>M166*M167</f>
        <v>0</v>
      </c>
      <c r="N168" s="3373"/>
      <c r="P168" s="3372">
        <f>P166*P167</f>
        <v>0</v>
      </c>
      <c r="Q168" s="3373"/>
      <c r="V168" s="849"/>
      <c r="W168" s="3359"/>
      <c r="X168" s="3360"/>
      <c r="AZ168" s="1968"/>
      <c r="BA168" s="1706">
        <v>168</v>
      </c>
    </row>
    <row r="169" spans="1:53" s="144" customFormat="1" ht="14.1" customHeight="1">
      <c r="B169" s="144" t="s">
        <v>1895</v>
      </c>
      <c r="J169" s="3438">
        <v>0.04</v>
      </c>
      <c r="K169" s="3439"/>
      <c r="M169" s="3438"/>
      <c r="N169" s="3439"/>
      <c r="P169" s="3438"/>
      <c r="Q169" s="3439"/>
      <c r="V169" s="849"/>
      <c r="W169" s="3359"/>
      <c r="X169" s="3360"/>
      <c r="AZ169" s="1968"/>
      <c r="BA169" s="1706">
        <v>169</v>
      </c>
    </row>
    <row r="170" spans="1:53" s="144" customFormat="1" ht="14.1" customHeight="1" thickBot="1">
      <c r="B170" s="144" t="s">
        <v>2339</v>
      </c>
      <c r="J170" s="3443">
        <f>J168*J169</f>
        <v>2652770.6826745439</v>
      </c>
      <c r="K170" s="3444"/>
      <c r="M170" s="3443">
        <f>M168*M169</f>
        <v>0</v>
      </c>
      <c r="N170" s="3444"/>
      <c r="P170" s="3443">
        <f>P168*P169</f>
        <v>0</v>
      </c>
      <c r="Q170" s="3444"/>
      <c r="V170" s="856"/>
      <c r="W170" s="3366"/>
      <c r="X170" s="3367"/>
      <c r="AZ170" s="1968"/>
      <c r="BA170" s="1706">
        <v>170</v>
      </c>
    </row>
    <row r="171" spans="1:53" s="144" customFormat="1" ht="14.1" customHeight="1" thickBot="1">
      <c r="B171" s="243" t="s">
        <v>1339</v>
      </c>
      <c r="J171" s="3331">
        <f>ROUNDDOWN(J170+M170+P170,0)</f>
        <v>2652770</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60559835.021915421</v>
      </c>
      <c r="K176" s="3469"/>
      <c r="L176" s="3352"/>
      <c r="N176" s="3448" t="s">
        <v>6716</v>
      </c>
      <c r="O176" s="3449"/>
      <c r="P176" s="3449"/>
      <c r="Q176" s="3450"/>
      <c r="S176" s="3465" t="s">
        <v>3188</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19613852.999999993</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2063</v>
      </c>
      <c r="J178" s="3471">
        <f>+J176-J177</f>
        <v>40945982.021915428</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4094598.2021915428</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1.49</v>
      </c>
      <c r="K182" s="3458"/>
      <c r="L182" s="3459"/>
      <c r="M182" s="248" t="s">
        <v>1212</v>
      </c>
      <c r="N182" s="3460">
        <v>0.91</v>
      </c>
      <c r="O182" s="3461"/>
      <c r="P182" s="248" t="s">
        <v>570</v>
      </c>
      <c r="Q182" s="3460">
        <v>0.57999999999999996</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2748052</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62">
        <v>2652770</v>
      </c>
      <c r="K187" s="3463"/>
      <c r="L187" s="3464"/>
      <c r="Q187" s="147" t="s">
        <v>6247</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2652770</v>
      </c>
      <c r="K189" s="3463"/>
      <c r="L189" s="3464"/>
      <c r="M189" s="3447" t="str">
        <f>IF(J187=0,"",IF(J189&gt;J187,"Request can't exceed Maximum - REVISE (Try Round Down)!",""))</f>
        <v/>
      </c>
      <c r="N189" s="3447"/>
      <c r="O189" s="3447"/>
      <c r="P189" s="3447"/>
      <c r="Q189" s="241" t="s">
        <v>6543</v>
      </c>
      <c r="R189" s="147"/>
      <c r="S189" s="3349" t="str">
        <f>'Part VIII Scoring Criteria'!$F$36</f>
        <v>New Supply</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2652770</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7058</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2451</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53" sqref="F5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2023-5 - Westbury  -  Decatur  -  DeKalb,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Noise Study</v>
      </c>
      <c r="B9" s="3528"/>
      <c r="C9" s="3528"/>
      <c r="D9" s="3529"/>
      <c r="F9" s="3533" t="s">
        <v>7056</v>
      </c>
      <c r="G9" s="726"/>
      <c r="H9" s="3533" t="s">
        <v>7057</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3210</v>
      </c>
      <c r="B12" s="734">
        <f>'Part III-A-Uses of Funds'!$G$15</f>
        <v>6000</v>
      </c>
      <c r="C12" s="735" t="s">
        <v>1665</v>
      </c>
      <c r="D12" s="734">
        <f>'Part III-A-Uses of Funds'!$J$15+'Part III-A-Uses of Funds'!$M$15+'Part III-A-Uses of Funds'!$P$15</f>
        <v>6000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3209</v>
      </c>
      <c r="B24" s="726"/>
      <c r="C24" s="726"/>
      <c r="D24" s="726"/>
      <c r="E24" s="726"/>
      <c r="F24" s="726"/>
      <c r="G24" s="726"/>
    </row>
    <row r="25" spans="1:8" s="725" customFormat="1" ht="41.25" customHeight="1">
      <c r="A25" s="3527" t="str">
        <f>'Part III-A-Uses of Funds'!$C$46</f>
        <v>Site Lighting</v>
      </c>
      <c r="B25" s="3528"/>
      <c r="C25" s="3528"/>
      <c r="D25" s="3529"/>
      <c r="E25" s="726"/>
      <c r="F25" s="3536" t="s">
        <v>7059</v>
      </c>
      <c r="G25" s="726"/>
      <c r="H25" s="3536" t="s">
        <v>7057</v>
      </c>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25.5">
      <c r="A28" s="735" t="s">
        <v>3210</v>
      </c>
      <c r="B28" s="734">
        <f>'Part III-A-Uses of Funds'!$G$46</f>
        <v>50000</v>
      </c>
      <c r="C28" s="735" t="s">
        <v>1665</v>
      </c>
      <c r="D28" s="734">
        <f>'Part III-A-Uses of Funds'!$J$46+'Part III-A-Uses of Funds'!$M$46+'Part III-A-Uses of Funds'!$P$46</f>
        <v>50000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Construction Lender Due Diligence</v>
      </c>
      <c r="B31" s="3540"/>
      <c r="C31" s="3540"/>
      <c r="D31" s="3541"/>
      <c r="E31" s="726"/>
      <c r="F31" s="3533" t="s">
        <v>7060</v>
      </c>
      <c r="G31" s="726"/>
      <c r="H31" s="3533" t="s">
        <v>7057</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25000</v>
      </c>
      <c r="C34" s="735" t="s">
        <v>1665</v>
      </c>
      <c r="D34" s="734">
        <f>'Part III-A-Uses of Funds'!$J$71+'Part III-A-Uses of Funds'!$M$71+'Part III-A-Uses of Funds'!$P$71</f>
        <v>25000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Radon Testing</v>
      </c>
      <c r="B42" s="3540"/>
      <c r="C42" s="3540"/>
      <c r="D42" s="3541"/>
      <c r="F42" s="3536" t="s">
        <v>7063</v>
      </c>
      <c r="G42" s="726"/>
      <c r="H42" s="3536" t="s">
        <v>7064</v>
      </c>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3210</v>
      </c>
      <c r="B45" s="734">
        <f>'Part III-A-Uses of Funds'!$G$85</f>
        <v>6500</v>
      </c>
      <c r="C45" s="735" t="s">
        <v>1665</v>
      </c>
      <c r="D45" s="734">
        <f>'Part III-A-Uses of Funds'!$J$85+'Part III-A-Uses of Funds'!$M$85+'Part III-A-Uses of Funds'!$P$85</f>
        <v>6500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Standby &amp; Commitment Fees</v>
      </c>
      <c r="B48" s="3540"/>
      <c r="C48" s="3540"/>
      <c r="D48" s="3541"/>
      <c r="F48" s="3536" t="s">
        <v>7119</v>
      </c>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3210</v>
      </c>
      <c r="B51" s="734">
        <f>'Part III-A-Uses of Funds'!$G$102</f>
        <v>421698</v>
      </c>
      <c r="C51" s="729"/>
      <c r="D51" s="729"/>
      <c r="E51" s="726"/>
      <c r="F51" s="3537"/>
      <c r="G51" s="726"/>
    </row>
    <row r="52" spans="1:7" s="725" customFormat="1" ht="3.75" customHeight="1">
      <c r="A52" s="726"/>
      <c r="B52" s="726"/>
      <c r="C52" s="726"/>
      <c r="D52" s="726"/>
      <c r="E52" s="726"/>
      <c r="F52" s="3538"/>
      <c r="G52" s="728"/>
    </row>
    <row r="53" spans="1:7" s="725" customFormat="1">
      <c r="A53" s="736" t="s">
        <v>3211</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25.5">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25.5">
      <c r="A62" s="735" t="s">
        <v>3210</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3212</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25.5">
      <c r="A68" s="735" t="s">
        <v>3210</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3210</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3213</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3210</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41" sqref="I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Westbury, Decatur, DeKalb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6737</v>
      </c>
      <c r="I3" s="3555" t="str">
        <f>VLOOKUP('Part I-Project Identification'!$J$26,'DCA Underwriting Assumptions'!$G$141:$H$300,2)</f>
        <v>Local PHA</v>
      </c>
      <c r="J3" s="3556"/>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48" t="s">
        <v>7065</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45196</v>
      </c>
      <c r="J8" s="3552"/>
      <c r="K8" s="5" t="s">
        <v>505</v>
      </c>
      <c r="L8" s="3542" t="s">
        <v>7067</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44" t="s">
        <v>7066</v>
      </c>
      <c r="E12" s="3545"/>
      <c r="F12" s="207" t="s">
        <v>416</v>
      </c>
      <c r="G12" s="207"/>
      <c r="H12" s="804"/>
      <c r="I12" s="1266"/>
      <c r="J12" s="1266">
        <v>12</v>
      </c>
      <c r="K12" s="1266">
        <v>14</v>
      </c>
      <c r="L12" s="1266">
        <v>16</v>
      </c>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v>6</v>
      </c>
      <c r="K13" s="1267">
        <v>8</v>
      </c>
      <c r="L13" s="1268">
        <v>11</v>
      </c>
      <c r="M13" s="1268"/>
      <c r="O13" s="3557" t="s">
        <v>3276</v>
      </c>
      <c r="P13" s="3557"/>
      <c r="Q13" s="3557"/>
    </row>
    <row r="14" spans="1:25" s="6" customFormat="1" ht="12" customHeight="1">
      <c r="B14" s="1275" t="s">
        <v>1493</v>
      </c>
      <c r="C14" s="1276"/>
      <c r="D14" s="3564" t="s">
        <v>1491</v>
      </c>
      <c r="E14" s="3565"/>
      <c r="F14" s="208" t="s">
        <v>416</v>
      </c>
      <c r="G14" s="208"/>
      <c r="H14" s="203"/>
      <c r="I14" s="1267"/>
      <c r="J14" s="1267">
        <v>13</v>
      </c>
      <c r="K14" s="1267">
        <v>17</v>
      </c>
      <c r="L14" s="1268">
        <v>21</v>
      </c>
      <c r="M14" s="1268"/>
      <c r="O14" s="3557"/>
      <c r="P14" s="3557"/>
      <c r="Q14" s="3557"/>
    </row>
    <row r="15" spans="1:25" s="6" customFormat="1" ht="12" customHeight="1">
      <c r="B15" s="1277" t="s">
        <v>440</v>
      </c>
      <c r="C15" s="1278"/>
      <c r="D15" s="1277" t="s">
        <v>1491</v>
      </c>
      <c r="E15" s="204"/>
      <c r="F15" s="208" t="s">
        <v>416</v>
      </c>
      <c r="G15" s="208"/>
      <c r="H15" s="802"/>
      <c r="I15" s="1267"/>
      <c r="J15" s="1267">
        <v>10</v>
      </c>
      <c r="K15" s="1267">
        <v>14</v>
      </c>
      <c r="L15" s="1268">
        <v>21</v>
      </c>
      <c r="M15" s="1268"/>
      <c r="O15" s="3557"/>
      <c r="P15" s="3557"/>
      <c r="Q15" s="3557"/>
    </row>
    <row r="16" spans="1:25" s="6" customFormat="1" ht="12" customHeight="1">
      <c r="B16" s="1279" t="s">
        <v>3270</v>
      </c>
      <c r="C16" s="1274"/>
      <c r="D16" s="1273" t="s">
        <v>1491</v>
      </c>
      <c r="E16" s="801"/>
      <c r="F16" s="208"/>
      <c r="G16" s="208"/>
      <c r="H16" s="803"/>
      <c r="I16" s="1267"/>
      <c r="J16" s="1267"/>
      <c r="K16" s="1267"/>
      <c r="L16" s="1268"/>
      <c r="M16" s="1268"/>
      <c r="O16" s="3557"/>
      <c r="P16" s="3557"/>
      <c r="Q16" s="3557"/>
    </row>
    <row r="17" spans="1:25" s="6" customFormat="1" ht="12" customHeight="1">
      <c r="B17" s="1279" t="s">
        <v>3271</v>
      </c>
      <c r="C17" s="1274"/>
      <c r="D17" s="1273" t="s">
        <v>1491</v>
      </c>
      <c r="E17" s="801"/>
      <c r="F17" s="208"/>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f>21+14</f>
        <v>35</v>
      </c>
      <c r="K18" s="1267">
        <f>30+14</f>
        <v>44</v>
      </c>
      <c r="L18" s="1268">
        <f>38+14</f>
        <v>52</v>
      </c>
      <c r="M18" s="1268"/>
      <c r="O18" s="3557"/>
      <c r="P18" s="3557"/>
      <c r="Q18" s="3557"/>
    </row>
    <row r="19" spans="1:25" s="6" customFormat="1" ht="12" customHeight="1">
      <c r="B19" s="1277" t="s">
        <v>1292</v>
      </c>
      <c r="C19" s="1278"/>
      <c r="D19" s="1283" t="s">
        <v>3076</v>
      </c>
      <c r="E19" s="1265" t="s">
        <v>2649</v>
      </c>
      <c r="F19" s="208"/>
      <c r="G19" s="208" t="s">
        <v>416</v>
      </c>
      <c r="H19" s="802"/>
      <c r="I19" s="1267"/>
      <c r="J19" s="1267"/>
      <c r="K19" s="1267"/>
      <c r="L19" s="1268"/>
      <c r="M19" s="1268"/>
      <c r="O19" s="3557"/>
      <c r="P19" s="3557"/>
      <c r="Q19" s="3557"/>
    </row>
    <row r="20" spans="1:25" s="6" customFormat="1" ht="12" customHeight="1">
      <c r="B20" s="1281" t="s">
        <v>1714</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76</v>
      </c>
      <c r="K22" s="119">
        <f>IF(SUM(K12:K21)=0,0,IF(OR($D12="&lt;&lt;Select Fuel &gt;&gt;",$D13="&lt;&lt;Select Fuel &gt;&gt;",$D14="&lt;&lt;Select Fuel &gt;&gt;"),"Select Fuel",IF($E19="&lt;Select&gt;","Submeter?",SUM(K12:K21))))</f>
        <v>97</v>
      </c>
      <c r="L22" s="119">
        <f>IF(SUM(L12:L21)=0,0,IF(OR($D12="&lt;&lt;Select Fuel &gt;&gt;",$D13="&lt;&lt;Select Fuel &gt;&gt;",$D14="&lt;&lt;Select Fuel &gt;&gt;"),"Select Fuel",IF($E19="&lt;Select&gt;","Submeter?",SUM(L12:L21))))</f>
        <v>121</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69" t="s">
        <v>7068</v>
      </c>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v>44774</v>
      </c>
      <c r="J25" s="3552"/>
      <c r="K25" s="5" t="s">
        <v>505</v>
      </c>
      <c r="L25" s="3542" t="s">
        <v>7067</v>
      </c>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44" t="s">
        <v>7066</v>
      </c>
      <c r="E29" s="3545"/>
      <c r="F29" s="207" t="s">
        <v>416</v>
      </c>
      <c r="G29" s="207"/>
      <c r="H29" s="804"/>
      <c r="I29" s="1266"/>
      <c r="J29" s="1266">
        <v>11</v>
      </c>
      <c r="K29" s="1266">
        <v>14</v>
      </c>
      <c r="L29" s="1266">
        <v>17</v>
      </c>
      <c r="M29" s="1266"/>
      <c r="O29" s="839"/>
      <c r="P29" s="839"/>
      <c r="Q29" s="839"/>
      <c r="R29" s="839"/>
      <c r="S29" s="839"/>
      <c r="T29" s="839"/>
      <c r="U29" s="839"/>
      <c r="V29" s="10"/>
      <c r="W29" s="10"/>
      <c r="X29" s="10"/>
      <c r="Y29" s="10"/>
    </row>
    <row r="30" spans="1:25" s="6" customFormat="1" ht="12" customHeight="1">
      <c r="B30" s="1273" t="s">
        <v>1492</v>
      </c>
      <c r="C30" s="1274"/>
      <c r="D30" s="3564" t="s">
        <v>1491</v>
      </c>
      <c r="E30" s="3565"/>
      <c r="F30" s="208" t="s">
        <v>416</v>
      </c>
      <c r="G30" s="208"/>
      <c r="H30" s="803"/>
      <c r="I30" s="1267"/>
      <c r="J30" s="1267">
        <v>4</v>
      </c>
      <c r="K30" s="1267">
        <v>6</v>
      </c>
      <c r="L30" s="1268">
        <v>8</v>
      </c>
      <c r="M30" s="1268"/>
      <c r="O30" s="839"/>
      <c r="P30" s="839"/>
      <c r="Q30" s="839"/>
      <c r="R30" s="839"/>
      <c r="S30" s="839"/>
      <c r="T30" s="839"/>
      <c r="U30" s="839"/>
    </row>
    <row r="31" spans="1:25" s="6" customFormat="1" ht="12" customHeight="1">
      <c r="B31" s="1275" t="s">
        <v>1493</v>
      </c>
      <c r="C31" s="1276"/>
      <c r="D31" s="3564" t="s">
        <v>1491</v>
      </c>
      <c r="E31" s="3565"/>
      <c r="F31" s="208" t="s">
        <v>416</v>
      </c>
      <c r="G31" s="208"/>
      <c r="H31" s="203"/>
      <c r="I31" s="1267"/>
      <c r="J31" s="1267">
        <v>10</v>
      </c>
      <c r="K31" s="1267">
        <v>13</v>
      </c>
      <c r="L31" s="1268">
        <v>15</v>
      </c>
      <c r="M31" s="1268"/>
      <c r="O31" s="3557" t="s">
        <v>3276</v>
      </c>
      <c r="P31" s="3557"/>
      <c r="Q31" s="3557"/>
    </row>
    <row r="32" spans="1:25" s="6" customFormat="1" ht="12" customHeight="1">
      <c r="B32" s="1277" t="s">
        <v>440</v>
      </c>
      <c r="C32" s="1278"/>
      <c r="D32" s="1277" t="s">
        <v>1491</v>
      </c>
      <c r="E32" s="204"/>
      <c r="F32" s="208" t="s">
        <v>416</v>
      </c>
      <c r="G32" s="208"/>
      <c r="H32" s="802"/>
      <c r="I32" s="1267"/>
      <c r="J32" s="1267">
        <v>7</v>
      </c>
      <c r="K32" s="1267">
        <v>10</v>
      </c>
      <c r="L32" s="1268">
        <v>13</v>
      </c>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t="s">
        <v>416</v>
      </c>
      <c r="G35" s="208"/>
      <c r="H35" s="203"/>
      <c r="I35" s="1267"/>
      <c r="J35" s="1267">
        <f>16+20</f>
        <v>36</v>
      </c>
      <c r="K35" s="1267">
        <f>22+20</f>
        <v>42</v>
      </c>
      <c r="L35" s="1268">
        <f>28+20</f>
        <v>48</v>
      </c>
      <c r="M35" s="1268"/>
      <c r="O35" s="3557"/>
      <c r="P35" s="3557"/>
      <c r="Q35" s="3557"/>
    </row>
    <row r="36" spans="1:19" s="6" customFormat="1" ht="12" customHeight="1">
      <c r="B36" s="1277" t="s">
        <v>1292</v>
      </c>
      <c r="C36" s="1278"/>
      <c r="D36" s="1283" t="s">
        <v>3076</v>
      </c>
      <c r="E36" s="1265" t="s">
        <v>2649</v>
      </c>
      <c r="F36" s="208"/>
      <c r="G36" s="208" t="s">
        <v>416</v>
      </c>
      <c r="H36" s="802"/>
      <c r="I36" s="1267"/>
      <c r="J36" s="1267"/>
      <c r="K36" s="1267"/>
      <c r="L36" s="1268"/>
      <c r="M36" s="1268"/>
      <c r="O36" s="3557"/>
      <c r="P36" s="3557"/>
      <c r="Q36" s="3557"/>
    </row>
    <row r="37" spans="1:19" s="6" customFormat="1" ht="12" customHeight="1">
      <c r="B37" s="1281" t="s">
        <v>1714</v>
      </c>
      <c r="C37" s="1282"/>
      <c r="D37" s="205"/>
      <c r="E37" s="187"/>
      <c r="F37" s="208"/>
      <c r="G37" s="208" t="s">
        <v>416</v>
      </c>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68</v>
      </c>
      <c r="K39" s="119">
        <f>IF(SUM(K29:K38)=0,0,IF(OR($D29="&lt;&lt;Select Fuel &gt;&gt;",$D31="&lt;&lt;Select Fuel &gt;&gt;",$D32="&lt;&lt;Select Fuel &gt;&gt;"),"Select Fuel",IF($E36="&lt;Select&gt;","Submeter?",SUM(K29:K38))))</f>
        <v>85</v>
      </c>
      <c r="L39" s="119">
        <f>IF(SUM(L29:L38)=0,0,IF(OR($D29="&lt;&lt;Select Fuel &gt;&gt;",$D31="&lt;&lt;Select Fuel &gt;&gt;",$D32="&lt;&lt;Select Fuel &gt;&gt;"),"Select Fuel",IF($E36="&lt;Select&gt;","Submeter?",SUM(L29:L38))))</f>
        <v>101</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68.25" customHeight="1">
      <c r="B43" s="3558" t="s">
        <v>7069</v>
      </c>
      <c r="C43" s="3559"/>
      <c r="D43" s="3559"/>
      <c r="E43" s="3559"/>
      <c r="F43" s="3559"/>
      <c r="G43" s="3559"/>
      <c r="H43" s="3559"/>
      <c r="I43" s="3559"/>
      <c r="J43" s="3559"/>
      <c r="K43" s="3559"/>
      <c r="L43" s="3559"/>
      <c r="M43" s="3560"/>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1710</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2023-04-28T17:11:20Z</cp:lastPrinted>
  <dcterms:created xsi:type="dcterms:W3CDTF">2005-09-15T20:51:37Z</dcterms:created>
  <dcterms:modified xsi:type="dcterms:W3CDTF">2023-10-06T19:13:30Z</dcterms:modified>
</cp:coreProperties>
</file>