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LaurenValdez\Dropbox (RHP)\Portfolio\Bon Air Apartments\01 Development\DCA\2023\2023 9% Application\"/>
    </mc:Choice>
  </mc:AlternateContent>
  <xr:revisionPtr revIDLastSave="0" documentId="8_{E17FF40A-A774-4CBA-9663-E46A993397B0}"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3"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1" i="75" l="1"/>
  <c r="K211" i="75" s="1"/>
  <c r="L211" i="75" s="1"/>
  <c r="I211" i="75"/>
  <c r="H211" i="75"/>
  <c r="J202" i="75"/>
  <c r="K202" i="75" s="1"/>
  <c r="L202" i="75" s="1"/>
  <c r="M202" i="75" s="1"/>
  <c r="N202" i="75" s="1"/>
  <c r="O202" i="75" s="1"/>
  <c r="P202" i="75" s="1"/>
  <c r="Q202" i="75" s="1"/>
  <c r="I202" i="75"/>
  <c r="H202" i="75"/>
  <c r="J193" i="75"/>
  <c r="K193" i="75" s="1"/>
  <c r="L193" i="75" s="1"/>
  <c r="M193" i="75" s="1"/>
  <c r="N193" i="75" s="1"/>
  <c r="O193" i="75" s="1"/>
  <c r="P193" i="75" s="1"/>
  <c r="Q193" i="75" s="1"/>
  <c r="J184" i="75"/>
  <c r="K184" i="75" s="1"/>
  <c r="L184" i="75" s="1"/>
  <c r="M184" i="75" s="1"/>
  <c r="N184" i="75" s="1"/>
  <c r="O184" i="75" s="1"/>
  <c r="P184" i="75" s="1"/>
  <c r="Q184" i="75" s="1"/>
  <c r="H193" i="75" s="1"/>
  <c r="I193" i="75" s="1"/>
  <c r="I184" i="75"/>
  <c r="P142" i="78"/>
  <c r="S131" i="78" l="1"/>
  <c r="P88" i="78" l="1"/>
  <c r="AK1600" i="103"/>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7" i="103"/>
  <c r="S175" i="103"/>
  <c r="S174" i="103"/>
  <c r="P185" i="103"/>
  <c r="P184" i="103"/>
  <c r="P180" i="103"/>
  <c r="P179"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8" i="103"/>
  <c r="G179" i="103"/>
  <c r="G180"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4" i="103"/>
  <c r="G134"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M235" i="103"/>
  <c r="J235" i="103"/>
  <c r="G201" i="103"/>
  <c r="G174"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7" i="103"/>
  <c r="I98"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I84" i="103"/>
  <c r="I85" i="103"/>
  <c r="I86" i="103"/>
  <c r="I87" i="103"/>
  <c r="C86" i="103"/>
  <c r="E84" i="103"/>
  <c r="E85" i="103"/>
  <c r="E86" i="103"/>
  <c r="E87" i="103"/>
  <c r="E88" i="103"/>
  <c r="E83" i="103"/>
  <c r="P66" i="103"/>
  <c r="P67" i="103"/>
  <c r="P65" i="103"/>
  <c r="N66" i="103"/>
  <c r="N67" i="103"/>
  <c r="N65" i="103"/>
  <c r="L66" i="103"/>
  <c r="L67" i="103"/>
  <c r="L68" i="103"/>
  <c r="L69" i="103"/>
  <c r="L70"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AH449" i="102"/>
  <c r="AH1600" i="103" s="1"/>
  <c r="M302" i="103"/>
  <c r="AI449" i="102"/>
  <c r="AI1600" i="103" s="1"/>
  <c r="BH449" i="102"/>
  <c r="BH1600" i="103" s="1"/>
  <c r="E21" i="102"/>
  <c r="E1172" i="103" s="1"/>
  <c r="O1351" i="103"/>
  <c r="C1187" i="103"/>
  <c r="E34" i="102"/>
  <c r="AJ449" i="102"/>
  <c r="AJ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M154" i="103"/>
  <c r="G149" i="103"/>
  <c r="S149" i="103"/>
  <c r="U185" i="103"/>
  <c r="M199" i="103"/>
  <c r="S199" i="103"/>
  <c r="J205" i="103"/>
  <c r="M205" i="103"/>
  <c r="P205" i="103"/>
  <c r="G216" i="103"/>
  <c r="S227"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J199"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J149" i="103"/>
  <c r="P14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K613" i="103"/>
  <c r="M517" i="103"/>
  <c r="M526" i="103"/>
  <c r="O6" i="102"/>
  <c r="P6" i="102"/>
  <c r="BF424" i="102"/>
  <c r="BF449" i="102" s="1"/>
  <c r="BF1600" i="103" s="1"/>
  <c r="L179" i="102"/>
  <c r="AZ430" i="102"/>
  <c r="AZ449" i="102" s="1"/>
  <c r="AZ1600" i="103" s="1"/>
  <c r="N144" i="102"/>
  <c r="E19" i="102"/>
  <c r="E1170" i="103" s="1"/>
  <c r="AY430" i="102"/>
  <c r="AY449" i="102" s="1"/>
  <c r="AY1600" i="103" s="1"/>
  <c r="N526" i="103" l="1"/>
  <c r="Q614"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0" i="100"/>
  <c r="G60" i="100"/>
  <c r="E60" i="100"/>
  <c r="I59" i="100"/>
  <c r="G59" i="100"/>
  <c r="I58" i="100"/>
  <c r="C34" i="100"/>
  <c r="A2" i="100" l="1"/>
  <c r="H1" i="95"/>
  <c r="A1" i="87"/>
  <c r="A2" i="83"/>
  <c r="E15" i="89"/>
  <c r="C1" i="86"/>
  <c r="F12" i="85"/>
  <c r="H1" i="91"/>
  <c r="C28" i="90"/>
  <c r="A47" i="100"/>
  <c r="D753" i="103"/>
  <c r="C763" i="103"/>
  <c r="H2" i="95"/>
  <c r="H2" i="91"/>
  <c r="A2" i="90"/>
  <c r="F13" i="85"/>
  <c r="A1" i="89"/>
  <c r="K58" i="100"/>
  <c r="E58" i="100"/>
  <c r="K59" i="100"/>
  <c r="G58" i="100"/>
  <c r="E59" i="100"/>
  <c r="K60" i="100"/>
  <c r="K66" i="100"/>
  <c r="D763" i="103" l="1"/>
  <c r="E753" i="103"/>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S86" i="78"/>
  <c r="M86" i="78"/>
  <c r="J86" i="78"/>
  <c r="M73" i="78"/>
  <c r="J73" i="78"/>
  <c r="S135" i="78"/>
  <c r="G135" i="78"/>
  <c r="S103" i="78"/>
  <c r="G103"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114" i="78"/>
  <c r="G11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E5" i="86"/>
  <c r="E4" i="86"/>
  <c r="G49" i="86"/>
  <c r="F49" i="86"/>
  <c r="E49" i="86"/>
  <c r="D49" i="86"/>
  <c r="F78" i="89"/>
  <c r="E185" i="90" s="1"/>
  <c r="F76" i="89"/>
  <c r="E173" i="90" s="1"/>
  <c r="F74" i="89"/>
  <c r="E168"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D56" i="86" l="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J23" i="75"/>
  <c r="J470" i="103" s="1"/>
  <c r="L470" i="103" s="1"/>
  <c r="M470" i="103" s="1"/>
  <c r="C21" i="90"/>
  <c r="E31" i="86"/>
  <c r="F16" i="86"/>
  <c r="M146" i="78"/>
  <c r="M162" i="78" s="1"/>
  <c r="M164" i="78" s="1"/>
  <c r="M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C21" i="86"/>
  <c r="C41" i="86" s="1"/>
  <c r="D41" i="86" s="1"/>
  <c r="E41" i="86" s="1"/>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G36" i="86"/>
  <c r="H56" i="86"/>
  <c r="C56" i="86"/>
  <c r="K68" i="74"/>
  <c r="C67" i="74"/>
  <c r="D11" i="86"/>
  <c r="C36" i="86"/>
  <c r="H36" i="86"/>
  <c r="D36" i="86"/>
  <c r="G12" i="86"/>
  <c r="C31" i="74"/>
  <c r="C738" i="103" s="1"/>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M67" i="85"/>
  <c r="E13" i="72"/>
  <c r="P268" i="72"/>
  <c r="M496" i="103" l="1"/>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J69" i="74"/>
  <c r="R117" i="74"/>
  <c r="S117" i="74" s="1"/>
  <c r="F100" i="74"/>
  <c r="G69" i="74"/>
  <c r="H56" i="73"/>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J108" i="78"/>
  <c r="L23" i="75"/>
  <c r="M23" i="75" s="1"/>
  <c r="L21" i="75"/>
  <c r="M21" i="75" s="1"/>
  <c r="L147" i="75"/>
  <c r="E35" i="74"/>
  <c r="D35" i="74"/>
  <c r="E41" i="78"/>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P139" i="75"/>
  <c r="P114" i="75"/>
  <c r="AD109" i="78" l="1"/>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149" i="75"/>
  <c r="P147" i="75"/>
  <c r="P150" i="75"/>
  <c r="F14" i="74"/>
  <c r="E24" i="74"/>
  <c r="E731" i="103" s="1"/>
  <c r="P153" i="75"/>
  <c r="P100" i="75"/>
  <c r="F21" i="86"/>
  <c r="E22" i="86"/>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65" i="75"/>
  <c r="E13" i="84"/>
  <c r="G14" i="74"/>
  <c r="F24" i="74"/>
  <c r="F731" i="103" s="1"/>
  <c r="K168" i="75"/>
  <c r="P168" i="75" s="1"/>
  <c r="P166" i="75"/>
  <c r="G21" i="86"/>
  <c r="F22" i="86"/>
  <c r="B722" i="103" l="1"/>
  <c r="P280" i="103"/>
  <c r="K175" i="75"/>
  <c r="M280" i="103"/>
  <c r="M281" i="103" s="1"/>
  <c r="M283" i="103" s="1"/>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H21" i="86"/>
  <c r="G22" i="86"/>
  <c r="F722" i="103" l="1"/>
  <c r="G722" i="103"/>
  <c r="E722" i="103"/>
  <c r="D722" i="103"/>
  <c r="C722" i="103"/>
  <c r="Q243" i="75"/>
  <c r="I109" i="78"/>
  <c r="E222" i="103"/>
  <c r="I222" i="103" s="1"/>
  <c r="AD226" i="103"/>
  <c r="AD228" i="103" s="1"/>
  <c r="AB228" i="103"/>
  <c r="AD106" i="78"/>
  <c r="H1322" i="103"/>
  <c r="J1448" i="103"/>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G20" i="82" s="1"/>
  <c r="H24" i="74"/>
  <c r="H731" i="103" s="1"/>
  <c r="I14" i="74"/>
  <c r="H16" i="74"/>
  <c r="H723" i="103" s="1"/>
  <c r="H15" i="74"/>
  <c r="I21" i="86"/>
  <c r="I22" i="86" s="1"/>
  <c r="H22" i="86"/>
  <c r="H722" i="103" l="1"/>
  <c r="B22" i="74"/>
  <c r="H53" i="82"/>
  <c r="H738" i="103"/>
  <c r="AD238" i="103"/>
  <c r="AF238" i="103" s="1"/>
  <c r="D17" i="83"/>
  <c r="F53" i="89"/>
  <c r="F16" i="85"/>
  <c r="A9" i="83"/>
  <c r="J1449" i="103"/>
  <c r="M1449" i="103"/>
  <c r="AD235" i="103"/>
  <c r="AF235" i="103" s="1"/>
  <c r="J298" i="102"/>
  <c r="J300" i="102" s="1"/>
  <c r="J1451" i="103" s="1"/>
  <c r="M298" i="102"/>
  <c r="M300" i="102" s="1"/>
  <c r="M1451" i="103" s="1"/>
  <c r="C54" i="100"/>
  <c r="C56"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K13" i="84"/>
  <c r="M366" i="72"/>
  <c r="M367" i="72" s="1"/>
  <c r="I56" i="84"/>
  <c r="C17" i="74"/>
  <c r="C724" i="103" s="1"/>
  <c r="C54" i="84"/>
  <c r="C56" i="84" s="1"/>
  <c r="K6" i="74"/>
  <c r="K713" i="103" s="1"/>
  <c r="L4" i="95"/>
  <c r="J4" i="91"/>
  <c r="D17" i="74"/>
  <c r="K53" i="84"/>
  <c r="K54" i="84" s="1"/>
  <c r="K56" i="84" s="1"/>
  <c r="G53" i="84"/>
  <c r="G54" i="84" s="1"/>
  <c r="E17" i="74"/>
  <c r="E53" i="84"/>
  <c r="E54" i="84" s="1"/>
  <c r="E56" i="84" s="1"/>
  <c r="F17" i="74"/>
  <c r="F724" i="103" s="1"/>
  <c r="P97" i="72"/>
  <c r="K87" i="75"/>
  <c r="L87" i="75"/>
  <c r="P75" i="75"/>
  <c r="AF125" i="78"/>
  <c r="AH125" i="78" s="1"/>
  <c r="AF122" i="78"/>
  <c r="H17" i="74"/>
  <c r="H724" i="103" s="1"/>
  <c r="I24" i="74"/>
  <c r="I731" i="103" s="1"/>
  <c r="J14" i="74"/>
  <c r="I16" i="74"/>
  <c r="I723" i="103" s="1"/>
  <c r="I15" i="74"/>
  <c r="Q220" i="75" l="1"/>
  <c r="Q667" i="103"/>
  <c r="B729" i="103"/>
  <c r="F22" i="74"/>
  <c r="F729" i="103" s="1"/>
  <c r="K8" i="74"/>
  <c r="K715" i="103" s="1"/>
  <c r="H22" i="74"/>
  <c r="H729" i="103" s="1"/>
  <c r="D724" i="103"/>
  <c r="D22" i="74"/>
  <c r="D729" i="103" s="1"/>
  <c r="I722" i="103"/>
  <c r="C22" i="74"/>
  <c r="C729" i="103" s="1"/>
  <c r="E724" i="103"/>
  <c r="E22" i="74"/>
  <c r="E729" i="103" s="1"/>
  <c r="G22" i="74"/>
  <c r="G729" i="103" s="1"/>
  <c r="J31" i="74"/>
  <c r="J738" i="103" s="1"/>
  <c r="I53" i="82"/>
  <c r="G20" i="74"/>
  <c r="G727" i="103" s="1"/>
  <c r="B727" i="103"/>
  <c r="E56" i="100"/>
  <c r="K56" i="100"/>
  <c r="I56" i="100"/>
  <c r="G56" i="100"/>
  <c r="AH122" i="78"/>
  <c r="E127" i="78" s="1"/>
  <c r="P89" i="72"/>
  <c r="O89" i="72"/>
  <c r="C20" i="74"/>
  <c r="E20" i="74"/>
  <c r="E727" i="103" s="1"/>
  <c r="D20" i="74"/>
  <c r="D727" i="103" s="1"/>
  <c r="G56" i="84"/>
  <c r="F20" i="74"/>
  <c r="F727" i="103" s="1"/>
  <c r="K31" i="74"/>
  <c r="K738" i="103" s="1"/>
  <c r="J53" i="82"/>
  <c r="K14" i="74"/>
  <c r="J24" i="74"/>
  <c r="J731" i="103" s="1"/>
  <c r="J15" i="74"/>
  <c r="J16" i="74"/>
  <c r="J723" i="103" s="1"/>
  <c r="I17" i="74"/>
  <c r="I724" i="103" s="1"/>
  <c r="H20" i="74"/>
  <c r="H727" i="103" s="1"/>
  <c r="I22" i="74" l="1"/>
  <c r="I729" i="103" s="1"/>
  <c r="O669" i="103"/>
  <c r="O668" i="103"/>
  <c r="J722" i="103"/>
  <c r="C68" i="84"/>
  <c r="O221" i="75"/>
  <c r="O222" i="75"/>
  <c r="C727" i="103"/>
  <c r="E240" i="103"/>
  <c r="P91" i="72"/>
  <c r="O442" i="72"/>
  <c r="Y37" i="72"/>
  <c r="X37" i="72"/>
  <c r="AD37" i="72"/>
  <c r="AE37" i="72"/>
  <c r="I20" i="74"/>
  <c r="I727" i="103" s="1"/>
  <c r="K24" i="74"/>
  <c r="K731" i="103" s="1"/>
  <c r="B46" i="74"/>
  <c r="K15" i="74"/>
  <c r="K16" i="74"/>
  <c r="K723" i="103" s="1"/>
  <c r="B63" i="74"/>
  <c r="B770" i="103" s="1"/>
  <c r="K53" i="82"/>
  <c r="J17" i="74"/>
  <c r="J724" i="103" s="1"/>
  <c r="J22" i="74" l="1"/>
  <c r="J729" i="103" s="1"/>
  <c r="K68" i="84"/>
  <c r="I68" i="84"/>
  <c r="E68" i="84"/>
  <c r="G68" i="84"/>
  <c r="K722" i="103"/>
  <c r="K22" i="74"/>
  <c r="K729" i="103" s="1"/>
  <c r="J20" i="74"/>
  <c r="J727" i="103" s="1"/>
  <c r="K17" i="74"/>
  <c r="K724" i="103" s="1"/>
  <c r="C46" i="74"/>
  <c r="B56" i="74"/>
  <c r="B48" i="74"/>
  <c r="B755" i="103" s="1"/>
  <c r="B47" i="74"/>
  <c r="C63" i="74"/>
  <c r="C770" i="103" s="1"/>
  <c r="B73" i="82"/>
  <c r="B754" i="103" l="1"/>
  <c r="B54" i="74"/>
  <c r="B761" i="103" s="1"/>
  <c r="C73" i="82"/>
  <c r="D63" i="74"/>
  <c r="D770" i="103" s="1"/>
  <c r="C48" i="74"/>
  <c r="C755" i="103" s="1"/>
  <c r="C56" i="74"/>
  <c r="D46" i="74"/>
  <c r="C47" i="74"/>
  <c r="B49" i="74"/>
  <c r="B756" i="103" s="1"/>
  <c r="K20" i="74"/>
  <c r="K727" i="103" s="1"/>
  <c r="C754" i="103" l="1"/>
  <c r="E46" i="74"/>
  <c r="D56" i="74"/>
  <c r="D48" i="74"/>
  <c r="D755" i="103" s="1"/>
  <c r="D47" i="74"/>
  <c r="E63" i="74"/>
  <c r="E770" i="103" s="1"/>
  <c r="D73" i="82"/>
  <c r="B52" i="74"/>
  <c r="B759" i="103" s="1"/>
  <c r="C49" i="74"/>
  <c r="C756" i="103" s="1"/>
  <c r="C54" i="74" l="1"/>
  <c r="C761" i="103" s="1"/>
  <c r="D754" i="103"/>
  <c r="C52" i="74"/>
  <c r="C759" i="103" s="1"/>
  <c r="E73" i="82"/>
  <c r="F63" i="74"/>
  <c r="F770" i="103" s="1"/>
  <c r="D49" i="74"/>
  <c r="D756" i="103" s="1"/>
  <c r="E47" i="74"/>
  <c r="E56" i="74"/>
  <c r="F46" i="74"/>
  <c r="E48" i="74"/>
  <c r="E755" i="103" s="1"/>
  <c r="E754" i="103" l="1"/>
  <c r="E54" i="74"/>
  <c r="E761" i="103" s="1"/>
  <c r="D54" i="74"/>
  <c r="D761" i="103" s="1"/>
  <c r="D52" i="74"/>
  <c r="D759" i="103" s="1"/>
  <c r="F56" i="74"/>
  <c r="F48" i="74"/>
  <c r="F755" i="103" s="1"/>
  <c r="F47" i="74"/>
  <c r="G46" i="74"/>
  <c r="E49" i="74"/>
  <c r="E756" i="103" s="1"/>
  <c r="F73" i="82"/>
  <c r="G63" i="74"/>
  <c r="G770" i="103" s="1"/>
  <c r="F754" i="103" l="1"/>
  <c r="E52" i="74"/>
  <c r="E759" i="103" s="1"/>
  <c r="F49" i="74"/>
  <c r="F756" i="103" s="1"/>
  <c r="H63" i="74"/>
  <c r="H770" i="103" s="1"/>
  <c r="G73" i="82"/>
  <c r="G56" i="74"/>
  <c r="G48" i="74"/>
  <c r="G755" i="103" s="1"/>
  <c r="H46" i="74"/>
  <c r="G47" i="74"/>
  <c r="G754" i="103" l="1"/>
  <c r="F54" i="74"/>
  <c r="F761" i="103" s="1"/>
  <c r="H73" i="82"/>
  <c r="I63" i="74"/>
  <c r="I770" i="103" s="1"/>
  <c r="H56" i="74"/>
  <c r="H47" i="74"/>
  <c r="H48" i="74"/>
  <c r="H755" i="103" s="1"/>
  <c r="I46" i="74"/>
  <c r="F52" i="74"/>
  <c r="F759" i="103" s="1"/>
  <c r="G49" i="74"/>
  <c r="G756" i="103" s="1"/>
  <c r="H754" i="103" l="1"/>
  <c r="H54" i="74"/>
  <c r="H761" i="103" s="1"/>
  <c r="G54" i="74"/>
  <c r="G761" i="103" s="1"/>
  <c r="J46" i="74"/>
  <c r="I56" i="74"/>
  <c r="I47" i="74"/>
  <c r="I48" i="74"/>
  <c r="I755" i="103" s="1"/>
  <c r="G52" i="74"/>
  <c r="G759" i="103" s="1"/>
  <c r="H49" i="74"/>
  <c r="H756" i="103" s="1"/>
  <c r="J63" i="74"/>
  <c r="J770" i="103" s="1"/>
  <c r="I73" i="82"/>
  <c r="I754" i="103" l="1"/>
  <c r="J48" i="74"/>
  <c r="J755" i="103" s="1"/>
  <c r="K46" i="74"/>
  <c r="J56" i="74"/>
  <c r="J47" i="74"/>
  <c r="I49" i="74"/>
  <c r="I756" i="103" s="1"/>
  <c r="J73" i="82"/>
  <c r="K63" i="74"/>
  <c r="K770" i="103" s="1"/>
  <c r="H52" i="74"/>
  <c r="H759" i="103" s="1"/>
  <c r="J754" i="103" l="1"/>
  <c r="I54" i="74"/>
  <c r="I761" i="103" s="1"/>
  <c r="I52" i="74"/>
  <c r="I759" i="103" s="1"/>
  <c r="J49" i="74"/>
  <c r="J756" i="103" s="1"/>
  <c r="K73" i="82"/>
  <c r="B95" i="74"/>
  <c r="B802" i="103" s="1"/>
  <c r="B78" i="74"/>
  <c r="K56" i="74"/>
  <c r="K47" i="74"/>
  <c r="K48" i="74"/>
  <c r="K755" i="103" s="1"/>
  <c r="K754" i="103" l="1"/>
  <c r="K54" i="74"/>
  <c r="K761" i="103" s="1"/>
  <c r="J54" i="74"/>
  <c r="J761" i="103" s="1"/>
  <c r="J52" i="74"/>
  <c r="J759" i="103" s="1"/>
  <c r="B88" i="74"/>
  <c r="B79" i="74"/>
  <c r="B80" i="74"/>
  <c r="B787" i="103" s="1"/>
  <c r="C78" i="74"/>
  <c r="K49" i="74"/>
  <c r="K756" i="103" s="1"/>
  <c r="C95" i="74"/>
  <c r="C802" i="103" s="1"/>
  <c r="B786" i="103" l="1"/>
  <c r="K52" i="74"/>
  <c r="K759" i="103" s="1"/>
  <c r="B81" i="74"/>
  <c r="B788" i="103" s="1"/>
  <c r="D95" i="74"/>
  <c r="D802" i="103" s="1"/>
  <c r="C79" i="74"/>
  <c r="D78" i="74"/>
  <c r="C88" i="74"/>
  <c r="C80" i="74"/>
  <c r="C787" i="103" s="1"/>
  <c r="B86" i="74" l="1"/>
  <c r="B793" i="103" s="1"/>
  <c r="C786" i="103"/>
  <c r="E78" i="74"/>
  <c r="D79" i="74"/>
  <c r="D80" i="74"/>
  <c r="D787" i="103" s="1"/>
  <c r="D88" i="74"/>
  <c r="C81" i="74"/>
  <c r="C788" i="103" s="1"/>
  <c r="E95" i="74"/>
  <c r="E802" i="103" s="1"/>
  <c r="B84" i="74"/>
  <c r="B791" i="103" s="1"/>
  <c r="C86" i="74" l="1"/>
  <c r="C793" i="103" s="1"/>
  <c r="D786" i="103"/>
  <c r="C84" i="74"/>
  <c r="C791" i="103" s="1"/>
  <c r="F95" i="74"/>
  <c r="F802" i="103" s="1"/>
  <c r="D81" i="74"/>
  <c r="D788" i="103" s="1"/>
  <c r="F78" i="74"/>
  <c r="E88" i="74"/>
  <c r="E79" i="74"/>
  <c r="E80" i="74"/>
  <c r="E787" i="103" s="1"/>
  <c r="D86" i="74" l="1"/>
  <c r="D793" i="103" s="1"/>
  <c r="E786" i="103"/>
  <c r="D84" i="74"/>
  <c r="D791" i="103" s="1"/>
  <c r="E81" i="74"/>
  <c r="E788" i="103" s="1"/>
  <c r="F88" i="74"/>
  <c r="G78" i="74"/>
  <c r="F80" i="74"/>
  <c r="F787" i="103" s="1"/>
  <c r="F79" i="74"/>
  <c r="G95" i="74"/>
  <c r="G802" i="103" s="1"/>
  <c r="E86" i="74" l="1"/>
  <c r="E793" i="103" s="1"/>
  <c r="F786" i="103"/>
  <c r="E84" i="74"/>
  <c r="E791" i="103" s="1"/>
  <c r="G79" i="74"/>
  <c r="G88" i="74"/>
  <c r="G80" i="74"/>
  <c r="G787" i="103" s="1"/>
  <c r="H78" i="74"/>
  <c r="H95" i="74"/>
  <c r="H802" i="103" s="1"/>
  <c r="F81" i="74"/>
  <c r="F788" i="103" s="1"/>
  <c r="G786" i="103" l="1"/>
  <c r="G86" i="74"/>
  <c r="G793" i="103" s="1"/>
  <c r="F86" i="74"/>
  <c r="F793" i="103" s="1"/>
  <c r="F84" i="74"/>
  <c r="F791" i="103" s="1"/>
  <c r="H88" i="74"/>
  <c r="H80" i="74"/>
  <c r="H787" i="103" s="1"/>
  <c r="H79" i="74"/>
  <c r="I78" i="74"/>
  <c r="G81" i="74"/>
  <c r="G788" i="103" s="1"/>
  <c r="I95" i="74"/>
  <c r="I802" i="103" s="1"/>
  <c r="H786" i="103" l="1"/>
  <c r="G84" i="74"/>
  <c r="G791" i="103" s="1"/>
  <c r="I88" i="74"/>
  <c r="I79" i="74"/>
  <c r="J78" i="74"/>
  <c r="I80" i="74"/>
  <c r="I787" i="103" s="1"/>
  <c r="H81" i="74"/>
  <c r="H788" i="103" s="1"/>
  <c r="J95" i="74"/>
  <c r="J802" i="103" s="1"/>
  <c r="I786" i="103" l="1"/>
  <c r="H86" i="74"/>
  <c r="H793" i="103" s="1"/>
  <c r="J80" i="74"/>
  <c r="J787" i="103" s="1"/>
  <c r="K78" i="74"/>
  <c r="J79" i="74"/>
  <c r="J88" i="74"/>
  <c r="I81" i="74"/>
  <c r="I788" i="103" s="1"/>
  <c r="K95" i="74"/>
  <c r="K802" i="103" s="1"/>
  <c r="H84" i="74"/>
  <c r="H791" i="103" s="1"/>
  <c r="J786" i="103" l="1"/>
  <c r="I86" i="74"/>
  <c r="I793" i="103" s="1"/>
  <c r="J81" i="74"/>
  <c r="J788" i="103" s="1"/>
  <c r="B125" i="74"/>
  <c r="B832" i="103" s="1"/>
  <c r="K80" i="74"/>
  <c r="K787" i="103" s="1"/>
  <c r="B108" i="74"/>
  <c r="K88" i="74"/>
  <c r="K79" i="74"/>
  <c r="I84" i="74"/>
  <c r="I791" i="103" s="1"/>
  <c r="J86" i="74" l="1"/>
  <c r="J793" i="103" s="1"/>
  <c r="K786" i="103"/>
  <c r="J84" i="74"/>
  <c r="J791" i="103" s="1"/>
  <c r="K81" i="74"/>
  <c r="K788" i="103" s="1"/>
  <c r="C125" i="74"/>
  <c r="C832" i="103" s="1"/>
  <c r="B109" i="74"/>
  <c r="C108" i="74"/>
  <c r="B110" i="74"/>
  <c r="B817" i="103" s="1"/>
  <c r="B118" i="74"/>
  <c r="K86" i="74" l="1"/>
  <c r="K793" i="103" s="1"/>
  <c r="B816" i="103"/>
  <c r="B116" i="74"/>
  <c r="B823" i="103" s="1"/>
  <c r="K84" i="74"/>
  <c r="K791" i="103" s="1"/>
  <c r="D108" i="74"/>
  <c r="C109" i="74"/>
  <c r="C118" i="74"/>
  <c r="C110" i="74"/>
  <c r="C817" i="103" s="1"/>
  <c r="D125" i="74"/>
  <c r="D832" i="103" s="1"/>
  <c r="B111" i="74"/>
  <c r="B818" i="103" s="1"/>
  <c r="C816" i="103" l="1"/>
  <c r="B114" i="74"/>
  <c r="B821" i="103" s="1"/>
  <c r="C111" i="74"/>
  <c r="C818" i="103" s="1"/>
  <c r="E125" i="74"/>
  <c r="E832" i="103" s="1"/>
  <c r="D118" i="74"/>
  <c r="D109" i="74"/>
  <c r="E108" i="74"/>
  <c r="D110" i="74"/>
  <c r="D817" i="103" s="1"/>
  <c r="C116" i="74" l="1"/>
  <c r="C823" i="103" s="1"/>
  <c r="D816" i="103"/>
  <c r="D116" i="74"/>
  <c r="D823" i="103" s="1"/>
  <c r="C114" i="74"/>
  <c r="C821" i="103" s="1"/>
  <c r="F125" i="74"/>
  <c r="F832" i="103" s="1"/>
  <c r="F108" i="74"/>
  <c r="E109" i="74"/>
  <c r="E118" i="74"/>
  <c r="E110" i="74"/>
  <c r="E817" i="103" s="1"/>
  <c r="D111" i="74"/>
  <c r="D818" i="103" s="1"/>
  <c r="E816" i="103" l="1"/>
  <c r="E111" i="74"/>
  <c r="E818" i="103" s="1"/>
  <c r="F118" i="74"/>
  <c r="F110" i="74"/>
  <c r="F817" i="103" s="1"/>
  <c r="F109" i="74"/>
  <c r="D114" i="74"/>
  <c r="D821" i="103" s="1"/>
  <c r="F816" i="103" l="1"/>
  <c r="E116" i="74"/>
  <c r="E823" i="103" s="1"/>
  <c r="E114" i="74"/>
  <c r="E821" i="103" s="1"/>
  <c r="F111" i="74"/>
  <c r="F818" i="103" s="1"/>
  <c r="F116" i="74" l="1"/>
  <c r="F823" i="103" s="1"/>
  <c r="F114" i="74"/>
  <c r="F821" i="103" s="1"/>
  <c r="E15" i="72" l="1"/>
  <c r="E20" i="72" l="1"/>
  <c r="E21" i="72" l="1"/>
  <c r="E16" i="72" l="1"/>
  <c r="P233" i="72"/>
  <c r="P442" i="72" s="1"/>
  <c r="O6" i="72" l="1"/>
  <c r="L233" i="72"/>
  <c r="L191" i="72"/>
  <c r="AE45" i="72"/>
  <c r="AE63" i="72" s="1"/>
  <c r="AD45" i="72"/>
  <c r="AD63" i="72" s="1"/>
  <c r="Y45" i="72"/>
  <c r="Y63" i="72" s="1"/>
  <c r="X45" i="72"/>
  <c r="X63" i="72" s="1"/>
  <c r="P6" i="72"/>
  <c r="E19" i="72"/>
  <c r="K83" i="103" l="1"/>
  <c r="G135" i="103" l="1"/>
  <c r="S135" i="103"/>
  <c r="L72" i="103" l="1"/>
  <c r="I94" i="103" l="1"/>
  <c r="N94" i="103" s="1"/>
  <c r="L67" i="85"/>
  <c r="N51" i="68"/>
  <c r="M189" i="78" l="1"/>
  <c r="L691" i="103" l="1"/>
  <c r="L694" i="103" s="1"/>
  <c r="Q675" i="103" s="1"/>
  <c r="C61" i="100"/>
  <c r="L247" i="75"/>
  <c r="C61" i="84" l="1"/>
  <c r="Q228" i="75"/>
  <c r="E61" i="100"/>
  <c r="E62" i="100" s="1"/>
  <c r="E64" i="100" s="1"/>
  <c r="E70" i="100" s="1"/>
  <c r="K61" i="100"/>
  <c r="K62" i="100" s="1"/>
  <c r="K64" i="100" s="1"/>
  <c r="K70" i="100" s="1"/>
  <c r="G61" i="100"/>
  <c r="G62" i="100" s="1"/>
  <c r="G64" i="100" s="1"/>
  <c r="G70" i="100" s="1"/>
  <c r="I61" i="100"/>
  <c r="I62" i="100" s="1"/>
  <c r="I64" i="100" s="1"/>
  <c r="I70" i="100" s="1"/>
  <c r="C62" i="100"/>
  <c r="C64" i="100" s="1"/>
  <c r="C70" i="100" s="1"/>
  <c r="P676" i="103"/>
  <c r="N675" i="103"/>
  <c r="B21" i="74" l="1"/>
  <c r="F130" i="78"/>
  <c r="F243" i="103" s="1"/>
  <c r="P229" i="75"/>
  <c r="N228" i="75"/>
  <c r="G61" i="84"/>
  <c r="G62" i="84" s="1"/>
  <c r="G64" i="84" s="1"/>
  <c r="I61" i="84"/>
  <c r="I62" i="84" s="1"/>
  <c r="I64" i="84" s="1"/>
  <c r="K61" i="84"/>
  <c r="K62" i="84" s="1"/>
  <c r="K64" i="84" s="1"/>
  <c r="E61" i="84"/>
  <c r="E62" i="84" s="1"/>
  <c r="E64" i="84" s="1"/>
  <c r="C62" i="84"/>
  <c r="C64" i="84" s="1"/>
  <c r="B728" i="103" l="1"/>
  <c r="D21" i="74"/>
  <c r="D728" i="103" s="1"/>
  <c r="E21" i="74"/>
  <c r="E728" i="103" s="1"/>
  <c r="F21" i="74"/>
  <c r="F728" i="103" s="1"/>
  <c r="C21" i="74"/>
  <c r="C728" i="103" s="1"/>
  <c r="G21" i="74"/>
  <c r="G728" i="103" s="1"/>
  <c r="H21" i="74"/>
  <c r="H728" i="103" s="1"/>
  <c r="I21" i="74"/>
  <c r="I728" i="103" s="1"/>
  <c r="J21" i="74"/>
  <c r="J728" i="103" s="1"/>
  <c r="K21" i="74"/>
  <c r="K728" i="103" s="1"/>
  <c r="B53" i="74"/>
  <c r="B760" i="103" s="1"/>
  <c r="C53" i="74"/>
  <c r="C760" i="103" s="1"/>
  <c r="D53" i="74"/>
  <c r="D760" i="103" s="1"/>
  <c r="E53" i="74"/>
  <c r="E760" i="103" s="1"/>
  <c r="F53" i="74"/>
  <c r="F760" i="103" s="1"/>
  <c r="G53" i="74"/>
  <c r="G760" i="103" s="1"/>
  <c r="H53" i="74"/>
  <c r="H760" i="103" s="1"/>
  <c r="I53" i="74"/>
  <c r="I760" i="103" s="1"/>
  <c r="J53" i="74"/>
  <c r="J760" i="103" s="1"/>
  <c r="K53" i="74"/>
  <c r="K760" i="103" s="1"/>
  <c r="B85" i="74"/>
  <c r="B792" i="103" s="1"/>
  <c r="C85" i="74"/>
  <c r="C792" i="103" s="1"/>
  <c r="D85" i="74"/>
  <c r="D792" i="103" s="1"/>
  <c r="E85" i="74"/>
  <c r="E792" i="103" s="1"/>
  <c r="F85" i="74"/>
  <c r="F792" i="103" s="1"/>
  <c r="G85" i="74"/>
  <c r="G792" i="103" s="1"/>
  <c r="H85" i="74"/>
  <c r="H792" i="103" s="1"/>
  <c r="I85" i="74"/>
  <c r="I792" i="103" s="1"/>
  <c r="J85" i="74"/>
  <c r="J792" i="103" s="1"/>
  <c r="K85" i="74"/>
  <c r="K792" i="103" s="1"/>
  <c r="B115" i="74"/>
  <c r="B822" i="103" s="1"/>
  <c r="C115" i="74"/>
  <c r="C822" i="103" s="1"/>
  <c r="D115" i="74"/>
  <c r="D822" i="103" s="1"/>
  <c r="E115" i="74"/>
  <c r="E822" i="103" s="1"/>
  <c r="F115" i="74"/>
  <c r="F822" i="103" s="1"/>
  <c r="E14" i="86" l="1"/>
  <c r="D739" i="103"/>
  <c r="D14" i="86"/>
  <c r="C739" i="103"/>
  <c r="F31" i="89" l="1"/>
  <c r="D63" i="90" s="1"/>
  <c r="L65" i="103"/>
  <c r="D56" i="92" l="1"/>
  <c r="F84" i="92"/>
  <c r="G176" i="103" l="1"/>
  <c r="P153" i="103" l="1"/>
  <c r="G153" i="103"/>
  <c r="F40" i="78"/>
  <c r="P152" i="103" l="1"/>
  <c r="G152" i="103"/>
  <c r="F39" i="78"/>
  <c r="G41" i="78"/>
  <c r="G151" i="103"/>
  <c r="F38" i="78"/>
  <c r="G37" i="78"/>
  <c r="G154" i="103" l="1"/>
  <c r="G156" i="103" s="1"/>
  <c r="F37" i="78"/>
  <c r="P41" i="78"/>
  <c r="P151" i="103"/>
  <c r="P154" i="103" s="1"/>
  <c r="G43" i="78"/>
  <c r="C49" i="78"/>
  <c r="G150" i="103" l="1"/>
  <c r="C162" i="103"/>
  <c r="J49" i="78"/>
  <c r="P48" i="78"/>
  <c r="F49" i="78"/>
  <c r="F48" i="78"/>
  <c r="E55" i="78"/>
  <c r="H18" i="100"/>
  <c r="H18" i="84"/>
  <c r="E168" i="103"/>
  <c r="J48" i="78"/>
  <c r="P161" i="103"/>
  <c r="J162" i="103"/>
  <c r="F162" i="103"/>
  <c r="F161" i="103"/>
  <c r="J161" i="103"/>
  <c r="P183" i="103"/>
  <c r="G183" i="103"/>
  <c r="P181" i="103"/>
  <c r="G181" i="103"/>
  <c r="H20" i="84" l="1"/>
  <c r="H19" i="84"/>
  <c r="H20" i="100"/>
  <c r="H19" i="100"/>
  <c r="F55" i="78" l="1"/>
  <c r="G168" i="103"/>
  <c r="P55" i="78"/>
  <c r="P168" i="103" s="1"/>
  <c r="G54" i="78"/>
  <c r="B58" i="78"/>
  <c r="F57" i="78" l="1"/>
  <c r="F58" i="78"/>
  <c r="J57" i="78"/>
  <c r="P57" i="78"/>
  <c r="J58" i="78"/>
  <c r="G167" i="103"/>
  <c r="F168" i="103"/>
  <c r="B171" i="103"/>
  <c r="N235" i="75"/>
  <c r="Q235" i="75"/>
  <c r="E174" i="90"/>
  <c r="E175" i="90" s="1"/>
  <c r="Q681" i="103"/>
  <c r="B23" i="74"/>
  <c r="C66" i="84"/>
  <c r="Q247" i="75"/>
  <c r="F171" i="103" l="1"/>
  <c r="J170" i="103"/>
  <c r="F170" i="103"/>
  <c r="J171" i="103"/>
  <c r="P170" i="103"/>
  <c r="E66" i="84"/>
  <c r="E70" i="84" s="1"/>
  <c r="K66" i="84"/>
  <c r="K70" i="84" s="1"/>
  <c r="G66" i="84"/>
  <c r="G70" i="84" s="1"/>
  <c r="I66" i="84"/>
  <c r="I70" i="84" s="1"/>
  <c r="C70" i="84"/>
  <c r="I55" i="74"/>
  <c r="F87" i="74"/>
  <c r="C55" i="74"/>
  <c r="C23" i="74"/>
  <c r="C117" i="74"/>
  <c r="E23" i="74"/>
  <c r="B87" i="74"/>
  <c r="G23" i="74"/>
  <c r="C87" i="74"/>
  <c r="E87" i="74"/>
  <c r="G87" i="74"/>
  <c r="F23" i="74"/>
  <c r="D87" i="74"/>
  <c r="F55" i="74"/>
  <c r="D23" i="74"/>
  <c r="I23" i="74"/>
  <c r="K55" i="74"/>
  <c r="K23" i="74"/>
  <c r="E55" i="74"/>
  <c r="E117" i="74"/>
  <c r="B55" i="74"/>
  <c r="H55" i="74"/>
  <c r="B117" i="74"/>
  <c r="B25" i="74"/>
  <c r="J87" i="74"/>
  <c r="H23" i="74"/>
  <c r="J55" i="74"/>
  <c r="C13" i="86"/>
  <c r="D117" i="74"/>
  <c r="F117" i="74"/>
  <c r="I87" i="74"/>
  <c r="H87" i="74"/>
  <c r="D55" i="74"/>
  <c r="J23" i="74"/>
  <c r="K87" i="74"/>
  <c r="G55" i="74"/>
  <c r="B730" i="103"/>
  <c r="B39" i="74"/>
  <c r="Q682" i="103"/>
  <c r="Q694" i="103"/>
  <c r="N682" i="103"/>
  <c r="D762" i="103" l="1"/>
  <c r="H33" i="86"/>
  <c r="D71" i="74"/>
  <c r="D57" i="74"/>
  <c r="K794" i="103"/>
  <c r="K89" i="74"/>
  <c r="K102" i="74"/>
  <c r="J762" i="103"/>
  <c r="J57" i="74"/>
  <c r="G53" i="86"/>
  <c r="J71" i="74"/>
  <c r="E71" i="74"/>
  <c r="E762" i="103"/>
  <c r="I33" i="86"/>
  <c r="E57" i="74"/>
  <c r="G794" i="103"/>
  <c r="G89" i="74"/>
  <c r="G102" i="74"/>
  <c r="C71" i="74"/>
  <c r="C57" i="74"/>
  <c r="C762" i="103"/>
  <c r="G33" i="86"/>
  <c r="J102" i="74"/>
  <c r="J794" i="103"/>
  <c r="J89" i="74"/>
  <c r="D33" i="86"/>
  <c r="J730" i="103"/>
  <c r="J25" i="74"/>
  <c r="J39" i="74"/>
  <c r="H39" i="74"/>
  <c r="H730" i="103"/>
  <c r="I13" i="86"/>
  <c r="H25" i="74"/>
  <c r="K25" i="74"/>
  <c r="K730" i="103"/>
  <c r="E33" i="86"/>
  <c r="K39" i="74"/>
  <c r="E102" i="74"/>
  <c r="E89" i="74"/>
  <c r="E794" i="103"/>
  <c r="F794" i="103"/>
  <c r="F102" i="74"/>
  <c r="F89" i="74"/>
  <c r="I71" i="74"/>
  <c r="I762" i="103"/>
  <c r="I57" i="74"/>
  <c r="F53" i="86"/>
  <c r="H102" i="74"/>
  <c r="H794" i="103"/>
  <c r="H89" i="74"/>
  <c r="B44" i="82"/>
  <c r="B51" i="82" s="1"/>
  <c r="I39" i="74"/>
  <c r="C33" i="86"/>
  <c r="I730" i="103"/>
  <c r="I25" i="74"/>
  <c r="G730" i="103"/>
  <c r="H13" i="86"/>
  <c r="G25" i="74"/>
  <c r="G39" i="74"/>
  <c r="C102" i="74"/>
  <c r="C794" i="103"/>
  <c r="C89" i="74"/>
  <c r="I102" i="74"/>
  <c r="I794" i="103"/>
  <c r="I89" i="74"/>
  <c r="B132" i="74"/>
  <c r="B119" i="74"/>
  <c r="B824" i="103"/>
  <c r="D39" i="74"/>
  <c r="D730" i="103"/>
  <c r="E13" i="86"/>
  <c r="D25" i="74"/>
  <c r="B102" i="74"/>
  <c r="B89" i="74"/>
  <c r="B794" i="103"/>
  <c r="K71" i="74"/>
  <c r="K57" i="74"/>
  <c r="K762" i="103"/>
  <c r="H53" i="86"/>
  <c r="F119" i="74"/>
  <c r="F824" i="103"/>
  <c r="F132" i="74"/>
  <c r="E53" i="86"/>
  <c r="H57" i="74"/>
  <c r="H71" i="74"/>
  <c r="H762" i="103"/>
  <c r="C53" i="86"/>
  <c r="F71" i="74"/>
  <c r="F57" i="74"/>
  <c r="F762" i="103"/>
  <c r="E39" i="74"/>
  <c r="E730" i="103"/>
  <c r="F13" i="86"/>
  <c r="E25" i="74"/>
  <c r="B732" i="103"/>
  <c r="B746" i="103"/>
  <c r="D132" i="74"/>
  <c r="D824" i="103"/>
  <c r="D119" i="74"/>
  <c r="F33" i="86"/>
  <c r="B57" i="74"/>
  <c r="B762" i="103"/>
  <c r="B71" i="74"/>
  <c r="D102" i="74"/>
  <c r="D794" i="103"/>
  <c r="D89" i="74"/>
  <c r="C132" i="74"/>
  <c r="C824" i="103"/>
  <c r="C119" i="74"/>
  <c r="G71" i="74"/>
  <c r="G57" i="74"/>
  <c r="G762" i="103"/>
  <c r="D53" i="86"/>
  <c r="E119" i="74"/>
  <c r="E824" i="103"/>
  <c r="E132" i="74"/>
  <c r="F25" i="74"/>
  <c r="F39" i="74"/>
  <c r="F730" i="103"/>
  <c r="G13" i="86"/>
  <c r="D13" i="86"/>
  <c r="C730" i="103"/>
  <c r="C39" i="74"/>
  <c r="C25" i="74"/>
  <c r="F746" i="103" l="1"/>
  <c r="F732" i="103"/>
  <c r="G64" i="82"/>
  <c r="G71" i="82" s="1"/>
  <c r="D809" i="103"/>
  <c r="D796" i="103"/>
  <c r="C796" i="103"/>
  <c r="C809" i="103"/>
  <c r="I44" i="82"/>
  <c r="I51" i="82" s="1"/>
  <c r="E796" i="103"/>
  <c r="E809" i="103"/>
  <c r="J809" i="103"/>
  <c r="J796" i="103"/>
  <c r="G796" i="103"/>
  <c r="G809" i="103"/>
  <c r="J764" i="103"/>
  <c r="J778" i="103"/>
  <c r="F778" i="103"/>
  <c r="F764" i="103"/>
  <c r="B839" i="103"/>
  <c r="B826" i="103"/>
  <c r="I732" i="103"/>
  <c r="I746" i="103"/>
  <c r="H746" i="103"/>
  <c r="H732" i="103"/>
  <c r="E64" i="82"/>
  <c r="E71" i="82" s="1"/>
  <c r="F44" i="82"/>
  <c r="F51" i="82" s="1"/>
  <c r="F64" i="82"/>
  <c r="F71" i="82" s="1"/>
  <c r="F839" i="103"/>
  <c r="F826" i="103"/>
  <c r="B796" i="103"/>
  <c r="B809" i="103"/>
  <c r="I64" i="82"/>
  <c r="I71" i="82" s="1"/>
  <c r="C44" i="82"/>
  <c r="C51" i="82" s="1"/>
  <c r="B764" i="103"/>
  <c r="B778" i="103"/>
  <c r="I764" i="103"/>
  <c r="I778" i="103"/>
  <c r="C764" i="103"/>
  <c r="C778" i="103"/>
  <c r="E764" i="103"/>
  <c r="E778" i="103"/>
  <c r="K796" i="103"/>
  <c r="K809" i="103"/>
  <c r="E826" i="103"/>
  <c r="E839" i="103"/>
  <c r="B64" i="82"/>
  <c r="B71" i="82" s="1"/>
  <c r="J44" i="82"/>
  <c r="J51" i="82" s="1"/>
  <c r="C64" i="82"/>
  <c r="C71" i="82" s="1"/>
  <c r="D64" i="82"/>
  <c r="D71" i="82" s="1"/>
  <c r="C746" i="103"/>
  <c r="C732" i="103"/>
  <c r="C826" i="103"/>
  <c r="C839" i="103"/>
  <c r="E44" i="82"/>
  <c r="E51" i="82" s="1"/>
  <c r="H778" i="103"/>
  <c r="H764" i="103"/>
  <c r="K778" i="103"/>
  <c r="K764" i="103"/>
  <c r="D44" i="82"/>
  <c r="D51" i="82" s="1"/>
  <c r="I809" i="103"/>
  <c r="I796" i="103"/>
  <c r="G44" i="82"/>
  <c r="G51" i="82" s="1"/>
  <c r="K732" i="103"/>
  <c r="K746" i="103"/>
  <c r="J732" i="103"/>
  <c r="J746" i="103"/>
  <c r="K64" i="82"/>
  <c r="K71" i="82" s="1"/>
  <c r="K44" i="82"/>
  <c r="K51" i="82" s="1"/>
  <c r="G764" i="103"/>
  <c r="G778" i="103"/>
  <c r="D826" i="103"/>
  <c r="D839" i="103"/>
  <c r="E732" i="103"/>
  <c r="E746" i="103"/>
  <c r="H64" i="82"/>
  <c r="H71" i="82" s="1"/>
  <c r="D732" i="103"/>
  <c r="D746" i="103"/>
  <c r="G732" i="103"/>
  <c r="G746" i="103"/>
  <c r="H796" i="103"/>
  <c r="H809" i="103"/>
  <c r="F796" i="103"/>
  <c r="F809" i="103"/>
  <c r="H44" i="82"/>
  <c r="H51" i="82" s="1"/>
  <c r="J64" i="82"/>
  <c r="J71" i="82" s="1"/>
  <c r="D764" i="103"/>
  <c r="D778" i="103"/>
  <c r="F20" i="78" l="1"/>
  <c r="G133" i="103"/>
  <c r="G24" i="78"/>
  <c r="G136" i="103"/>
  <c r="S136" i="103"/>
  <c r="F133" i="103" l="1"/>
  <c r="G137" i="103"/>
  <c r="S133" i="103"/>
  <c r="S137" i="103" s="1"/>
  <c r="S24" i="78"/>
  <c r="G182" i="103" l="1"/>
  <c r="P182" i="103"/>
  <c r="I83" i="103" l="1"/>
  <c r="C25" i="100"/>
  <c r="P40" i="68"/>
  <c r="C25" i="84"/>
  <c r="C29" i="84" s="1"/>
  <c r="B24" i="82"/>
  <c r="K29" i="84" l="1"/>
  <c r="C36" i="84"/>
  <c r="K33" i="84"/>
  <c r="J18" i="84"/>
  <c r="K26" i="84"/>
  <c r="F90" i="74"/>
  <c r="J90" i="74"/>
  <c r="K58" i="74"/>
  <c r="K26" i="74"/>
  <c r="D58" i="74"/>
  <c r="E26" i="74"/>
  <c r="G90" i="74"/>
  <c r="H26" i="74"/>
  <c r="B90" i="74"/>
  <c r="F26" i="74"/>
  <c r="C90" i="74"/>
  <c r="K90" i="74"/>
  <c r="I90" i="74"/>
  <c r="H90" i="74"/>
  <c r="F120" i="74"/>
  <c r="J58" i="74"/>
  <c r="B120" i="74"/>
  <c r="C120" i="74"/>
  <c r="P83" i="103"/>
  <c r="E58" i="74"/>
  <c r="B26" i="74"/>
  <c r="C58" i="74"/>
  <c r="G58" i="74"/>
  <c r="B58" i="74"/>
  <c r="D26" i="74"/>
  <c r="I58" i="74"/>
  <c r="G26" i="74"/>
  <c r="D90" i="74"/>
  <c r="F58" i="74"/>
  <c r="H58" i="74"/>
  <c r="E120" i="74"/>
  <c r="J26" i="74"/>
  <c r="D120" i="74"/>
  <c r="C26" i="74"/>
  <c r="I26" i="74"/>
  <c r="E90" i="74"/>
  <c r="D16" i="83"/>
  <c r="F15" i="85"/>
  <c r="C29" i="100"/>
  <c r="B12" i="87" l="1"/>
  <c r="D733" i="103"/>
  <c r="D34" i="74"/>
  <c r="D45" i="82"/>
  <c r="D46" i="82" s="1"/>
  <c r="D38" i="74"/>
  <c r="D33" i="74"/>
  <c r="E9" i="86" s="1"/>
  <c r="D97" i="74"/>
  <c r="D797" i="103"/>
  <c r="B32" i="87"/>
  <c r="D101" i="74"/>
  <c r="D96" i="74"/>
  <c r="K45" i="82"/>
  <c r="K46" i="82" s="1"/>
  <c r="K733" i="103"/>
  <c r="K38" i="74"/>
  <c r="K34" i="74"/>
  <c r="B19" i="87"/>
  <c r="B17" i="87"/>
  <c r="I45" i="82"/>
  <c r="I46" i="82" s="1"/>
  <c r="I38" i="74"/>
  <c r="I34" i="74"/>
  <c r="I733" i="103"/>
  <c r="G34" i="74"/>
  <c r="G733" i="103"/>
  <c r="G45" i="82"/>
  <c r="G46" i="82" s="1"/>
  <c r="G38" i="74"/>
  <c r="B15" i="87"/>
  <c r="B31" i="87"/>
  <c r="C797" i="103"/>
  <c r="C101" i="74"/>
  <c r="C97" i="74"/>
  <c r="C96" i="74"/>
  <c r="K65" i="82"/>
  <c r="K66" i="82" s="1"/>
  <c r="B29" i="87"/>
  <c r="K66" i="74"/>
  <c r="K70" i="74"/>
  <c r="K765" i="103"/>
  <c r="K65" i="74"/>
  <c r="E101" i="74"/>
  <c r="B33" i="87"/>
  <c r="E797" i="103"/>
  <c r="E97" i="74"/>
  <c r="E96" i="74"/>
  <c r="E765" i="103"/>
  <c r="E66" i="74"/>
  <c r="E70" i="74"/>
  <c r="B23" i="87"/>
  <c r="E65" i="82"/>
  <c r="E66" i="82" s="1"/>
  <c r="C733" i="103"/>
  <c r="C34" i="74"/>
  <c r="B11" i="87"/>
  <c r="C38" i="74"/>
  <c r="C45" i="82"/>
  <c r="C46" i="82" s="1"/>
  <c r="C33" i="74"/>
  <c r="D9" i="86" s="1"/>
  <c r="I70" i="74"/>
  <c r="I765" i="103"/>
  <c r="I66" i="74"/>
  <c r="I65" i="82"/>
  <c r="I66" i="82" s="1"/>
  <c r="B27" i="87"/>
  <c r="I65" i="74"/>
  <c r="C127" i="74"/>
  <c r="B41" i="87"/>
  <c r="C131" i="74"/>
  <c r="C827" i="103"/>
  <c r="C126" i="74"/>
  <c r="F34" i="74"/>
  <c r="F38" i="74"/>
  <c r="B14" i="87"/>
  <c r="F45" i="82"/>
  <c r="F46" i="82" s="1"/>
  <c r="F733" i="103"/>
  <c r="J101" i="74"/>
  <c r="J97" i="74"/>
  <c r="J797" i="103"/>
  <c r="B38" i="87"/>
  <c r="J96" i="74"/>
  <c r="D131" i="74"/>
  <c r="B42" i="87"/>
  <c r="D127" i="74"/>
  <c r="D827" i="103"/>
  <c r="D126" i="74"/>
  <c r="B827" i="103"/>
  <c r="B127" i="74"/>
  <c r="B131" i="74"/>
  <c r="B40" i="87"/>
  <c r="B126" i="74"/>
  <c r="B30" i="87"/>
  <c r="B101" i="74"/>
  <c r="B97" i="74"/>
  <c r="B797" i="103"/>
  <c r="B96" i="74"/>
  <c r="B34" i="87"/>
  <c r="F97" i="74"/>
  <c r="F797" i="103"/>
  <c r="F101" i="74"/>
  <c r="F96" i="74"/>
  <c r="H733" i="103"/>
  <c r="B16" i="87"/>
  <c r="H45" i="82"/>
  <c r="H46" i="82" s="1"/>
  <c r="H34" i="74"/>
  <c r="H38" i="74"/>
  <c r="C36" i="100"/>
  <c r="K29" i="100"/>
  <c r="J18" i="100"/>
  <c r="K26" i="100"/>
  <c r="K33" i="100"/>
  <c r="E131" i="74"/>
  <c r="E827" i="103"/>
  <c r="B43" i="87"/>
  <c r="E127" i="74"/>
  <c r="E126" i="74"/>
  <c r="G65" i="82"/>
  <c r="G66" i="82" s="1"/>
  <c r="B25" i="87"/>
  <c r="G66" i="74"/>
  <c r="G765" i="103"/>
  <c r="G70" i="74"/>
  <c r="G65" i="74"/>
  <c r="F131" i="74"/>
  <c r="F827" i="103"/>
  <c r="B44" i="87"/>
  <c r="F127" i="74"/>
  <c r="F126" i="74"/>
  <c r="B35" i="87"/>
  <c r="G97" i="74"/>
  <c r="G101" i="74"/>
  <c r="G797" i="103"/>
  <c r="G96" i="74"/>
  <c r="J45" i="82"/>
  <c r="J46" i="82" s="1"/>
  <c r="J733" i="103"/>
  <c r="J38" i="74"/>
  <c r="J34" i="74"/>
  <c r="B18" i="87"/>
  <c r="J66" i="74"/>
  <c r="B28" i="87"/>
  <c r="J70" i="74"/>
  <c r="J765" i="103"/>
  <c r="J65" i="82"/>
  <c r="J66" i="82" s="1"/>
  <c r="J65" i="74"/>
  <c r="B26" i="87"/>
  <c r="H65" i="82"/>
  <c r="H66" i="82" s="1"/>
  <c r="H70" i="74"/>
  <c r="H765" i="103"/>
  <c r="H66" i="74"/>
  <c r="H65" i="74"/>
  <c r="C765" i="103"/>
  <c r="C70" i="74"/>
  <c r="C65" i="82"/>
  <c r="C66" i="82" s="1"/>
  <c r="C66" i="74"/>
  <c r="B21" i="87"/>
  <c r="H101" i="74"/>
  <c r="H97" i="74"/>
  <c r="B36" i="87"/>
  <c r="H797" i="103"/>
  <c r="H96" i="74"/>
  <c r="E34" i="74"/>
  <c r="B13" i="87"/>
  <c r="E38" i="74"/>
  <c r="E733" i="103"/>
  <c r="E45" i="82"/>
  <c r="E46" i="82" s="1"/>
  <c r="B66" i="74"/>
  <c r="B20" i="87"/>
  <c r="B65" i="82"/>
  <c r="B66" i="82" s="1"/>
  <c r="B70" i="74"/>
  <c r="B765" i="103"/>
  <c r="F70" i="74"/>
  <c r="B24" i="87"/>
  <c r="F66" i="74"/>
  <c r="F65" i="82"/>
  <c r="F66" i="82" s="1"/>
  <c r="F765" i="103"/>
  <c r="C75" i="100"/>
  <c r="B10" i="87"/>
  <c r="B45" i="82"/>
  <c r="B46" i="82" s="1"/>
  <c r="F131" i="78"/>
  <c r="F244" i="103" s="1"/>
  <c r="B34" i="74"/>
  <c r="C75" i="84"/>
  <c r="B733" i="103"/>
  <c r="B38" i="74"/>
  <c r="B40" i="74"/>
  <c r="B37" i="87"/>
  <c r="I97" i="74"/>
  <c r="I101" i="74"/>
  <c r="I797" i="103"/>
  <c r="I96" i="74"/>
  <c r="D65" i="82"/>
  <c r="D66" i="82" s="1"/>
  <c r="B22" i="87"/>
  <c r="D765" i="103"/>
  <c r="D66" i="74"/>
  <c r="D70" i="74"/>
  <c r="K37" i="84"/>
  <c r="C40" i="84"/>
  <c r="K35" i="84"/>
  <c r="K101" i="74"/>
  <c r="K97" i="74"/>
  <c r="B39" i="87"/>
  <c r="K797" i="103"/>
  <c r="K96" i="74"/>
  <c r="F834" i="103" l="1"/>
  <c r="F838" i="103"/>
  <c r="F833" i="103"/>
  <c r="I808" i="103"/>
  <c r="I804" i="103"/>
  <c r="I803" i="103"/>
  <c r="G75" i="84"/>
  <c r="K75" i="84"/>
  <c r="I75" i="84"/>
  <c r="E75" i="84"/>
  <c r="C77" i="84"/>
  <c r="C72" i="84"/>
  <c r="C76" i="84"/>
  <c r="C73" i="84" s="1"/>
  <c r="F777" i="103"/>
  <c r="F773" i="103"/>
  <c r="K745" i="103"/>
  <c r="K741" i="103"/>
  <c r="C773" i="103"/>
  <c r="C777" i="103"/>
  <c r="H745" i="103"/>
  <c r="H741" i="103"/>
  <c r="C838" i="103"/>
  <c r="C834" i="103"/>
  <c r="C833" i="103"/>
  <c r="E773" i="103"/>
  <c r="E777" i="103"/>
  <c r="J777" i="103"/>
  <c r="J773" i="103"/>
  <c r="J772" i="103"/>
  <c r="C40" i="100"/>
  <c r="K37" i="100"/>
  <c r="K35" i="100"/>
  <c r="B804" i="103"/>
  <c r="B808" i="103"/>
  <c r="B803" i="103"/>
  <c r="F741" i="103"/>
  <c r="F745" i="103"/>
  <c r="I773" i="103"/>
  <c r="I777" i="103"/>
  <c r="I772" i="103"/>
  <c r="C741" i="103"/>
  <c r="C745" i="103"/>
  <c r="C740" i="103"/>
  <c r="K777" i="103"/>
  <c r="K773" i="103"/>
  <c r="K772" i="103"/>
  <c r="G741" i="103"/>
  <c r="G745" i="103"/>
  <c r="B25" i="82"/>
  <c r="H773" i="103"/>
  <c r="H777" i="103"/>
  <c r="H772" i="103"/>
  <c r="J741" i="103"/>
  <c r="J745" i="103"/>
  <c r="B834" i="103"/>
  <c r="B838" i="103"/>
  <c r="B833" i="103"/>
  <c r="C804" i="103"/>
  <c r="C808" i="103"/>
  <c r="C803" i="103"/>
  <c r="K804" i="103"/>
  <c r="K808" i="103"/>
  <c r="K803" i="103"/>
  <c r="E745" i="103"/>
  <c r="E741" i="103"/>
  <c r="G808" i="103"/>
  <c r="G804" i="103"/>
  <c r="G803" i="103"/>
  <c r="B747" i="103"/>
  <c r="C10" i="86"/>
  <c r="G773" i="103"/>
  <c r="G777" i="103"/>
  <c r="G772" i="103"/>
  <c r="E834" i="103"/>
  <c r="E838" i="103"/>
  <c r="E833" i="103"/>
  <c r="C40" i="74"/>
  <c r="B773" i="103"/>
  <c r="B777" i="103"/>
  <c r="E75" i="100"/>
  <c r="C76" i="100"/>
  <c r="C73" i="100" s="1"/>
  <c r="I75" i="100"/>
  <c r="K75" i="100"/>
  <c r="C77" i="100"/>
  <c r="C72" i="100"/>
  <c r="G75" i="100"/>
  <c r="H808" i="103"/>
  <c r="H804" i="103"/>
  <c r="H803" i="103"/>
  <c r="F808" i="103"/>
  <c r="F804" i="103"/>
  <c r="F803" i="103"/>
  <c r="J804" i="103"/>
  <c r="J808" i="103"/>
  <c r="J803" i="103"/>
  <c r="E804" i="103"/>
  <c r="E808" i="103"/>
  <c r="E803" i="103"/>
  <c r="D745" i="103"/>
  <c r="D741" i="103"/>
  <c r="D740" i="103"/>
  <c r="B741" i="103"/>
  <c r="B745" i="103"/>
  <c r="D773" i="103"/>
  <c r="D777" i="103"/>
  <c r="D838" i="103"/>
  <c r="D834" i="103"/>
  <c r="D833" i="103"/>
  <c r="I745" i="103"/>
  <c r="I741" i="103"/>
  <c r="D808" i="103"/>
  <c r="D804" i="103"/>
  <c r="D803" i="103"/>
  <c r="I76" i="100" l="1"/>
  <c r="I73" i="100" s="1"/>
  <c r="I72" i="100"/>
  <c r="I77" i="100"/>
  <c r="G77" i="84"/>
  <c r="G76" i="84"/>
  <c r="G73" i="84" s="1"/>
  <c r="G72" i="84"/>
  <c r="E77" i="100"/>
  <c r="E72" i="100"/>
  <c r="E76" i="100"/>
  <c r="E73" i="100" s="1"/>
  <c r="K76" i="100"/>
  <c r="K73" i="100" s="1"/>
  <c r="K77" i="100"/>
  <c r="K72" i="100"/>
  <c r="K77" i="84"/>
  <c r="K76" i="84"/>
  <c r="K73" i="84" s="1"/>
  <c r="K72" i="84"/>
  <c r="C81" i="84"/>
  <c r="C80" i="84"/>
  <c r="G77" i="100"/>
  <c r="G72" i="100"/>
  <c r="G76" i="100"/>
  <c r="G73" i="100" s="1"/>
  <c r="E72" i="82"/>
  <c r="E74" i="82" s="1"/>
  <c r="E75" i="82" s="1"/>
  <c r="E76" i="82" s="1"/>
  <c r="J72" i="82"/>
  <c r="J74" i="82" s="1"/>
  <c r="J75" i="82" s="1"/>
  <c r="J76" i="82" s="1"/>
  <c r="F52" i="82"/>
  <c r="F54" i="82" s="1"/>
  <c r="F55" i="82" s="1"/>
  <c r="F56" i="82" s="1"/>
  <c r="H72" i="82"/>
  <c r="H74" i="82" s="1"/>
  <c r="H75" i="82" s="1"/>
  <c r="H76" i="82" s="1"/>
  <c r="B26" i="82"/>
  <c r="D72" i="82"/>
  <c r="D74" i="82" s="1"/>
  <c r="D75" i="82" s="1"/>
  <c r="D76" i="82" s="1"/>
  <c r="C52" i="82"/>
  <c r="C54" i="82" s="1"/>
  <c r="C55" i="82" s="1"/>
  <c r="C56" i="82" s="1"/>
  <c r="B52" i="82"/>
  <c r="B54" i="82" s="1"/>
  <c r="B55" i="82" s="1"/>
  <c r="B56" i="82" s="1"/>
  <c r="K52" i="82"/>
  <c r="K54" i="82" s="1"/>
  <c r="K55" i="82" s="1"/>
  <c r="K56" i="82" s="1"/>
  <c r="E52" i="82"/>
  <c r="E54" i="82" s="1"/>
  <c r="E55" i="82" s="1"/>
  <c r="E56" i="82" s="1"/>
  <c r="J52" i="82"/>
  <c r="J54" i="82" s="1"/>
  <c r="J55" i="82" s="1"/>
  <c r="J56" i="82" s="1"/>
  <c r="F72" i="82"/>
  <c r="F74" i="82" s="1"/>
  <c r="F75" i="82" s="1"/>
  <c r="F76" i="82" s="1"/>
  <c r="G52" i="82"/>
  <c r="G54" i="82" s="1"/>
  <c r="G55" i="82" s="1"/>
  <c r="G56" i="82" s="1"/>
  <c r="G72" i="82"/>
  <c r="G74" i="82" s="1"/>
  <c r="G75" i="82" s="1"/>
  <c r="G76" i="82" s="1"/>
  <c r="D52" i="82"/>
  <c r="D54" i="82" s="1"/>
  <c r="D55" i="82" s="1"/>
  <c r="D56" i="82" s="1"/>
  <c r="I52" i="82"/>
  <c r="I54" i="82" s="1"/>
  <c r="I55" i="82" s="1"/>
  <c r="I56" i="82" s="1"/>
  <c r="B72" i="82"/>
  <c r="B74" i="82" s="1"/>
  <c r="B75" i="82" s="1"/>
  <c r="B76" i="82" s="1"/>
  <c r="K72" i="82"/>
  <c r="K74" i="82" s="1"/>
  <c r="K75" i="82" s="1"/>
  <c r="K76" i="82" s="1"/>
  <c r="C72" i="82"/>
  <c r="C74" i="82" s="1"/>
  <c r="C75" i="82" s="1"/>
  <c r="C76" i="82" s="1"/>
  <c r="I72" i="82"/>
  <c r="I74" i="82" s="1"/>
  <c r="I75" i="82" s="1"/>
  <c r="I76" i="82" s="1"/>
  <c r="H52" i="82"/>
  <c r="H54" i="82" s="1"/>
  <c r="H55" i="82" s="1"/>
  <c r="H56" i="82" s="1"/>
  <c r="E77" i="84"/>
  <c r="E72" i="84"/>
  <c r="E76" i="84"/>
  <c r="E73" i="84" s="1"/>
  <c r="C80" i="100"/>
  <c r="C81" i="100"/>
  <c r="D10" i="86"/>
  <c r="C747" i="103"/>
  <c r="D40" i="74"/>
  <c r="E10" i="86" s="1"/>
  <c r="I77" i="84"/>
  <c r="I72" i="84"/>
  <c r="I76" i="84"/>
  <c r="I73" i="84" s="1"/>
  <c r="P176" i="103" l="1"/>
  <c r="D747" i="103"/>
  <c r="E40"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P178" i="103"/>
  <c r="E747" i="103" l="1"/>
  <c r="F40" i="74"/>
  <c r="F10" i="86"/>
  <c r="B29" i="82"/>
  <c r="S178" i="103"/>
  <c r="S176" i="103" l="1"/>
  <c r="S186" i="103" s="1"/>
  <c r="S259" i="103" s="1"/>
  <c r="S73" i="78"/>
  <c r="S146" i="78" s="1"/>
  <c r="F747" i="103"/>
  <c r="G40" i="74"/>
  <c r="G10" i="86"/>
  <c r="G747" i="103" l="1"/>
  <c r="H40" i="74"/>
  <c r="I10" i="86" s="1"/>
  <c r="H10" i="86"/>
  <c r="H747" i="103" l="1"/>
  <c r="I40" i="74"/>
  <c r="I747" i="103" l="1"/>
  <c r="J40" i="74"/>
  <c r="C30" i="86"/>
  <c r="J747" i="103" l="1"/>
  <c r="K40" i="74"/>
  <c r="D30" i="86"/>
  <c r="K747" i="103" l="1"/>
  <c r="B72" i="74"/>
  <c r="E30" i="86"/>
  <c r="B779" i="103" l="1"/>
  <c r="C72" i="74"/>
  <c r="F30" i="86"/>
  <c r="C779" i="103" l="1"/>
  <c r="D72" i="74"/>
  <c r="G30" i="86"/>
  <c r="H30" i="86" l="1"/>
  <c r="D779" i="103"/>
  <c r="E72" i="74"/>
  <c r="E779" i="103" l="1"/>
  <c r="F72" i="74"/>
  <c r="I30" i="86"/>
  <c r="F779" i="103" l="1"/>
  <c r="G72" i="74"/>
  <c r="C50" i="86"/>
  <c r="G779" i="103" l="1"/>
  <c r="H72" i="74"/>
  <c r="D50" i="86"/>
  <c r="H779" i="103" l="1"/>
  <c r="I72" i="74"/>
  <c r="E50" i="86"/>
  <c r="I779" i="103" l="1"/>
  <c r="J72" i="74"/>
  <c r="F50" i="86"/>
  <c r="J779" i="103" l="1"/>
  <c r="K72" i="74"/>
  <c r="G50" i="86"/>
  <c r="K779" i="103" l="1"/>
  <c r="L70" i="85"/>
  <c r="L100" i="85"/>
  <c r="O8" i="86"/>
  <c r="O14" i="86" s="1"/>
  <c r="B103" i="74"/>
  <c r="H50" i="86"/>
  <c r="B810" i="103" l="1"/>
  <c r="C103" i="74"/>
  <c r="C86" i="90"/>
  <c r="F61" i="89"/>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 r="G177" i="103" l="1"/>
  <c r="G186" i="103" s="1"/>
  <c r="G73" i="78"/>
  <c r="P177" i="103" l="1"/>
  <c r="P186" i="103" s="1"/>
  <c r="P73" i="78"/>
  <c r="G86" i="78" l="1"/>
  <c r="G188" i="103"/>
  <c r="G199" i="103" s="1"/>
  <c r="P188" i="103" l="1"/>
  <c r="P199" i="103" s="1"/>
  <c r="P86" i="78"/>
  <c r="C14" i="86" l="1"/>
  <c r="B739" i="103"/>
  <c r="B740" i="103"/>
  <c r="R21" i="74"/>
  <c r="R22" i="74"/>
  <c r="R23" i="74"/>
  <c r="B33" i="74"/>
  <c r="C9" i="86" l="1"/>
  <c r="S23" i="74"/>
  <c r="S22" i="74"/>
  <c r="S21" i="74"/>
  <c r="F14" i="86"/>
  <c r="G14" i="86"/>
  <c r="H14" i="86"/>
  <c r="E739" i="103"/>
  <c r="E740" i="103" s="1"/>
  <c r="F739" i="103"/>
  <c r="G739" i="103"/>
  <c r="F740" i="103"/>
  <c r="G740" i="103"/>
  <c r="R24" i="74"/>
  <c r="R25" i="74"/>
  <c r="R26" i="74"/>
  <c r="E33" i="74"/>
  <c r="F9" i="86" s="1"/>
  <c r="F33" i="74"/>
  <c r="G9" i="86" s="1"/>
  <c r="G33" i="74"/>
  <c r="H9" i="86" s="1"/>
  <c r="S24" i="74" l="1"/>
  <c r="S25" i="74"/>
  <c r="S26" i="74"/>
  <c r="I14" i="86"/>
  <c r="H739" i="103"/>
  <c r="H740" i="103" s="1"/>
  <c r="R27" i="74"/>
  <c r="H33" i="74"/>
  <c r="I9" i="86" s="1"/>
  <c r="S27" i="74" l="1"/>
  <c r="L74" i="103" l="1"/>
  <c r="G235" i="103"/>
  <c r="G240" i="103" s="1"/>
  <c r="G127" i="78"/>
  <c r="C135" i="90" s="1"/>
  <c r="L65" i="85" s="1"/>
  <c r="G146" i="78"/>
  <c r="G148" i="78" s="1"/>
  <c r="P270" i="103"/>
  <c r="P272" i="103" s="1"/>
  <c r="P276" i="103" s="1"/>
  <c r="P159" i="78"/>
  <c r="P163" i="78" s="1"/>
  <c r="L71" i="103"/>
  <c r="L73" i="103"/>
  <c r="L33" i="68"/>
  <c r="P45" i="68"/>
  <c r="K32" i="74" s="1"/>
  <c r="E6" i="86"/>
  <c r="K5" i="86" s="1"/>
  <c r="N52" i="68"/>
  <c r="B38" i="82"/>
  <c r="B5" i="82" s="1"/>
  <c r="I99" i="103"/>
  <c r="L380" i="72"/>
  <c r="B44" i="74"/>
  <c r="B751" i="103" s="1"/>
  <c r="C30" i="100"/>
  <c r="C30" i="84"/>
  <c r="A67" i="85"/>
  <c r="A21" i="83" s="1"/>
  <c r="O67" i="85"/>
  <c r="I61" i="68" l="1"/>
  <c r="P51" i="68" s="1"/>
  <c r="C18" i="100"/>
  <c r="C18" i="84"/>
  <c r="F64" i="74"/>
  <c r="E64" i="74"/>
  <c r="D64" i="74"/>
  <c r="C64" i="74"/>
  <c r="B64" i="74"/>
  <c r="I32" i="74"/>
  <c r="I739" i="103" s="1"/>
  <c r="I740" i="103" s="1"/>
  <c r="L76" i="103"/>
  <c r="K739" i="103"/>
  <c r="K740" i="103" s="1"/>
  <c r="E34" i="86"/>
  <c r="K33" i="74"/>
  <c r="E29" i="86" s="1"/>
  <c r="A240" i="103"/>
  <c r="G259" i="103"/>
  <c r="C44" i="74"/>
  <c r="J32" i="74"/>
  <c r="R36" i="74" s="1"/>
  <c r="D148" i="78"/>
  <c r="F124" i="78"/>
  <c r="F237" i="103" s="1"/>
  <c r="I96" i="103"/>
  <c r="L11" i="95"/>
  <c r="H34" i="86"/>
  <c r="R28" i="74"/>
  <c r="P122" i="78"/>
  <c r="P88" i="103"/>
  <c r="G11" i="91"/>
  <c r="G34" i="86"/>
  <c r="I88" i="103"/>
  <c r="C54" i="86"/>
  <c r="F34" i="86"/>
  <c r="R40" i="74"/>
  <c r="D45" i="68"/>
  <c r="D88" i="103" s="1"/>
  <c r="F122" i="78"/>
  <c r="F235" i="103" s="1"/>
  <c r="I95" i="103"/>
  <c r="I33" i="74"/>
  <c r="E771" i="103"/>
  <c r="E772" i="103" s="1"/>
  <c r="I104" i="103"/>
  <c r="P94" i="103" s="1"/>
  <c r="B32" i="82"/>
  <c r="B35" i="82" s="1"/>
  <c r="B4" i="82"/>
  <c r="B10" i="82" s="1"/>
  <c r="B11" i="82" s="1"/>
  <c r="R39" i="74"/>
  <c r="I60" i="68"/>
  <c r="L34" i="68"/>
  <c r="L77" i="103" s="1"/>
  <c r="J176" i="78"/>
  <c r="A127" i="78"/>
  <c r="P56" i="98"/>
  <c r="C34" i="86"/>
  <c r="F126" i="78"/>
  <c r="F239" i="103" s="1"/>
  <c r="P53" i="98"/>
  <c r="R38" i="74"/>
  <c r="R34" i="74"/>
  <c r="R29" i="74"/>
  <c r="F125" i="78"/>
  <c r="F238" i="103" s="1"/>
  <c r="P52" i="68" l="1"/>
  <c r="P53" i="68"/>
  <c r="C19" i="84"/>
  <c r="D18" i="84"/>
  <c r="C20" i="84"/>
  <c r="C38" i="84"/>
  <c r="K40" i="100"/>
  <c r="D18" i="100"/>
  <c r="C19" i="100"/>
  <c r="C20" i="100"/>
  <c r="C38" i="100"/>
  <c r="K40" i="84"/>
  <c r="B771" i="103"/>
  <c r="B772" i="103" s="1"/>
  <c r="B65" i="74"/>
  <c r="F29" i="86" s="1"/>
  <c r="C771" i="103"/>
  <c r="C772" i="103" s="1"/>
  <c r="C65" i="74"/>
  <c r="G29" i="86" s="1"/>
  <c r="D771" i="103"/>
  <c r="D772" i="103" s="1"/>
  <c r="D65" i="74"/>
  <c r="H29" i="86" s="1"/>
  <c r="I34" i="86"/>
  <c r="E65" i="74"/>
  <c r="I29" i="86" s="1"/>
  <c r="F771" i="103"/>
  <c r="F772" i="103" s="1"/>
  <c r="F65" i="74"/>
  <c r="C49" i="86" s="1"/>
  <c r="L78" i="103"/>
  <c r="P127" i="78"/>
  <c r="P146" i="78" s="1"/>
  <c r="P162" i="78" s="1"/>
  <c r="P235" i="103"/>
  <c r="P240" i="103" s="1"/>
  <c r="P259" i="103" s="1"/>
  <c r="P275" i="103" s="1"/>
  <c r="P277" i="103" s="1"/>
  <c r="P279" i="103" s="1"/>
  <c r="P281" i="103" s="1"/>
  <c r="P283" i="103" s="1"/>
  <c r="J284" i="103" s="1"/>
  <c r="J739" i="103"/>
  <c r="J740" i="103" s="1"/>
  <c r="D34" i="86"/>
  <c r="J33" i="74"/>
  <c r="D29" i="86" s="1"/>
  <c r="R33" i="74"/>
  <c r="R37" i="74"/>
  <c r="D44" i="74"/>
  <c r="C751" i="103"/>
  <c r="J178" i="78"/>
  <c r="J180" i="78" s="1"/>
  <c r="J177" i="78"/>
  <c r="J290" i="103"/>
  <c r="I62" i="68"/>
  <c r="P47" i="68" s="1"/>
  <c r="P90" i="103" s="1"/>
  <c r="C29" i="86"/>
  <c r="S28" i="74"/>
  <c r="R30" i="74"/>
  <c r="N95" i="103"/>
  <c r="P95" i="103"/>
  <c r="P96" i="103" s="1"/>
  <c r="I103" i="103"/>
  <c r="I105" i="103" s="1"/>
  <c r="R32" i="74"/>
  <c r="R35" i="74"/>
  <c r="I47" i="68" s="1"/>
  <c r="L35" i="68"/>
  <c r="B6" i="82"/>
  <c r="B7" i="82" s="1"/>
  <c r="G21" i="82"/>
  <c r="B36" i="82"/>
  <c r="R31" i="74"/>
  <c r="D261" i="103"/>
  <c r="G261" i="103"/>
  <c r="J289" i="103"/>
  <c r="J291" i="103" s="1"/>
  <c r="J293" i="103" s="1"/>
  <c r="J296" i="103" s="1"/>
  <c r="S32" i="74" l="1"/>
  <c r="S40" i="74"/>
  <c r="S33" i="74"/>
  <c r="S36" i="74"/>
  <c r="S31" i="74"/>
  <c r="S39" i="74"/>
  <c r="S38" i="74"/>
  <c r="S30" i="74"/>
  <c r="S34" i="74"/>
  <c r="S37" i="74"/>
  <c r="S29" i="74"/>
  <c r="B15" i="82"/>
  <c r="J183" i="78"/>
  <c r="I90" i="103"/>
  <c r="E3" i="86"/>
  <c r="P164" i="78"/>
  <c r="P166" i="78" s="1"/>
  <c r="P168" i="78" s="1"/>
  <c r="P170" i="78" s="1"/>
  <c r="J171" i="78" s="1"/>
  <c r="D751" i="103"/>
  <c r="E44" i="74"/>
  <c r="S35" i="74"/>
  <c r="F47" i="68" s="1"/>
  <c r="L47" i="68" l="1"/>
  <c r="F90" i="103"/>
  <c r="E15" i="86"/>
  <c r="E17" i="86" s="1"/>
  <c r="E18" i="86" s="1"/>
  <c r="E20" i="86" s="1"/>
  <c r="E24" i="86" s="1"/>
  <c r="K8" i="86" s="1"/>
  <c r="O17" i="86"/>
  <c r="E55" i="86"/>
  <c r="E57" i="86" s="1"/>
  <c r="E58" i="86" s="1"/>
  <c r="E60" i="86" s="1"/>
  <c r="E64" i="86" s="1"/>
  <c r="K22" i="86" s="1"/>
  <c r="F15" i="86"/>
  <c r="F17" i="86" s="1"/>
  <c r="F18" i="86" s="1"/>
  <c r="F20" i="86" s="1"/>
  <c r="F24" i="86" s="1"/>
  <c r="K9" i="86" s="1"/>
  <c r="C35" i="86"/>
  <c r="C37" i="86" s="1"/>
  <c r="C38" i="86" s="1"/>
  <c r="C40" i="86" s="1"/>
  <c r="C44" i="86" s="1"/>
  <c r="K13" i="86" s="1"/>
  <c r="F55" i="86"/>
  <c r="F57" i="86" s="1"/>
  <c r="F58" i="86" s="1"/>
  <c r="F60" i="86" s="1"/>
  <c r="F64" i="86" s="1"/>
  <c r="K23" i="86" s="1"/>
  <c r="G15" i="86"/>
  <c r="G17" i="86" s="1"/>
  <c r="G18" i="86" s="1"/>
  <c r="G20" i="86" s="1"/>
  <c r="G24" i="86" s="1"/>
  <c r="K10" i="86" s="1"/>
  <c r="D35" i="86"/>
  <c r="D37" i="86" s="1"/>
  <c r="D38" i="86" s="1"/>
  <c r="D40" i="86" s="1"/>
  <c r="D44" i="86" s="1"/>
  <c r="K14" i="86" s="1"/>
  <c r="G55" i="86"/>
  <c r="G57" i="86" s="1"/>
  <c r="G58" i="86" s="1"/>
  <c r="G60" i="86" s="1"/>
  <c r="G64" i="86" s="1"/>
  <c r="K24" i="86" s="1"/>
  <c r="H15" i="86"/>
  <c r="H17" i="86" s="1"/>
  <c r="H18" i="86" s="1"/>
  <c r="H20" i="86" s="1"/>
  <c r="H24" i="86" s="1"/>
  <c r="K11" i="86" s="1"/>
  <c r="E35" i="86"/>
  <c r="E37" i="86" s="1"/>
  <c r="E38" i="86" s="1"/>
  <c r="E40" i="86" s="1"/>
  <c r="E44" i="86" s="1"/>
  <c r="K15" i="86" s="1"/>
  <c r="H55" i="86"/>
  <c r="H57" i="86" s="1"/>
  <c r="H58" i="86" s="1"/>
  <c r="H60" i="86" s="1"/>
  <c r="H64" i="86" s="1"/>
  <c r="K25" i="86" s="1"/>
  <c r="I15" i="86"/>
  <c r="I17" i="86" s="1"/>
  <c r="I18" i="86" s="1"/>
  <c r="I20" i="86" s="1"/>
  <c r="I24" i="86" s="1"/>
  <c r="K12" i="86" s="1"/>
  <c r="F35" i="86"/>
  <c r="F37" i="86" s="1"/>
  <c r="F38" i="86" s="1"/>
  <c r="F40" i="86" s="1"/>
  <c r="F44" i="86" s="1"/>
  <c r="K16" i="86" s="1"/>
  <c r="G35" i="86"/>
  <c r="G37" i="86" s="1"/>
  <c r="G38" i="86" s="1"/>
  <c r="G40" i="86" s="1"/>
  <c r="G44" i="86" s="1"/>
  <c r="K17" i="86" s="1"/>
  <c r="C15" i="86"/>
  <c r="C17" i="86" s="1"/>
  <c r="C18" i="86" s="1"/>
  <c r="C20" i="86" s="1"/>
  <c r="C24" i="86" s="1"/>
  <c r="K6" i="86" s="1"/>
  <c r="G66" i="86" s="1"/>
  <c r="N92" i="85" s="1"/>
  <c r="H35" i="86"/>
  <c r="H37" i="86" s="1"/>
  <c r="H38" i="86" s="1"/>
  <c r="H40" i="86" s="1"/>
  <c r="H44" i="86" s="1"/>
  <c r="K18" i="86" s="1"/>
  <c r="C55" i="86"/>
  <c r="C57" i="86" s="1"/>
  <c r="C58" i="86" s="1"/>
  <c r="C60" i="86" s="1"/>
  <c r="C64" i="86" s="1"/>
  <c r="K20" i="86" s="1"/>
  <c r="D15" i="86"/>
  <c r="D17" i="86" s="1"/>
  <c r="D18" i="86" s="1"/>
  <c r="D20" i="86" s="1"/>
  <c r="D24" i="86" s="1"/>
  <c r="K7" i="86" s="1"/>
  <c r="O16" i="86"/>
  <c r="O19" i="86" s="1"/>
  <c r="O23" i="86" s="1"/>
  <c r="O25" i="86" s="1"/>
  <c r="O31" i="86" s="1"/>
  <c r="O33" i="86" s="1"/>
  <c r="H63" i="86" s="1"/>
  <c r="I35" i="86"/>
  <c r="I37" i="86" s="1"/>
  <c r="I38" i="86" s="1"/>
  <c r="I40" i="86" s="1"/>
  <c r="I44" i="86" s="1"/>
  <c r="K19" i="86" s="1"/>
  <c r="D55" i="86"/>
  <c r="D57" i="86" s="1"/>
  <c r="D58" i="86" s="1"/>
  <c r="D60" i="86" s="1"/>
  <c r="D64" i="86" s="1"/>
  <c r="K21" i="86" s="1"/>
  <c r="E751" i="103"/>
  <c r="F44" i="74"/>
  <c r="F751" i="103" l="1"/>
  <c r="G44" i="74"/>
  <c r="L90" i="103"/>
  <c r="F85" i="92"/>
  <c r="F89" i="92" s="1"/>
  <c r="F105" i="92" s="1"/>
  <c r="G751" i="103" l="1"/>
  <c r="H44" i="74"/>
  <c r="H751" i="103" l="1"/>
  <c r="I44" i="74"/>
  <c r="I751" i="103" l="1"/>
  <c r="J44" i="74"/>
  <c r="J751" i="103" l="1"/>
  <c r="K44" i="74"/>
  <c r="B76" i="74" l="1"/>
  <c r="K751" i="103"/>
  <c r="B783" i="103" l="1"/>
  <c r="C76" i="74"/>
  <c r="C783" i="103" l="1"/>
  <c r="D76" i="74"/>
  <c r="D783" i="103" l="1"/>
  <c r="E76" i="74"/>
  <c r="F76" i="74" l="1"/>
  <c r="E783" i="103"/>
  <c r="F783" i="103" l="1"/>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<sst xmlns="http://schemas.openxmlformats.org/spreadsheetml/2006/main" count="19311" uniqueCount="7122">
  <si>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</si>
  <si>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</si>
  <si>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</si>
  <si>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</si>
  <si>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</si>
  <si>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</si>
  <si>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</si>
  <si>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</si>
  <si>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</si>
  <si>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</si>
  <si>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</si>
  <si>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</si>
  <si>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</si>
  <si>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</si>
  <si>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</si>
  <si>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</si>
  <si>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</si>
  <si>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</si>
  <si>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</si>
  <si>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</si>
  <si>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</si>
  <si>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</si>
  <si>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</si>
  <si>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</si>
  <si>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</si>
  <si>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</si>
  <si>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</si>
  <si>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</si>
  <si>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</si>
  <si>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</si>
  <si>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</si>
  <si>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</si>
  <si>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</si>
  <si>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</si>
  <si>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</si>
  <si>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</si>
  <si>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</si>
  <si>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</si>
  <si>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</si>
  <si>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</si>
  <si>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</si>
  <si>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</si>
  <si>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</si>
  <si>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</si>
  <si>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</si>
  <si>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</si>
  <si>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</si>
  <si>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</si>
  <si>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</si>
  <si>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</si>
  <si>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</si>
  <si>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</si>
  <si>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</si>
  <si>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</si>
  <si>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</si>
  <si>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</si>
  <si>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</si>
  <si>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</si>
  <si>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</si>
  <si>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</si>
  <si>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</si>
  <si>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</si>
  <si>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</si>
  <si>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</si>
  <si>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</si>
  <si>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</si>
  <si>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</si>
  <si>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</si>
  <si>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</si>
  <si>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</si>
  <si>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</si>
  <si>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</si>
  <si>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</si>
  <si>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</si>
  <si>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</si>
  <si>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</si>
  <si>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</si>
  <si>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</si>
  <si>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</si>
  <si>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</si>
  <si>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</si>
  <si>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</si>
  <si>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</si>
  <si>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</si>
  <si>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</si>
  <si>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</si>
  <si>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</si>
  <si>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</si>
  <si>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</si>
  <si>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</si>
  <si>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</si>
  <si>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</si>
  <si>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</si>
  <si>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</si>
  <si>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</si>
  <si>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</si>
  <si>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</si>
  <si>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</si>
  <si>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</si>
  <si>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</si>
  <si>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</si>
  <si>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</si>
  <si>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</si>
  <si>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</si>
  <si>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</si>
  <si>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</si>
  <si>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</si>
  <si>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</si>
  <si>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</si>
  <si>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</si>
  <si>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</si>
  <si>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</si>
  <si>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</si>
  <si>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</si>
  <si>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</si>
  <si>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</si>
  <si>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</si>
  <si>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</si>
  <si>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</si>
  <si>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</si>
  <si>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</si>
  <si>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</si>
  <si>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</si>
  <si>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</si>
  <si>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</si>
  <si>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</si>
  <si>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</si>
  <si>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</si>
  <si>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</si>
  <si>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</si>
  <si>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</si>
  <si>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</si>
  <si>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</si>
  <si>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</si>
  <si>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</si>
  <si>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</si>
  <si>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</si>
  <si>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</si>
  <si>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</si>
  <si>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</si>
  <si>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</si>
  <si>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</si>
  <si>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</si>
  <si>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</si>
  <si>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</si>
  <si>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</si>
  <si>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</si>
  <si>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</si>
  <si>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</si>
  <si>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</si>
  <si>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</si>
  <si>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</si>
  <si>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</si>
  <si>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</si>
  <si>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</si>
  <si>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</si>
  <si>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</si>
  <si>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</si>
  <si>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</si>
  <si>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</si>
  <si>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</si>
  <si>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</si>
  <si>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</si>
  <si>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</si>
  <si>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</si>
  <si>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</si>
  <si>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</si>
  <si>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</si>
  <si>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</si>
  <si>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</si>
  <si>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</si>
  <si>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</si>
  <si>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</si>
  <si>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</si>
  <si>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</si>
  <si>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</si>
  <si>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</si>
  <si>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</si>
  <si>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</si>
  <si>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</si>
  <si>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</si>
  <si>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</si>
  <si>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</si>
  <si>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</si>
  <si>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</si>
  <si>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</si>
  <si>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</si>
  <si>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</si>
  <si>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</si>
  <si>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</si>
  <si>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</si>
  <si>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</si>
  <si>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</si>
  <si>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</si>
  <si>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</si>
  <si>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</si>
  <si>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</si>
  <si>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</si>
  <si>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</si>
  <si>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</si>
  <si>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</si>
  <si>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</si>
  <si>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</si>
  <si>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</si>
  <si>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</si>
  <si>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</si>
  <si>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</si>
  <si>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</si>
  <si>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</si>
  <si>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</si>
  <si>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</si>
  <si>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</si>
  <si>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</si>
  <si>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</si>
  <si>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</si>
  <si>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</si>
  <si>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</si>
  <si>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</si>
  <si>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</si>
  <si>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</si>
  <si>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</si>
  <si>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</si>
  <si>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</si>
  <si>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</si>
  <si>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</si>
  <si>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</si>
  <si>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</si>
  <si>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</si>
  <si>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</si>
  <si>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</si>
  <si>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</si>
  <si>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</si>
  <si>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</si>
  <si>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</si>
  <si>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</si>
  <si>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</si>
  <si>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</si>
  <si>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</si>
  <si>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</si>
  <si>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</si>
  <si>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</si>
  <si>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</si>
  <si>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</si>
  <si>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</si>
  <si>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</si>
  <si>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</si>
  <si>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</si>
  <si>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</si>
  <si>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</si>
  <si>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</si>
  <si>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</si>
  <si>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</si>
  <si>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</si>
  <si>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</si>
  <si>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</si>
  <si>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</si>
  <si>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</si>
  <si>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</si>
  <si>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</si>
  <si>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</si>
  <si>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</si>
  <si>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</si>
  <si>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</si>
  <si>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</si>
  <si>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</si>
  <si>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</si>
  <si>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</si>
  <si>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</si>
  <si>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</si>
  <si>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</si>
  <si>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</si>
  <si>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</si>
  <si>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</si>
  <si>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</si>
  <si>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</si>
  <si>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</si>
  <si>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</si>
  <si>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</si>
  <si>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</si>
  <si>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</si>
  <si>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</si>
  <si>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</si>
  <si>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</si>
  <si>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</si>
  <si>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</si>
  <si>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</si>
  <si>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</si>
  <si>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</si>
  <si>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</si>
  <si>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</si>
  <si>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</si>
  <si>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</si>
  <si>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</si>
  <si>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</si>
  <si>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</si>
  <si>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</si>
  <si>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</si>
  <si>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</si>
  <si>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</si>
  <si>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</si>
  <si>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</si>
  <si>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</si>
  <si>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</si>
  <si>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</si>
  <si>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</si>
  <si>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</si>
  <si>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</si>
  <si>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</si>
  <si>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</si>
  <si>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</si>
  <si>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</si>
  <si>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</si>
  <si>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</si>
  <si>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</si>
  <si>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</si>
  <si>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</si>
  <si>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</si>
  <si>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</si>
  <si>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</si>
  <si>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</si>
  <si>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</si>
  <si>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</si>
  <si>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</si>
  <si>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</si>
  <si>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</si>
  <si>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</si>
  <si>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</si>
  <si>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</si>
  <si>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</si>
  <si>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</si>
  <si>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</si>
  <si>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</si>
  <si>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</si>
  <si>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</si>
  <si>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</si>
  <si>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</si>
  <si>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</si>
  <si>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</si>
  <si>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</si>
  <si>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</si>
  <si>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</si>
  <si>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</si>
  <si>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</si>
  <si>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</si>
  <si>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</si>
  <si>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</si>
  <si>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</si>
  <si>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</si>
  <si>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</si>
  <si>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</si>
  <si>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</si>
  <si>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</si>
  <si>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</si>
  <si>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</si>
  <si>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</si>
  <si>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</si>
  <si>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</si>
  <si>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</si>
  <si>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</si>
  <si>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</si>
  <si>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</si>
  <si>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</si>
  <si>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</si>
  <si>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</si>
  <si>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</si>
  <si>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</si>
  <si>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</si>
  <si>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</si>
  <si>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</si>
  <si>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</si>
  <si>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</si>
  <si>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</si>
  <si>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</si>
  <si>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</si>
  <si>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</si>
  <si>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</si>
  <si>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</si>
  <si>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</si>
  <si>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</si>
  <si>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</si>
  <si>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</si>
  <si>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</si>
  <si>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</si>
  <si>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</si>
  <si>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</si>
  <si>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</si>
  <si>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</si>
  <si>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</si>
  <si>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</si>
  <si>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</si>
  <si>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</si>
  <si>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</si>
  <si>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</si>
  <si>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</si>
  <si>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</si>
  <si>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</si>
  <si>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</si>
  <si>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</si>
  <si>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</si>
  <si>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</si>
  <si>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</si>
  <si>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</si>
  <si>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</si>
  <si>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</si>
  <si>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</si>
  <si>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</si>
  <si>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</si>
  <si>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</si>
  <si>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</si>
  <si>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</si>
  <si>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</si>
  <si>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</si>
  <si>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</si>
  <si>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</si>
  <si>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</si>
  <si>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</si>
  <si>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</si>
  <si>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</si>
  <si>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</si>
  <si>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</si>
  <si>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</si>
  <si>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</si>
  <si>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</si>
  <si>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</si>
  <si>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</si>
  <si>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</si>
  <si>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</si>
  <si>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</si>
  <si>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</si>
  <si>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</si>
  <si>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</si>
  <si>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</si>
  <si>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</si>
  <si>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</si>
  <si>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</si>
  <si>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</si>
  <si>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</si>
  <si>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</si>
  <si>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</si>
  <si>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</si>
  <si>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</si>
  <si>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</si>
  <si>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</si>
  <si>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</si>
  <si>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</si>
  <si>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</si>
  <si>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</si>
  <si>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</si>
  <si>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</si>
  <si>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</si>
  <si>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</si>
  <si>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</si>
  <si>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</si>
  <si>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</si>
  <si>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</si>
  <si>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</si>
  <si>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</si>
  <si>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</si>
  <si>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</si>
  <si>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</si>
  <si>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</si>
  <si>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</si>
  <si>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</si>
  <si>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</si>
  <si>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</si>
  <si>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</si>
  <si>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</si>
  <si>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</si>
  <si>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</si>
  <si>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</si>
  <si>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</si>
  <si>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</si>
  <si>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</si>
  <si>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</si>
  <si>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</si>
  <si>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</si>
  <si>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</si>
  <si>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</si>
  <si>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</si>
  <si>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</si>
  <si>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</si>
  <si>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</si>
  <si>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</si>
  <si>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</si>
  <si>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</si>
  <si>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</si>
  <si>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</si>
  <si>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</si>
  <si>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</si>
  <si>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</si>
  <si>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</si>
  <si>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</si>
  <si>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</si>
  <si>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</si>
  <si>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</si>
  <si>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</si>
  <si>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</si>
  <si>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</si>
  <si>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</si>
  <si>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</si>
  <si>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</si>
  <si>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</si>
  <si>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</si>
  <si>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</si>
  <si>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</si>
  <si>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</si>
  <si>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</si>
  <si>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</si>
  <si>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</si>
  <si>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</si>
  <si>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</si>
  <si>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</si>
  <si>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</si>
  <si>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</si>
  <si>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</si>
  <si>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</si>
  <si>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</si>
  <si>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</si>
  <si>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</si>
  <si>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</si>
  <si>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</si>
  <si>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</si>
  <si>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</si>
  <si>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</si>
  <si>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</si>
  <si>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</si>
  <si>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</si>
  <si>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</si>
  <si>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</si>
  <si>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</si>
  <si>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</si>
  <si>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</si>
  <si>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</si>
  <si>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</si>
  <si>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</si>
  <si>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</si>
  <si>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</si>
  <si>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</si>
  <si>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</si>
  <si>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</si>
  <si>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</si>
  <si>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</si>
  <si>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</si>
  <si>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</si>
  <si>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</si>
  <si>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</si>
  <si>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</si>
  <si>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</si>
  <si>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</si>
  <si>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</si>
  <si>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</si>
  <si>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</si>
  <si>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</si>
  <si>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</si>
  <si>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</si>
  <si>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</si>
  <si>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</si>
  <si>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</si>
  <si>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</si>
  <si>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</si>
  <si>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</si>
  <si>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</si>
  <si>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</si>
  <si>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</si>
  <si>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</si>
  <si>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</si>
  <si>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</si>
  <si>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</si>
  <si>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</si>
  <si>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</si>
  <si>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</si>
  <si>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</si>
  <si>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</si>
  <si>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</si>
  <si>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</si>
  <si>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</si>
  <si>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</si>
  <si>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</si>
  <si>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</si>
  <si>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</si>
  <si>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</si>
  <si>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</si>
  <si>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</si>
  <si>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</si>
  <si>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</si>
  <si>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</si>
  <si>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</si>
  <si>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</si>
  <si>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</si>
  <si>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</si>
  <si>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</si>
  <si>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</si>
  <si>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</si>
  <si>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</si>
  <si>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</si>
  <si>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</si>
  <si>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</si>
  <si>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</si>
  <si>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</si>
  <si>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</si>
  <si>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</si>
  <si>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</si>
  <si>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</si>
  <si>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</si>
  <si>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</si>
  <si>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</si>
  <si>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</si>
  <si>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</si>
  <si>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</si>
  <si>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</si>
  <si>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</si>
  <si>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</si>
  <si>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</si>
  <si>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</si>
  <si>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</si>
  <si>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</si>
  <si>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</si>
  <si>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</si>
  <si>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</si>
  <si>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</si>
  <si>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</si>
  <si>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</si>
  <si>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</si>
  <si>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</si>
  <si>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</si>
  <si>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</si>
  <si>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</si>
  <si>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</si>
  <si>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</si>
  <si>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</si>
  <si>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</si>
  <si>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</si>
  <si>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</si>
  <si>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</si>
  <si>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</si>
  <si>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</si>
  <si>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</si>
  <si>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</si>
  <si>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</si>
  <si>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</si>
  <si>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</si>
  <si>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</si>
  <si>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</si>
  <si>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</si>
  <si>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</si>
  <si>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</si>
  <si>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</si>
  <si>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</si>
  <si>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</si>
  <si>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</si>
  <si>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</si>
  <si>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</si>
  <si>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</si>
  <si>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</si>
  <si>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</si>
  <si>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</si>
  <si>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</si>
  <si>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</si>
  <si>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</si>
  <si>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</si>
  <si>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</si>
  <si>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</si>
  <si>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</si>
  <si>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</si>
  <si>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</si>
  <si>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</si>
  <si>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</si>
  <si>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</si>
  <si>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</si>
  <si>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</si>
  <si>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</si>
  <si>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</si>
  <si>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</si>
  <si>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</si>
  <si>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</si>
  <si>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</si>
  <si>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</si>
  <si>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</si>
  <si>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</si>
  <si>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</si>
  <si>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</si>
  <si>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</si>
  <si>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</si>
  <si>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</si>
  <si>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</si>
  <si>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</si>
  <si>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</si>
  <si>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</si>
  <si>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</si>
  <si>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</si>
  <si>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</si>
  <si>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</si>
  <si>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</si>
  <si>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</si>
  <si>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</si>
  <si>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</si>
  <si>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</si>
  <si>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</si>
  <si>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</si>
  <si>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</si>
  <si>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</si>
  <si>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</si>
  <si>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</si>
  <si>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</si>
  <si>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</si>
  <si>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</si>
  <si>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</si>
  <si>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</si>
  <si>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</si>
  <si>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</si>
  <si>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</si>
  <si>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</si>
  <si>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</si>
  <si>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</si>
  <si>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</si>
  <si>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</si>
  <si>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</si>
  <si>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</si>
  <si>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</si>
  <si>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</si>
  <si>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</si>
  <si>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</si>
  <si>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</si>
  <si>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</si>
  <si>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</si>
  <si>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</si>
  <si>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</si>
  <si>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</si>
  <si>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</si>
  <si>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</si>
  <si>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</si>
  <si>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</si>
  <si>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</si>
  <si>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</si>
  <si>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</si>
  <si>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</si>
  <si>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</si>
  <si>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</si>
  <si>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</si>
  <si>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</si>
  <si>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</si>
  <si>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</si>
  <si>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</si>
  <si>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</si>
  <si>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</si>
  <si>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</si>
  <si>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</si>
  <si>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</si>
  <si>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</si>
  <si>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</si>
  <si>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</si>
  <si>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</si>
  <si>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</si>
  <si>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</si>
  <si>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</si>
  <si>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</si>
  <si>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</si>
  <si>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</si>
  <si>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</si>
  <si>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</si>
  <si>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</si>
  <si>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</si>
  <si>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</si>
  <si>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</si>
  <si>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</si>
  <si>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</si>
  <si>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</si>
  <si>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</si>
  <si>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</si>
  <si>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</si>
  <si>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</si>
  <si>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</si>
  <si>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</si>
  <si>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</si>
  <si>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</si>
  <si>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</si>
  <si>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</si>
  <si>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</si>
  <si>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</si>
  <si>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</si>
  <si>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</si>
  <si>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</si>
  <si>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</si>
  <si>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</si>
  <si>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</si>
  <si>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</si>
  <si>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</si>
  <si>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</si>
  <si>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</si>
  <si>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</si>
  <si>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</si>
  <si>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</si>
  <si>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</si>
  <si>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</si>
  <si>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</si>
  <si>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</si>
  <si>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</si>
  <si>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</si>
  <si>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</si>
  <si>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</si>
  <si>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</si>
  <si>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</si>
  <si>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</si>
  <si>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</si>
  <si>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</si>
  <si>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</si>
  <si>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</si>
  <si>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</si>
  <si>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</si>
  <si>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</si>
  <si>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</si>
  <si>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</si>
  <si>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</si>
  <si>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</si>
  <si>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</si>
  <si>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</si>
  <si>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</si>
  <si>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</si>
  <si>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</si>
  <si>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</si>
  <si>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</si>
  <si>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</si>
  <si>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</si>
  <si>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</si>
  <si>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</si>
  <si>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</si>
  <si>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</si>
  <si>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</si>
  <si>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</si>
  <si>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</si>
  <si>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</si>
  <si>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</si>
  <si>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</si>
  <si>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</si>
  <si>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</si>
  <si>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</si>
  <si>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</si>
  <si>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</si>
  <si>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</si>
  <si>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</si>
  <si>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</si>
  <si>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</si>
  <si>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</si>
  <si>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</si>
  <si>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</si>
  <si>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</si>
  <si>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</si>
  <si>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</si>
  <si>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</si>
  <si>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</si>
  <si>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</si>
  <si>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</si>
  <si>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</si>
  <si>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</si>
  <si>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</si>
  <si>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</si>
  <si>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</si>
  <si>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</si>
  <si>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</si>
  <si>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</si>
  <si>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</si>
  <si>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</si>
  <si>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</si>
  <si>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</si>
  <si>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</si>
  <si>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</si>
  <si>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</si>
  <si>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</si>
  <si>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</si>
  <si>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</si>
  <si>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</si>
  <si>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</si>
  <si>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</si>
  <si>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</si>
  <si>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</si>
  <si>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</si>
  <si>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</si>
  <si>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</si>
  <si>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</si>
  <si>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</si>
  <si>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</si>
  <si>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</si>
  <si>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</si>
  <si>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</si>
  <si>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</si>
  <si>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</si>
  <si>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</si>
  <si>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</si>
  <si>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</si>
  <si>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</si>
  <si>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</si>
  <si>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</si>
  <si>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</si>
  <si>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</si>
  <si>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</si>
  <si>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</si>
  <si>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</si>
  <si>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</si>
  <si>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</si>
  <si>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</si>
  <si>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</si>
  <si>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</si>
  <si>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</si>
  <si>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</si>
  <si>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</si>
  <si>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</si>
  <si>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</si>
  <si>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</si>
  <si>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</si>
  <si>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</si>
  <si>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</si>
  <si>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</si>
  <si>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</si>
  <si>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</si>
  <si>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</si>
  <si>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</si>
  <si>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</si>
  <si>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</si>
  <si>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</si>
  <si>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</si>
  <si>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</si>
  <si>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</si>
  <si>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</si>
  <si>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</si>
  <si>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</si>
  <si>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</si>
  <si>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</si>
  <si>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</si>
  <si>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</si>
  <si>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</si>
  <si>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</si>
  <si>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</si>
  <si>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</si>
  <si>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</si>
  <si>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</si>
  <si>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</si>
  <si>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</si>
  <si>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</si>
  <si>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</si>
  <si>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</si>
  <si>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</si>
  <si>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</si>
  <si>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</si>
  <si>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</si>
  <si>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</si>
  <si>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</si>
  <si>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</si>
  <si>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</si>
  <si>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</si>
  <si>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</si>
  <si>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</si>
  <si>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</si>
  <si>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</si>
  <si>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</si>
  <si>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</si>
  <si>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</si>
  <si>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</si>
  <si>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</si>
  <si>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</si>
  <si>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</si>
  <si>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</si>
  <si>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</si>
  <si>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</si>
  <si>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</si>
  <si>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</si>
  <si>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</si>
  <si>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</si>
  <si>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</si>
  <si>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</si>
  <si>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</si>
  <si>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</si>
  <si>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</si>
  <si>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</si>
  <si>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</si>
  <si>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</si>
  <si>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</si>
  <si>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</si>
  <si>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</si>
  <si>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</si>
  <si>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</si>
  <si>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</si>
  <si>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</si>
  <si>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</si>
  <si>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</si>
  <si>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</si>
  <si>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</si>
  <si>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</si>
  <si>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</si>
  <si>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</si>
  <si>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</si>
  <si>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</si>
  <si>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</si>
  <si>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</si>
  <si>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</si>
  <si>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</si>
  <si>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</si>
  <si>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</si>
  <si>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</si>
  <si>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</si>
  <si>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</si>
  <si>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</si>
  <si>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</si>
  <si>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</si>
  <si>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</si>
  <si>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</si>
  <si>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</si>
  <si>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</si>
  <si>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</si>
  <si>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</si>
  <si>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</si>
  <si>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</si>
  <si>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</si>
  <si>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</si>
  <si>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</si>
  <si>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</si>
  <si>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</si>
  <si>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</si>
  <si>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</si>
  <si>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</si>
  <si>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</si>
  <si>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</si>
  <si>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</si>
  <si>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</si>
  <si>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</si>
  <si>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</si>
  <si>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</si>
  <si>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</si>
  <si>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</si>
  <si>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</si>
  <si>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</si>
  <si>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</si>
  <si>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</si>
  <si>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</si>
  <si>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</si>
  <si>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</si>
  <si>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</si>
  <si>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</si>
  <si>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</si>
  <si>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</si>
  <si>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</si>
  <si>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</si>
  <si>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</si>
  <si>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</si>
  <si>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</si>
  <si>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</si>
  <si>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</si>
  <si>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</si>
  <si>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</si>
  <si>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</si>
  <si>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</si>
  <si>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</si>
  <si>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</si>
  <si>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</si>
  <si>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</si>
  <si>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</si>
  <si>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</si>
  <si>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</si>
  <si>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</si>
  <si>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</si>
  <si>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</si>
  <si>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</si>
  <si>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</si>
  <si>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</si>
  <si>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</si>
  <si>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</si>
  <si>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</si>
  <si>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</si>
  <si>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</si>
  <si>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</si>
  <si>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</si>
  <si>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</si>
  <si>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</si>
  <si>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</si>
  <si>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</si>
  <si>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</si>
  <si>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</si>
  <si>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</si>
  <si>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</si>
  <si>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</si>
  <si>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</si>
  <si>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</si>
  <si>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</si>
  <si>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</si>
  <si>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</si>
  <si>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</si>
  <si>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</si>
  <si>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</si>
  <si>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</si>
  <si>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</si>
  <si>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</si>
  <si>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</si>
  <si>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</si>
  <si>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</si>
  <si>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</si>
  <si>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</si>
  <si>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</si>
  <si>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</si>
  <si>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</si>
  <si>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</si>
  <si>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</si>
  <si>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</si>
  <si>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</si>
  <si>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</si>
  <si>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</si>
  <si>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</si>
  <si>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</si>
  <si>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</si>
  <si>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</si>
  <si>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</si>
  <si>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</si>
  <si>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</si>
  <si>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</si>
  <si>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</si>
  <si>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</si>
  <si>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</si>
  <si>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</si>
  <si>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</si>
  <si>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</si>
  <si>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</si>
  <si>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</si>
  <si>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</si>
  <si>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</si>
  <si>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</si>
  <si>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</si>
  <si>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</si>
  <si>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</si>
  <si>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</si>
  <si>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</si>
  <si>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</si>
  <si>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</si>
  <si>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</si>
  <si>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</si>
  <si>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</si>
  <si>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</si>
  <si>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</si>
  <si>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</si>
  <si>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</si>
  <si>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</si>
  <si>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</si>
  <si>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</si>
  <si>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</si>
  <si>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</si>
  <si>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</si>
  <si>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</si>
  <si>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</si>
  <si>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</si>
  <si>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</si>
  <si>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</si>
  <si>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</si>
  <si>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</si>
  <si>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</si>
  <si>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</si>
  <si>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</si>
  <si>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</si>
  <si>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</si>
  <si>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</si>
  <si>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</si>
  <si>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</si>
  <si>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</si>
  <si>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</si>
  <si>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</si>
  <si>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</si>
  <si>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</si>
  <si>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</si>
  <si>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</si>
  <si>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</si>
  <si>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</si>
  <si>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</si>
  <si>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</si>
  <si>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</si>
  <si>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</si>
  <si>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</si>
  <si>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</si>
  <si>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</si>
  <si>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</si>
  <si>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</si>
  <si>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</si>
  <si>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</si>
  <si>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</si>
  <si>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</si>
  <si>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</si>
  <si>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</si>
  <si>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</si>
  <si>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</si>
  <si>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</si>
  <si>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</si>
  <si>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</si>
  <si>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</si>
  <si>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</si>
  <si>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</si>
  <si>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</si>
  <si>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</si>
  <si>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</si>
  <si>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</si>
  <si>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</si>
  <si>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</si>
  <si>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</si>
  <si>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</si>
  <si>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</si>
  <si>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</si>
  <si>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</si>
  <si>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</si>
  <si>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</si>
  <si>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</si>
  <si>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</si>
  <si>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</si>
  <si>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</si>
  <si>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</si>
  <si>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</si>
  <si>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</si>
  <si>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</si>
  <si>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</si>
  <si>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</si>
  <si>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</si>
  <si>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</si>
  <si>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</si>
  <si>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</si>
  <si>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</si>
  <si>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</si>
  <si>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</si>
  <si>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</si>
  <si>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</si>
  <si>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</si>
  <si>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</si>
  <si>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</si>
  <si>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</si>
  <si>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</si>
  <si>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</si>
  <si>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</si>
  <si>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</si>
  <si>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</si>
  <si>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</si>
  <si>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</si>
  <si>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</si>
  <si>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</si>
  <si>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</si>
  <si>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</si>
  <si>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</si>
  <si>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</si>
  <si>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</si>
  <si>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</si>
  <si>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</si>
  <si>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</si>
  <si>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</si>
  <si>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</si>
  <si>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</si>
  <si>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</si>
  <si>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</si>
  <si>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</si>
  <si>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</si>
  <si>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</si>
  <si>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</si>
  <si>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</si>
  <si>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</si>
  <si>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</si>
  <si>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</si>
  <si>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</si>
  <si>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</si>
  <si>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</si>
  <si>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</si>
  <si>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</si>
  <si>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</si>
  <si>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</si>
  <si>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</si>
  <si>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</si>
  <si>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</si>
  <si>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</si>
  <si>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</si>
  <si>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</si>
  <si>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</si>
  <si>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</si>
  <si>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</si>
  <si>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</si>
  <si>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</si>
  <si>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</si>
  <si>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</si>
  <si>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</si>
  <si>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</si>
  <si>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</si>
  <si>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</si>
  <si>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</si>
  <si>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</si>
  <si>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</si>
  <si>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</si>
  <si>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</si>
  <si>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</si>
  <si>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</si>
  <si>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</si>
  <si>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</si>
  <si>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</si>
  <si>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</si>
  <si>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</si>
  <si>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</si>
  <si>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</si>
  <si>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</si>
  <si>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</si>
  <si>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</si>
  <si>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</si>
  <si>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</si>
  <si>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</si>
  <si>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</si>
  <si>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</si>
  <si>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</si>
  <si>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</si>
  <si>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</si>
  <si>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</si>
  <si>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</si>
  <si>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</si>
  <si>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</si>
  <si>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</si>
  <si>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</si>
  <si>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</si>
  <si>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</si>
  <si>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</si>
  <si>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</si>
  <si>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</si>
  <si>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</si>
  <si>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</si>
  <si>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</si>
  <si>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</si>
  <si>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</si>
  <si>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</si>
  <si>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</si>
  <si>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</si>
  <si>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</si>
  <si>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</si>
  <si>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</si>
  <si>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</si>
  <si>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</si>
  <si>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</si>
  <si>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</si>
  <si>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</si>
  <si>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</si>
  <si>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</si>
  <si>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</si>
  <si>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</si>
  <si>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</si>
  <si>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</si>
  <si>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</si>
  <si>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</si>
  <si>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</si>
  <si>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</si>
  <si>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</si>
  <si>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</si>
  <si>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</si>
  <si>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</si>
  <si>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</si>
  <si>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</si>
  <si>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</si>
  <si>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</si>
  <si>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</si>
  <si>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</si>
  <si>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</si>
  <si>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</si>
  <si>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</si>
  <si>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</si>
  <si>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</si>
  <si>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</si>
  <si>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</si>
  <si>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</si>
  <si>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</si>
  <si>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</si>
  <si>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</si>
  <si>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</si>
  <si>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</si>
  <si>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</si>
  <si>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</si>
  <si>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</si>
  <si>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</si>
  <si>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</si>
  <si>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</si>
  <si>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</si>
  <si>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</si>
  <si>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</si>
  <si>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</si>
  <si>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</si>
  <si>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</si>
  <si>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</si>
  <si>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</si>
  <si>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</si>
  <si>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</si>
  <si>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</si>
  <si>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</si>
  <si>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</si>
  <si>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</si>
  <si>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</si>
  <si>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</si>
  <si>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</si>
  <si>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</si>
  <si>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</si>
  <si>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</si>
  <si>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</si>
  <si>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</si>
  <si>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</si>
  <si>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</si>
  <si>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</si>
  <si>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</si>
  <si>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</si>
  <si>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</si>
  <si>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</si>
  <si>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</si>
  <si>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</si>
  <si>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</si>
  <si>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</si>
  <si>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</si>
  <si>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</si>
  <si>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</si>
  <si>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</si>
  <si>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</si>
  <si>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</si>
  <si>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</si>
  <si>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</si>
  <si>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</si>
  <si>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</si>
  <si>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</si>
  <si>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</si>
  <si>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</si>
  <si>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</si>
  <si>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</si>
  <si>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</si>
  <si>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</si>
  <si>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</si>
  <si>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</si>
  <si>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</si>
  <si>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</si>
  <si>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</si>
  <si>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</si>
  <si>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</si>
  <si>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</si>
  <si>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</si>
  <si>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</si>
  <si>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</si>
  <si>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</si>
  <si>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</si>
  <si>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</si>
  <si>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</si>
  <si>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</si>
  <si>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</si>
  <si>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</si>
  <si>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</si>
  <si>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</si>
  <si>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</si>
  <si>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</si>
  <si>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</si>
  <si>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</si>
  <si>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</si>
  <si>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</si>
  <si>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</si>
  <si>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</si>
  <si>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</si>
  <si>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</si>
  <si>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</si>
  <si>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</si>
  <si>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</si>
  <si>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</si>
  <si>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</si>
  <si>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</si>
  <si>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</si>
  <si>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</si>
  <si>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</si>
  <si>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</si>
  <si>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</si>
  <si>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</si>
  <si>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</si>
  <si>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</si>
  <si>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</si>
  <si>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</si>
  <si>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</si>
  <si>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</si>
  <si>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</si>
  <si>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</si>
  <si>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</si>
  <si>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</si>
  <si>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</si>
  <si>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</si>
  <si>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</si>
  <si>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</si>
  <si>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</si>
  <si>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</si>
  <si>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</si>
  <si>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</si>
  <si>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</si>
  <si>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</si>
  <si>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</si>
  <si>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</si>
  <si>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</si>
  <si>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</si>
  <si>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</si>
  <si>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</si>
  <si>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</si>
  <si>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</si>
  <si>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</si>
  <si>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</si>
  <si>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</si>
  <si>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</si>
  <si>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</si>
  <si>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</si>
  <si>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</si>
  <si>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</si>
  <si>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</si>
  <si>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</si>
  <si>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</si>
  <si>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</si>
  <si>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</si>
  <si>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</si>
  <si>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</si>
  <si>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</si>
  <si>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</si>
  <si>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</si>
  <si>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</si>
  <si>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</si>
  <si>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</si>
  <si>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</si>
  <si>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</si>
  <si>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</si>
  <si>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</si>
  <si>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</si>
  <si>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</si>
  <si>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</si>
  <si>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</si>
  <si>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</si>
  <si>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</si>
  <si>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</si>
  <si>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</si>
  <si>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</si>
  <si>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</si>
  <si>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</si>
  <si>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</si>
  <si>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</si>
  <si>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</si>
  <si>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</si>
  <si>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</si>
  <si>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</si>
  <si>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</si>
  <si>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</si>
  <si>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</si>
  <si>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</si>
  <si>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</si>
  <si>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</si>
  <si>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</si>
  <si>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</si>
  <si>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</si>
  <si>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</si>
  <si>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</si>
  <si>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</si>
  <si>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</si>
  <si>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</si>
  <si>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</si>
  <si>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</si>
  <si>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</si>
  <si>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</si>
  <si>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</si>
  <si>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</si>
  <si>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</si>
  <si>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</si>
  <si>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</si>
  <si>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</si>
  <si>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</si>
  <si>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</si>
  <si>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</si>
  <si>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</si>
  <si>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</si>
  <si>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</si>
  <si>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</si>
  <si>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</si>
  <si>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</si>
  <si>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</si>
  <si>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</si>
  <si>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</si>
  <si>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</si>
  <si>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</si>
  <si>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</si>
  <si>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</si>
  <si>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</si>
  <si>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</si>
  <si>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</si>
  <si>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</si>
  <si>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</si>
  <si>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</si>
  <si>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</si>
  <si>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</si>
  <si>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</si>
  <si>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</si>
  <si>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</si>
  <si>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</si>
  <si>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</si>
  <si>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</si>
  <si>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</si>
  <si>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</si>
  <si>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</si>
  <si>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</si>
  <si>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</si>
  <si>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</si>
  <si>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</si>
  <si>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</si>
  <si>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</si>
  <si>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</si>
  <si>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</si>
  <si>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</si>
  <si>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</si>
  <si>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</si>
  <si>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</si>
  <si>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</si>
  <si>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</si>
  <si>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</si>
  <si>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</si>
  <si>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</si>
  <si>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</si>
  <si>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</si>
  <si>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</si>
  <si>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</si>
  <si>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</si>
  <si>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</si>
  <si>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</si>
  <si>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</si>
  <si>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</si>
  <si>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</si>
  <si>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</si>
  <si>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</si>
  <si>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</si>
  <si>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</si>
  <si>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</si>
  <si>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</si>
  <si>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</si>
  <si>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</si>
  <si>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</si>
  <si>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</si>
  <si>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</si>
  <si>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</si>
  <si>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</si>
  <si>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</si>
  <si>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</si>
  <si>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</si>
  <si>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</si>
  <si>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</si>
  <si>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</si>
  <si>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</si>
  <si>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</si>
  <si>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</si>
  <si>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</si>
  <si>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</si>
  <si>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</si>
  <si>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</si>
  <si>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</si>
  <si>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</si>
  <si>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</si>
  <si>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</si>
  <si>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</si>
  <si>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</si>
  <si>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</si>
  <si>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</si>
  <si>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</si>
  <si>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</si>
  <si>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</si>
  <si>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</si>
  <si>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</si>
  <si>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</si>
  <si>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</si>
  <si>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</si>
  <si>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</si>
  <si>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</si>
  <si>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</si>
  <si>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</si>
  <si>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</si>
  <si>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</si>
  <si>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</si>
  <si>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</si>
  <si>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</si>
  <si>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</si>
  <si>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</si>
  <si>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</si>
  <si>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</si>
  <si>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</si>
  <si>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</si>
  <si>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</si>
  <si>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</si>
  <si>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</si>
  <si>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</si>
  <si>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</si>
  <si>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</si>
  <si>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</si>
  <si>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</si>
  <si>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</si>
  <si>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</si>
  <si>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</si>
  <si>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</si>
  <si>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</si>
  <si>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</si>
  <si>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</si>
  <si>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</si>
  <si>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</si>
  <si>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</si>
  <si>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</si>
  <si>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</si>
  <si>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</si>
  <si>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</si>
  <si>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</si>
  <si>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</si>
  <si>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</si>
  <si>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</si>
  <si>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</si>
  <si>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</si>
  <si>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</si>
  <si>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</si>
  <si>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</si>
  <si>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</si>
  <si>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</si>
  <si>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</si>
  <si>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</si>
  <si>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</si>
  <si>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</si>
  <si>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</si>
  <si>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</si>
  <si>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</si>
  <si>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</si>
  <si>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</si>
  <si>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</si>
  <si>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</si>
  <si>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</si>
  <si>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</si>
  <si>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</si>
  <si>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</si>
  <si>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</si>
  <si>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</si>
  <si>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</si>
  <si>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</si>
  <si>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</si>
  <si>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</si>
  <si>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</si>
  <si>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</si>
  <si>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</si>
  <si>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</si>
  <si>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</si>
  <si>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</si>
  <si>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</si>
  <si>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</si>
  <si>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</si>
  <si>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</si>
  <si>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</si>
  <si>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</si>
  <si>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</si>
  <si>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</si>
  <si>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</si>
  <si>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</si>
  <si>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</si>
  <si>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</si>
  <si>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</si>
  <si>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</si>
  <si>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</si>
  <si>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</si>
  <si>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</si>
  <si>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</si>
  <si>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</si>
  <si>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</si>
  <si>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</si>
  <si>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</si>
  <si>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</si>
  <si>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</si>
  <si>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</si>
  <si>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</si>
  <si>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</si>
  <si>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</si>
  <si>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</si>
  <si>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</si>
  <si>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</si>
  <si>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</si>
  <si>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</si>
  <si>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</si>
  <si>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</si>
  <si>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</si>
  <si>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</si>
  <si>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</si>
  <si>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</si>
  <si>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</si>
  <si>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</si>
  <si>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</si>
  <si>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</si>
  <si>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</si>
  <si>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</si>
  <si>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</si>
  <si>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</si>
  <si>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</si>
  <si>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</si>
  <si>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</si>
  <si>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</si>
  <si>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</si>
  <si>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</si>
  <si>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</si>
  <si>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</si>
  <si>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</si>
  <si>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</si>
  <si>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</si>
  <si>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</si>
  <si>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</si>
  <si>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</si>
  <si>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</si>
  <si>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</si>
  <si>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</si>
  <si>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</si>
  <si>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</si>
  <si>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</si>
  <si>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</si>
  <si>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</si>
  <si>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</si>
  <si>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</si>
  <si>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</si>
  <si>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</si>
  <si>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</si>
  <si>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</si>
  <si>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</si>
  <si>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</si>
  <si>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</si>
  <si>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</si>
  <si>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</si>
  <si>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</si>
  <si>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</si>
  <si>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</si>
  <si>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</si>
  <si>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</si>
  <si>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</si>
  <si>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</si>
  <si>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</si>
  <si>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</si>
  <si>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</si>
  <si>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</si>
  <si>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</si>
  <si>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</si>
  <si>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</si>
  <si>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</si>
  <si>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</si>
  <si>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</si>
  <si>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</si>
  <si>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</si>
  <si>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</si>
  <si>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</si>
  <si>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</si>
  <si>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</si>
  <si>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</si>
  <si>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</si>
  <si>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</si>
  <si>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</si>
  <si>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</si>
  <si>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</si>
  <si>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</si>
  <si>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</si>
  <si>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</si>
  <si>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</si>
  <si>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</si>
  <si>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</si>
  <si>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</si>
  <si>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</si>
  <si>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</si>
  <si>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</si>
  <si>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</si>
  <si>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</si>
  <si>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</si>
  <si>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</si>
  <si>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</si>
  <si>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</si>
  <si>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</si>
  <si>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</si>
  <si>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</si>
  <si>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</si>
  <si>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</si>
  <si>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</si>
  <si>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</si>
  <si>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</si>
  <si>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</si>
  <si>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</si>
  <si>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</si>
  <si>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</si>
  <si>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</si>
  <si>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</si>
  <si>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</si>
  <si>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</si>
  <si>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</si>
  <si>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</si>
  <si>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</si>
  <si>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</si>
  <si>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</si>
  <si>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</si>
  <si>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</si>
  <si>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</si>
  <si>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</si>
  <si>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</si>
  <si>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</si>
  <si>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</si>
  <si>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</si>
  <si>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</si>
  <si>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</si>
  <si>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</si>
  <si>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</si>
  <si>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</si>
  <si>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</si>
  <si>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</si>
  <si>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</si>
  <si>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</si>
  <si>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</si>
  <si>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</si>
  <si>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</si>
  <si>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</si>
  <si>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</si>
  <si>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</si>
  <si>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</si>
  <si>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</si>
  <si>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</si>
  <si>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</si>
  <si>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</si>
  <si>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</si>
  <si>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</si>
  <si>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</si>
  <si>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</si>
  <si>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</si>
  <si>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</si>
  <si>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</si>
  <si>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</si>
  <si>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</si>
  <si>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</si>
  <si>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</si>
  <si>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</si>
  <si>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</si>
  <si>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</si>
  <si>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</si>
  <si>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</si>
  <si>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</si>
  <si>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</si>
  <si>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</si>
  <si>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</si>
  <si>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</si>
  <si>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</si>
  <si>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</si>
  <si>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</si>
  <si>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</si>
  <si>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</si>
  <si>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</si>
  <si>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</si>
  <si>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</si>
  <si>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</si>
  <si>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</si>
  <si>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</si>
  <si>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</si>
  <si>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</si>
  <si>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</si>
  <si>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</si>
  <si>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</si>
  <si>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</si>
  <si>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</si>
  <si>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</si>
  <si>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</si>
  <si>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</si>
  <si>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</si>
  <si>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</si>
  <si>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</si>
  <si>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</si>
  <si>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</si>
  <si>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</si>
  <si>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</si>
  <si>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</si>
  <si>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</si>
  <si>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</si>
  <si>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</si>
  <si>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</si>
  <si>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</si>
  <si>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</si>
  <si>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</si>
  <si>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</si>
  <si>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</si>
  <si>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</si>
  <si>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</si>
  <si>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</si>
  <si>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</si>
  <si>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</si>
  <si>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</si>
  <si>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</si>
  <si>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</si>
  <si>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</si>
  <si>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</si>
  <si>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</si>
  <si>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</si>
  <si>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</si>
  <si>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</si>
  <si>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</si>
  <si>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</si>
  <si>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</si>
  <si>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</si>
  <si>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</si>
  <si>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</si>
  <si>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</si>
  <si>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</si>
  <si>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</si>
  <si>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</si>
  <si>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</si>
  <si>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</si>
  <si>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</si>
  <si>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</si>
  <si>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</si>
  <si>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</si>
  <si>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</si>
  <si>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</si>
  <si>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</si>
  <si>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</si>
  <si>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</si>
  <si>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</si>
  <si>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</si>
  <si>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</si>
  <si>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</si>
  <si>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</si>
  <si>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</si>
  <si>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</si>
  <si>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</si>
  <si>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</si>
  <si>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</si>
  <si>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</si>
  <si>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</si>
  <si>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</si>
  <si>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</si>
  <si>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</si>
  <si>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</si>
  <si>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</si>
  <si>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</si>
  <si>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</si>
  <si>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</si>
  <si>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</si>
  <si>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</si>
  <si>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</si>
  <si>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</si>
  <si>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</si>
  <si>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</si>
  <si>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</si>
  <si>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</si>
  <si>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</si>
  <si>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</si>
  <si>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</si>
  <si>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</si>
  <si>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</si>
  <si>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</si>
  <si>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</si>
  <si>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</si>
  <si>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</si>
  <si>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</si>
  <si>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</si>
  <si>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</si>
  <si>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</si>
  <si>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</si>
  <si>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</si>
  <si>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</si>
  <si>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</si>
  <si>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</si>
  <si>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</si>
  <si>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</si>
  <si>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</si>
  <si>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</si>
  <si>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</si>
  <si>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</si>
  <si>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</si>
  <si>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</si>
  <si>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</si>
  <si>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</si>
  <si>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</si>
  <si>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</si>
  <si>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</si>
  <si>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</si>
  <si>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</si>
  <si>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</si>
  <si>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</si>
  <si>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</si>
  <si>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</si>
  <si>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</si>
  <si>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</si>
  <si>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</si>
  <si>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</si>
  <si>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</si>
  <si>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</si>
  <si>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</si>
  <si>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</si>
  <si>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</si>
  <si>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</si>
  <si>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</si>
  <si>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</si>
  <si>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</si>
  <si>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</si>
  <si>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</si>
  <si>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</si>
  <si>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</si>
  <si>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</si>
  <si>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</si>
  <si>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</si>
  <si>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</si>
  <si>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</si>
  <si>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</si>
  <si>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</si>
  <si>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</si>
  <si>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</si>
  <si>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</si>
  <si>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</si>
  <si>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</si>
  <si>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</si>
  <si>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</si>
  <si>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</si>
  <si>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</si>
  <si>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</si>
  <si>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</si>
  <si>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</si>
  <si>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</si>
  <si>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</si>
  <si>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</si>
  <si>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</si>
  <si>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</si>
  <si>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</si>
  <si>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</si>
  <si>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</si>
  <si>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</si>
  <si>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</si>
  <si>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</si>
  <si>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</si>
  <si>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</si>
  <si>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</si>
  <si>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</si>
  <si>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</si>
  <si>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</si>
  <si>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</si>
  <si>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</si>
  <si>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</si>
  <si>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</si>
  <si>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</si>
  <si>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</si>
  <si>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</si>
  <si>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</si>
  <si>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</si>
  <si>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</si>
  <si>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</si>
  <si>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</si>
  <si>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</si>
  <si>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</si>
  <si>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</si>
  <si>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</si>
  <si>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</si>
  <si>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</si>
  <si>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</si>
  <si>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</si>
  <si>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</si>
  <si>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</si>
  <si>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</si>
  <si>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</si>
  <si>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</si>
  <si>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</si>
  <si>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</si>
  <si>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</si>
  <si>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</si>
  <si>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</si>
  <si>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</si>
  <si>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</si>
  <si>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</si>
  <si>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</si>
  <si>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</si>
  <si>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</si>
  <si>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</si>
  <si>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</si>
  <si>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</si>
  <si>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</si>
  <si>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</si>
  <si>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</si>
  <si>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</si>
  <si>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</si>
  <si>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</si>
  <si>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</si>
  <si>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</si>
  <si>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</si>
  <si>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</si>
  <si>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</si>
  <si>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</si>
  <si>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</si>
  <si>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</si>
  <si>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</si>
  <si>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</si>
  <si>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</si>
  <si>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</si>
  <si>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</si>
  <si>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</si>
  <si>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</si>
  <si>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</si>
  <si>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</si>
  <si>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</si>
  <si>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</si>
  <si>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</si>
  <si>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</si>
  <si>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</si>
  <si>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</si>
  <si>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</si>
  <si>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</si>
  <si>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</si>
  <si>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</si>
  <si>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</si>
  <si>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</si>
  <si>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</si>
  <si>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</si>
  <si>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</si>
  <si>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</si>
  <si>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</si>
  <si>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</si>
  <si>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</si>
  <si>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</si>
  <si>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</si>
  <si>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</si>
  <si>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</si>
  <si>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</si>
  <si>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</si>
  <si>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</si>
  <si>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</si>
  <si>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</si>
  <si>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</si>
  <si>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</si>
  <si>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</si>
  <si>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</si>
  <si>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</si>
  <si>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</si>
  <si>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</si>
  <si>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</si>
  <si>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</si>
  <si>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</si>
  <si>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</si>
  <si>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</si>
  <si>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</si>
  <si>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</si>
  <si>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</si>
  <si>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</si>
  <si>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</si>
  <si>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</si>
  <si>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</si>
  <si>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</si>
  <si>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</si>
  <si>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</si>
  <si>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</si>
  <si>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</si>
  <si>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</si>
  <si>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</si>
  <si>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</si>
  <si>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</si>
  <si>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</si>
  <si>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</si>
  <si>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</si>
  <si>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</si>
  <si>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</si>
  <si>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</si>
  <si>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</si>
  <si>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</si>
  <si>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</si>
  <si>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</si>
  <si>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</si>
  <si>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</si>
  <si>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</si>
  <si>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</si>
  <si>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</si>
  <si>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</si>
  <si>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</si>
  <si>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</si>
  <si>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</si>
  <si>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</si>
  <si>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</si>
  <si>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</si>
  <si>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</si>
  <si>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</si>
  <si>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</si>
  <si>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</si>
  <si>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</si>
  <si>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</si>
  <si>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</si>
  <si>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</si>
  <si>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</si>
  <si>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</si>
  <si>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</si>
  <si>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</si>
  <si>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</si>
  <si>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</si>
  <si>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</si>
  <si>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</si>
  <si>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</si>
  <si>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</si>
  <si>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</si>
  <si>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</si>
  <si>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</si>
  <si>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</si>
  <si>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</si>
  <si>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</si>
  <si>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</si>
  <si>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</si>
  <si>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</si>
  <si>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</si>
  <si>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</si>
  <si>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</si>
  <si>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</si>
  <si>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</si>
  <si>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</si>
  <si>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</si>
  <si>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</si>
  <si>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</si>
  <si>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</si>
  <si>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</si>
  <si>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</si>
  <si>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</si>
  <si>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</si>
  <si>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</si>
  <si>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</si>
  <si>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</si>
  <si>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</si>
  <si>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</si>
  <si>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</si>
  <si>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</si>
  <si>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</si>
  <si>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</si>
  <si>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</si>
  <si>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</si>
  <si>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</si>
  <si>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</si>
  <si>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</si>
  <si>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</si>
  <si>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</si>
  <si>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</si>
  <si>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</si>
  <si>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</si>
  <si>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</si>
  <si>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</si>
  <si>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</si>
  <si>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</si>
  <si>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</si>
  <si>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</si>
  <si>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</si>
  <si>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</si>
  <si>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</si>
  <si>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</si>
  <si>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</si>
  <si>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</si>
  <si>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</si>
  <si>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</si>
  <si>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</si>
  <si>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</si>
  <si>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</si>
  <si>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</si>
  <si>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</si>
  <si>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</si>
  <si>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</si>
  <si>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</si>
  <si>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</si>
  <si>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</si>
  <si>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</si>
  <si>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</si>
  <si>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</si>
  <si>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</si>
  <si>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</si>
  <si>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</si>
  <si>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</si>
  <si>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</si>
  <si>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</si>
  <si>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</si>
  <si>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</si>
  <si>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</si>
  <si>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</si>
  <si>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</si>
  <si>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</si>
  <si>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</si>
  <si>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</si>
  <si>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</si>
  <si>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</si>
  <si>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</si>
  <si>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</si>
  <si>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</si>
  <si>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</si>
  <si>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</si>
  <si>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</si>
  <si>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</si>
  <si>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</si>
  <si>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</si>
  <si>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</si>
  <si>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</si>
  <si>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</si>
  <si>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</si>
  <si>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</si>
  <si>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</si>
  <si>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</si>
  <si>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</si>
  <si>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</si>
  <si>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</si>
  <si>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</si>
  <si>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</si>
  <si>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</si>
  <si>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</si>
  <si>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</si>
  <si>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</si>
  <si>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</si>
  <si>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</si>
  <si>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</si>
  <si>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</si>
  <si>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</si>
  <si>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</si>
  <si>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</si>
  <si>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</si>
  <si>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</si>
  <si>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</si>
  <si>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</si>
  <si>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</si>
  <si>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</si>
  <si>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</si>
  <si>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</si>
  <si>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</si>
  <si>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</si>
  <si>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</si>
  <si>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</si>
  <si>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</si>
  <si>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</si>
  <si>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</si>
  <si>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</si>
  <si>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</si>
  <si>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</si>
  <si>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</si>
  <si>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</si>
  <si>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</si>
  <si>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</si>
  <si>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</si>
  <si>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</si>
  <si>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</si>
  <si>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</si>
  <si>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</si>
  <si>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</si>
  <si>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</si>
  <si>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</si>
  <si>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</si>
  <si>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</si>
  <si>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</si>
  <si>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</si>
  <si>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</si>
  <si>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</si>
  <si>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</si>
  <si>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</si>
  <si>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</si>
  <si>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</si>
  <si>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</si>
  <si>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</si>
  <si>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</si>
  <si>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</si>
  <si>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</si>
  <si>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</si>
  <si>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</si>
  <si>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</si>
  <si>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</si>
  <si>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</si>
  <si>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</si>
  <si>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</si>
  <si>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</si>
  <si>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</si>
  <si>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</si>
  <si>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</si>
  <si>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</si>
  <si>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</si>
  <si>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</si>
  <si>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</si>
  <si>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</si>
  <si>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</si>
  <si>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</si>
  <si>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</si>
  <si>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</si>
  <si>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</si>
  <si>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</si>
  <si>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</si>
  <si>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</si>
  <si>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</si>
  <si>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</si>
  <si>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</si>
  <si>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</si>
  <si>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</si>
  <si>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</si>
  <si>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</si>
  <si>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</si>
  <si>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</si>
  <si>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</si>
  <si>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</si>
  <si>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</si>
  <si>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</si>
  <si>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</si>
  <si>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</si>
  <si>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</si>
  <si>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</si>
  <si>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</si>
  <si>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</si>
  <si>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</si>
  <si>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</si>
  <si>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</si>
  <si>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</si>
  <si>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</si>
  <si>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</si>
  <si>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</si>
  <si>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</si>
  <si>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</si>
  <si>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</si>
  <si>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</si>
  <si>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</si>
  <si>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</si>
  <si>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</si>
  <si>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</si>
  <si>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</si>
  <si>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</si>
  <si>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</si>
  <si>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</si>
  <si>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</si>
  <si>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</si>
  <si>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</si>
  <si>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</si>
  <si>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</si>
  <si>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</si>
  <si>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</si>
  <si>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</si>
  <si>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</si>
  <si>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</si>
  <si>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</si>
  <si>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</si>
  <si>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</si>
  <si>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</si>
  <si>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</si>
  <si>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</si>
  <si>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</si>
  <si>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</si>
  <si>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</si>
  <si>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</si>
  <si>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</si>
  <si>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</si>
  <si>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</si>
  <si>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</si>
  <si>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</si>
  <si>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</si>
  <si>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</si>
  <si>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</si>
  <si>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</si>
  <si>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</si>
  <si>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</si>
  <si>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</si>
  <si>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</si>
  <si>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</si>
  <si>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</si>
  <si>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</si>
  <si>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</si>
  <si>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</si>
  <si>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</si>
  <si>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</si>
  <si>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</si>
  <si>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</si>
  <si>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</si>
  <si>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</si>
  <si>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</si>
  <si>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</si>
  <si>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</si>
  <si>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</si>
  <si>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</si>
  <si>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</si>
  <si>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</si>
  <si>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</si>
  <si>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</si>
  <si>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</si>
  <si>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</si>
  <si>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</si>
  <si>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</si>
  <si>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</si>
  <si>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</si>
  <si>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</si>
  <si>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</si>
  <si>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</si>
  <si>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</si>
  <si>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</si>
  <si>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</si>
  <si>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</si>
  <si>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</si>
  <si>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</si>
  <si>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</si>
  <si>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</si>
  <si>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</si>
  <si>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</si>
  <si>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</si>
  <si>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</si>
  <si>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</si>
  <si>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</si>
  <si>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</si>
  <si>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</si>
  <si>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</si>
  <si>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</si>
  <si>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</si>
  <si>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</si>
  <si>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</si>
  <si>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</si>
  <si>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</si>
  <si>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</si>
  <si>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</si>
  <si>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</si>
  <si>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</si>
  <si>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</si>
  <si>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</si>
  <si>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</si>
  <si>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</si>
  <si>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</si>
  <si>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</si>
  <si>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</si>
  <si>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</si>
  <si>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</si>
  <si>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</si>
  <si>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</si>
  <si>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</si>
  <si>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</si>
  <si>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</si>
  <si>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</si>
  <si>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</si>
  <si>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</si>
  <si>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</si>
  <si>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</si>
  <si>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</si>
  <si>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</si>
  <si>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</si>
  <si>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</si>
  <si>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</si>
  <si>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</si>
  <si>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</si>
  <si>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</si>
  <si>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</si>
  <si>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</si>
  <si>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</si>
  <si>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</si>
  <si>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</si>
  <si>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</si>
  <si>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</si>
  <si>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</si>
  <si>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</si>
  <si>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</si>
  <si>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</si>
  <si>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</si>
  <si>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</si>
  <si>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</si>
  <si>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</si>
  <si>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</si>
  <si>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</si>
  <si>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</si>
  <si>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</si>
  <si>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</si>
  <si>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</si>
  <si>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</si>
  <si>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</si>
  <si>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</si>
  <si>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</si>
  <si>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</si>
  <si>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</si>
  <si>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</si>
  <si>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</si>
  <si>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</si>
  <si>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</si>
  <si>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</si>
  <si>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</si>
  <si>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</si>
  <si>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</si>
  <si>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</si>
  <si>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</si>
  <si>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</si>
  <si>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</si>
  <si>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</si>
  <si>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</si>
  <si>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</si>
  <si>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</si>
  <si>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</si>
  <si>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</si>
  <si>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</si>
  <si>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</si>
  <si>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</si>
  <si>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</si>
  <si>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</si>
  <si>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</si>
  <si>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</si>
  <si>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</si>
  <si>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</si>
  <si>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</si>
  <si>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</si>
  <si>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</si>
  <si>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</si>
  <si>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</si>
  <si>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</si>
  <si>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</si>
  <si>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</si>
  <si>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</si>
  <si>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</si>
  <si>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</si>
  <si>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</si>
  <si>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</si>
  <si>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</si>
  <si>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</si>
  <si>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</si>
  <si>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</si>
  <si>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</si>
  <si>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</si>
  <si>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</si>
  <si>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</si>
  <si>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</si>
  <si>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</si>
  <si>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</si>
  <si>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</si>
  <si>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</si>
  <si>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</si>
  <si>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</si>
  <si>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</si>
  <si>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</si>
  <si>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</si>
  <si>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</si>
  <si>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</si>
  <si>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</si>
  <si>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</si>
  <si>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</si>
  <si>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</si>
  <si>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</si>
  <si>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</si>
  <si>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</si>
  <si>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</si>
  <si>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</si>
  <si>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</si>
  <si>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</si>
  <si>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</si>
  <si>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</si>
  <si>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</si>
  <si>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</si>
  <si>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</si>
  <si>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</si>
  <si>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</si>
  <si>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</si>
  <si>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</si>
  <si>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</si>
  <si>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</si>
  <si>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</si>
  <si>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</si>
  <si>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</si>
  <si>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</si>
  <si>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</si>
  <si>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</si>
  <si>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</si>
  <si>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</si>
  <si>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</si>
  <si>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</si>
  <si>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</si>
  <si>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</si>
  <si>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</si>
  <si>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</si>
  <si>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</si>
  <si>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</si>
  <si>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</si>
  <si>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</si>
  <si>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</si>
  <si>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</si>
  <si>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</si>
  <si>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</si>
  <si>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</si>
  <si>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</si>
  <si>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</si>
  <si>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</si>
  <si>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</si>
  <si>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</si>
  <si>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</si>
  <si>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</si>
  <si>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</si>
  <si>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</si>
  <si>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</si>
  <si>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</si>
  <si>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</si>
  <si>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</si>
  <si>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</si>
  <si>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</si>
  <si>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</si>
  <si>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</si>
  <si>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</si>
  <si>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</si>
  <si>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</si>
  <si>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</si>
  <si>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</si>
  <si>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</si>
  <si>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</si>
  <si>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</si>
  <si>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</si>
  <si>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</si>
  <si>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</si>
  <si>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</si>
  <si>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</si>
  <si>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</si>
  <si>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</si>
  <si>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</si>
  <si>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</si>
  <si>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</si>
  <si>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</si>
  <si>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</si>
  <si>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</si>
  <si>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</si>
  <si>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</si>
  <si>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</si>
  <si>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</si>
  <si>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</si>
  <si>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</si>
  <si>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</si>
  <si>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</si>
  <si>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</si>
  <si>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</si>
  <si>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</si>
  <si>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</si>
  <si>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</si>
  <si>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</si>
  <si>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</si>
  <si>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</si>
  <si>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</si>
  <si>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</si>
  <si>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</si>
  <si>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</si>
  <si>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</si>
  <si>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</si>
  <si>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</si>
  <si>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</si>
  <si>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</si>
  <si>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</si>
  <si>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</si>
  <si>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</si>
  <si>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</si>
  <si>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</si>
  <si>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</si>
  <si>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</si>
  <si>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</si>
  <si>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</si>
  <si>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</si>
  <si>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</si>
  <si>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</si>
  <si>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</si>
  <si>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</si>
  <si>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</si>
  <si>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</si>
  <si>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</si>
  <si>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</si>
  <si>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</si>
  <si>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</si>
  <si>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</si>
  <si>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</si>
  <si>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</si>
  <si>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</si>
  <si>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</si>
  <si>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</si>
  <si>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</si>
  <si>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</si>
  <si>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</si>
  <si>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</si>
  <si>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</si>
  <si>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</si>
  <si>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</si>
  <si>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</si>
  <si>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</si>
  <si>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</si>
  <si>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</si>
  <si>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</si>
  <si>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</si>
  <si>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</si>
  <si>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</si>
  <si>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</si>
  <si>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</si>
  <si>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</si>
  <si>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</si>
  <si>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</si>
  <si>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</si>
  <si>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</si>
  <si>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</si>
  <si>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</si>
  <si>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</si>
  <si>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</si>
  <si>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</si>
  <si>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</si>
  <si>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</si>
  <si>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</si>
  <si>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</si>
  <si>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</si>
  <si>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</si>
  <si>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</si>
  <si>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</si>
  <si>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</si>
  <si>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</si>
  <si>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</si>
  <si>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</si>
  <si>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</si>
  <si>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</si>
  <si>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</si>
  <si>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</si>
  <si>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</si>
  <si>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</si>
  <si>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</si>
  <si>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</si>
  <si>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</si>
  <si>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</si>
  <si>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</si>
  <si>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</si>
  <si>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</si>
  <si>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</si>
  <si>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</si>
  <si>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</si>
  <si>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</si>
  <si>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</si>
  <si>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</si>
  <si>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</si>
  <si>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</si>
  <si>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</si>
  <si>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</si>
  <si>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</si>
  <si>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</si>
  <si>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</si>
  <si>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</si>
  <si>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</si>
  <si>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</si>
  <si>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</si>
  <si>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</si>
  <si>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</si>
  <si>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</si>
  <si>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</si>
  <si>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</si>
  <si>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</si>
  <si>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</si>
  <si>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</si>
  <si>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</si>
  <si>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</si>
  <si>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</si>
  <si>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</si>
  <si>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</si>
  <si>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</si>
  <si>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</si>
  <si>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</si>
  <si>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</si>
  <si>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</si>
  <si>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</si>
  <si>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</si>
  <si>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</si>
  <si>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</si>
  <si>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</si>
  <si>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</si>
  <si>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</si>
  <si>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</si>
  <si>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</si>
  <si>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</si>
  <si>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</si>
  <si>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</si>
  <si>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</si>
  <si>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</si>
  <si>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</si>
  <si>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</si>
  <si>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</si>
  <si>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</si>
  <si>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</si>
  <si>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</si>
  <si>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</si>
  <si>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</si>
  <si>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</si>
  <si>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</si>
  <si>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</si>
  <si>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</si>
  <si>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</si>
  <si>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</si>
  <si>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</si>
  <si>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</si>
  <si>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</si>
  <si>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</si>
  <si>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</si>
  <si>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</si>
  <si>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</si>
  <si>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</si>
  <si>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</si>
  <si>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</si>
  <si>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</si>
  <si>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</si>
  <si>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</si>
  <si>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</si>
  <si>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</si>
  <si>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</si>
  <si>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</si>
  <si>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</si>
  <si>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</si>
  <si>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</si>
  <si>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</si>
  <si>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</si>
  <si>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</si>
  <si>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</si>
  <si>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</si>
  <si>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</si>
  <si>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</si>
  <si>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</si>
  <si>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</si>
  <si>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</si>
  <si>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</si>
  <si>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</si>
  <si>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</si>
  <si>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</si>
  <si>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</si>
  <si>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</si>
  <si>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</si>
  <si>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</si>
  <si>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</si>
  <si>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</si>
  <si>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</si>
  <si>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</si>
  <si>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</si>
  <si>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</si>
  <si>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</si>
  <si>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</si>
  <si>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</si>
  <si>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</si>
  <si>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</si>
  <si>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</si>
  <si>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</si>
  <si>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</si>
  <si>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</si>
  <si>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</si>
  <si>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</si>
  <si>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</si>
  <si>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</si>
  <si>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</si>
  <si>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</si>
  <si>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</si>
  <si>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</si>
  <si>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</si>
  <si>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</si>
  <si>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</si>
  <si>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</si>
  <si>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</si>
  <si>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</si>
  <si>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</si>
  <si>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</si>
  <si>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</si>
  <si>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</si>
  <si>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</si>
  <si>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</si>
  <si>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</si>
  <si>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</si>
  <si>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</si>
  <si>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</si>
  <si>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</si>
  <si>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</si>
  <si>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</si>
  <si>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</si>
  <si>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</si>
  <si>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</si>
  <si>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</si>
  <si>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</si>
  <si>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</si>
  <si>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</si>
  <si>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</si>
  <si>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</si>
  <si>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</si>
  <si>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</si>
  <si>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</si>
  <si>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</si>
  <si>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</si>
  <si>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</si>
  <si>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</si>
  <si>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</si>
  <si>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</si>
  <si>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</si>
  <si>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</si>
  <si>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</si>
  <si>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</si>
  <si>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</si>
  <si>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</si>
  <si>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</si>
  <si>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</si>
  <si>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</si>
  <si>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</si>
  <si>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</si>
  <si>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</si>
  <si>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</si>
  <si>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</si>
  <si>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</si>
  <si>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</si>
  <si>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</si>
  <si>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</si>
  <si>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</si>
  <si>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</si>
  <si>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</si>
  <si>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</si>
  <si>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</si>
  <si>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</si>
  <si>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</si>
  <si>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</si>
  <si>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</si>
  <si>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</si>
  <si>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</si>
  <si>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</si>
  <si>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</si>
  <si>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</si>
  <si>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</si>
  <si>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</si>
  <si>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</si>
  <si>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</si>
  <si>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</si>
  <si>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</si>
  <si>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</si>
  <si>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</si>
  <si>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</si>
  <si>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</si>
  <si>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</si>
  <si>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</si>
  <si>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</si>
  <si>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</si>
  <si>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</si>
  <si>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</si>
  <si>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</si>
  <si>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</si>
  <si>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</si>
  <si>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</si>
  <si>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</si>
  <si>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</si>
  <si>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</si>
  <si>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</si>
  <si>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</si>
  <si>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</si>
  <si>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</si>
  <si>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</si>
  <si>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</si>
  <si>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</si>
  <si>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</si>
  <si>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</si>
  <si>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</si>
  <si>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</si>
  <si>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</si>
  <si>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</si>
  <si>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</si>
  <si>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</si>
  <si>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</si>
  <si>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</si>
  <si>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</si>
  <si>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</si>
  <si>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</si>
  <si>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</si>
  <si>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</si>
  <si>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</si>
  <si>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</si>
  <si>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</si>
  <si>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</si>
  <si>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</si>
  <si>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</si>
  <si>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</si>
  <si>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</si>
  <si>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</si>
  <si>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</si>
  <si>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</si>
  <si>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</si>
  <si>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</si>
  <si>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</si>
  <si>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</si>
  <si>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</si>
  <si>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</si>
  <si>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</si>
  <si>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</si>
  <si>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</si>
  <si>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</si>
  <si>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</si>
  <si>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</si>
  <si>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</si>
  <si>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</si>
  <si>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</si>
  <si>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</si>
  <si>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</si>
  <si>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</si>
  <si>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</si>
  <si>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</si>
  <si>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</si>
  <si>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</si>
  <si>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</si>
  <si>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</si>
  <si>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</si>
  <si>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</si>
  <si>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</si>
  <si>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</si>
  <si>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</si>
  <si>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</si>
  <si>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</si>
  <si>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</si>
  <si>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</si>
  <si>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</si>
  <si>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</si>
  <si>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</si>
  <si>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</si>
  <si>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</si>
  <si>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</si>
  <si>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</si>
  <si>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</si>
  <si>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</si>
  <si>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</si>
  <si>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</si>
  <si>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</si>
  <si>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</si>
  <si>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</si>
  <si>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</si>
  <si>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</si>
  <si>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</si>
  <si>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</si>
  <si>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</si>
  <si>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</si>
  <si>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</si>
  <si>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</si>
  <si>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</si>
  <si>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</si>
  <si>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</si>
  <si>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</si>
  <si>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</si>
  <si>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</si>
  <si>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</si>
  <si>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</si>
  <si>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</si>
  <si>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</si>
  <si>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</si>
  <si>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</si>
  <si>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</si>
  <si>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</si>
  <si>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</si>
  <si>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</si>
  <si>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</si>
  <si>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</si>
  <si>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</si>
  <si>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</si>
  <si>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</si>
  <si>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</si>
  <si>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</si>
  <si>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</si>
  <si>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</si>
  <si>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</si>
  <si>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</si>
  <si>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</si>
  <si>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</si>
  <si>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</si>
  <si>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</si>
  <si>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</si>
  <si>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</si>
  <si>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</si>
  <si>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</si>
  <si>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</si>
  <si>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</si>
  <si>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</si>
  <si>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</si>
  <si>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</si>
  <si>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</si>
  <si>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</si>
  <si>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</si>
  <si>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</si>
  <si>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</si>
  <si>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</si>
  <si>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</si>
  <si>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</si>
  <si>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</si>
  <si>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</si>
  <si>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</si>
  <si>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</si>
  <si>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</si>
  <si>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</si>
  <si>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</si>
  <si>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</si>
  <si>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</si>
  <si>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</si>
  <si>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</si>
  <si>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</si>
  <si>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</si>
  <si>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</si>
  <si>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</si>
  <si>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</si>
  <si>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</si>
  <si>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</si>
  <si>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</si>
  <si>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</si>
  <si>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</si>
  <si>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</si>
  <si>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</si>
  <si>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</si>
  <si>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</si>
  <si>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</si>
  <si>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</si>
  <si>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</si>
  <si>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</si>
  <si>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</si>
  <si>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</si>
  <si>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</si>
  <si>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</si>
  <si>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</si>
  <si>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</si>
  <si>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</si>
  <si>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</si>
  <si>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</si>
  <si>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</si>
  <si>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</si>
  <si>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</si>
  <si>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</si>
  <si>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</si>
  <si>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</si>
  <si>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</si>
  <si>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</si>
  <si>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</si>
  <si>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</si>
  <si>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</si>
  <si>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</si>
  <si>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</si>
  <si>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</si>
  <si>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</si>
  <si>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</si>
  <si>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</si>
  <si>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</si>
  <si>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</si>
  <si>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</si>
  <si>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</si>
  <si>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</si>
  <si>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</si>
  <si>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</si>
  <si>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</si>
  <si>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</si>
  <si>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</si>
  <si>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</si>
  <si>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</si>
  <si>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</si>
  <si>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</si>
  <si>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</si>
  <si>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</si>
  <si>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</si>
  <si>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</si>
  <si>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</si>
  <si>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</si>
  <si>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</si>
  <si>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</si>
  <si>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</si>
  <si>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</si>
  <si>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</si>
  <si>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</si>
  <si>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</si>
  <si>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</si>
  <si>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</si>
  <si>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</si>
  <si>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</si>
  <si>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</si>
  <si>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</si>
  <si>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</si>
  <si>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</si>
  <si>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</si>
  <si>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</si>
  <si>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</si>
  <si>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</si>
  <si>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</si>
  <si>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</si>
  <si>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</si>
  <si>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</si>
  <si>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</si>
  <si>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</si>
  <si>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</si>
  <si>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</si>
  <si>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</si>
  <si>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</si>
  <si>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</si>
  <si>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</si>
  <si>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</si>
  <si>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</si>
  <si>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</si>
  <si>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</si>
  <si>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</si>
  <si>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</si>
  <si>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</si>
  <si>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</si>
  <si>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</si>
  <si>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</si>
  <si>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</si>
  <si>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</si>
  <si>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</si>
  <si>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</si>
  <si>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</si>
  <si>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</si>
  <si>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</si>
  <si>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</si>
  <si>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</si>
  <si>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</si>
  <si>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</si>
  <si>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</si>
  <si>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</si>
  <si>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</si>
  <si>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</si>
  <si>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</si>
  <si>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</si>
  <si>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</si>
  <si>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</si>
  <si>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</si>
  <si>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</si>
  <si>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</si>
  <si>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</si>
  <si>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</si>
  <si>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</si>
  <si>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</si>
  <si>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</si>
  <si>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</si>
  <si>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</si>
  <si>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</si>
  <si>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</si>
  <si>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</si>
  <si>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</si>
  <si>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</si>
  <si>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</si>
  <si>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</si>
  <si>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</si>
  <si>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</si>
  <si>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</si>
  <si>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</si>
  <si>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</si>
  <si>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</si>
  <si>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</si>
  <si>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</si>
  <si>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</si>
  <si>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</si>
  <si>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</si>
  <si>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</si>
  <si>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</si>
  <si>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</si>
  <si>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</si>
  <si>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</si>
  <si>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</si>
  <si>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</si>
  <si>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</si>
  <si>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</si>
  <si>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</si>
  <si>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</si>
  <si>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</si>
  <si>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</si>
  <si>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</si>
  <si>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</si>
  <si>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</si>
  <si>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</si>
  <si>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</si>
  <si>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</si>
  <si>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</si>
  <si>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</si>
  <si>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</si>
  <si>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</si>
  <si>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</si>
  <si>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</si>
  <si>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</si>
  <si>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</si>
  <si>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</si>
  <si>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</si>
  <si>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</si>
  <si>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</si>
  <si>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</si>
  <si>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</si>
  <si>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</si>
  <si>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</si>
  <si>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</si>
  <si>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</si>
  <si>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</si>
  <si>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</si>
  <si>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</si>
  <si>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</si>
  <si>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</si>
  <si>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</si>
  <si>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</si>
  <si>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</si>
  <si>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</si>
  <si>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</si>
  <si>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</si>
  <si>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</si>
  <si>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</si>
  <si>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</si>
  <si>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</si>
  <si>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</si>
  <si>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</si>
  <si>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</si>
  <si>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</si>
  <si>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</si>
  <si>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</si>
  <si>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</si>
  <si>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</si>
  <si>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</si>
  <si>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</si>
  <si>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</si>
  <si>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</si>
  <si>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</si>
  <si>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</si>
  <si>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</si>
  <si>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</si>
  <si>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</si>
  <si>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</si>
  <si>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</si>
  <si>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</si>
  <si>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</si>
  <si>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</si>
  <si>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</si>
  <si>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</si>
  <si>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</si>
  <si>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</si>
  <si>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</si>
  <si>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</si>
  <si>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</si>
  <si>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</si>
  <si>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</si>
  <si>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</si>
  <si>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</si>
  <si>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</si>
  <si>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</si>
  <si>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</si>
  <si>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</si>
  <si>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</si>
  <si>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</si>
  <si>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</si>
  <si>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</si>
  <si>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</si>
  <si>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</si>
  <si>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</si>
  <si>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</si>
  <si>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</si>
  <si>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</si>
  <si>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</si>
  <si>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</si>
  <si>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</si>
  <si>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</si>
  <si>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</si>
  <si>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</si>
  <si>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</si>
  <si>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</si>
  <si>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</si>
  <si>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</si>
  <si>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</si>
  <si>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</si>
  <si>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</si>
  <si>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</si>
  <si>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</si>
  <si>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</si>
  <si>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</si>
  <si>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</si>
  <si>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</si>
  <si>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</si>
  <si>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</si>
  <si>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</si>
  <si>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</si>
  <si>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</si>
  <si>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</si>
  <si>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</si>
  <si>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</si>
  <si>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</si>
  <si>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</si>
  <si>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</si>
  <si>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</si>
  <si>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</si>
  <si>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</si>
  <si>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</si>
  <si>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</si>
  <si>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</si>
  <si>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</si>
  <si>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</si>
  <si>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</si>
  <si>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</si>
  <si>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</si>
  <si>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</si>
  <si>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</si>
  <si>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</si>
  <si>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</si>
  <si>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</si>
  <si>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</si>
  <si>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</si>
  <si>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</si>
  <si>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</si>
  <si>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</si>
  <si>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</si>
  <si>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</si>
  <si>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</si>
  <si>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</si>
  <si>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</si>
  <si>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</si>
  <si>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</si>
  <si>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</si>
  <si>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</si>
  <si>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</si>
  <si>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</si>
  <si>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</si>
  <si>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</si>
  <si>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</si>
  <si>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</si>
  <si>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</si>
  <si>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</si>
  <si>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</si>
  <si>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</si>
  <si>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</si>
  <si>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</si>
  <si>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</si>
  <si>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</si>
  <si>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</si>
  <si>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</si>
  <si>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</si>
  <si>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</si>
  <si>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</si>
  <si>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</si>
  <si>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</si>
  <si>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</si>
  <si>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</si>
  <si>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</si>
  <si>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</si>
  <si>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</si>
  <si>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</si>
  <si>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</si>
  <si>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</si>
  <si>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</si>
  <si>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</si>
  <si>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</si>
  <si>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</si>
  <si>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</si>
  <si>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</si>
  <si>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</si>
  <si>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</si>
  <si>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</si>
  <si>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</si>
  <si>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</si>
  <si>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</si>
  <si>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</si>
  <si>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</si>
  <si>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</si>
  <si>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</si>
  <si>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</si>
  <si>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</si>
  <si>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</si>
  <si>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</si>
  <si>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</si>
  <si>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</si>
  <si>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</si>
  <si>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</si>
  <si>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</si>
  <si>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</si>
  <si>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</si>
  <si>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</si>
  <si>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</si>
  <si>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</si>
  <si>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</si>
  <si>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</si>
  <si>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</si>
  <si>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</si>
  <si>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</si>
  <si>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</si>
  <si>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</si>
  <si>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</si>
  <si>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</si>
  <si>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</si>
  <si>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</si>
  <si>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</si>
  <si>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</si>
  <si>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</si>
  <si>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</si>
  <si>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</si>
  <si>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</si>
  <si>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</si>
  <si>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</si>
  <si>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</si>
  <si>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</si>
  <si>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</si>
  <si>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</si>
  <si>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</si>
  <si>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</si>
  <si>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</si>
  <si>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</si>
  <si>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</si>
  <si>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</si>
  <si>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</si>
  <si>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</si>
  <si>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</si>
  <si>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</si>
  <si>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</si>
  <si>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</si>
  <si>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</si>
  <si>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</si>
  <si>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</si>
  <si>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</si>
  <si>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</si>
  <si>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</si>
  <si>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</si>
  <si>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</si>
  <si>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</si>
  <si>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</si>
  <si>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</si>
  <si>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</si>
  <si>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</si>
  <si>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</si>
  <si>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</si>
  <si>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</si>
  <si>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</si>
  <si>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</si>
  <si>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</si>
  <si>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</si>
  <si>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</si>
  <si>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</si>
  <si>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</si>
  <si>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</si>
  <si>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</si>
  <si>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</si>
  <si>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</si>
  <si>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</si>
  <si>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</si>
  <si>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</si>
  <si>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</si>
  <si>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</si>
  <si>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</si>
  <si>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</si>
  <si>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</si>
  <si>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</si>
  <si>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</si>
  <si>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</si>
  <si>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</si>
  <si>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</si>
  <si>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</si>
  <si>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</si>
  <si>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</si>
  <si>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</si>
  <si>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</si>
  <si>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</si>
  <si>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</si>
  <si>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</si>
  <si>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</si>
  <si>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</si>
  <si>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</si>
  <si>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</si>
  <si>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</si>
  <si>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</si>
  <si>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</si>
  <si>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</si>
  <si>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</si>
  <si>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</si>
  <si>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</si>
  <si>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</si>
  <si>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</si>
  <si>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</si>
  <si>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</si>
  <si>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</si>
  <si>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</si>
  <si>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</si>
  <si>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</si>
  <si>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</si>
  <si>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</si>
  <si>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</si>
  <si>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</si>
  <si>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</si>
  <si>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</si>
  <si>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</si>
  <si>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</si>
  <si>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</si>
  <si>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</si>
  <si>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</si>
  <si>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</si>
  <si>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</si>
  <si>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</si>
  <si>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</si>
  <si>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</si>
  <si>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</si>
  <si>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</si>
  <si>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</si>
  <si>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</si>
  <si>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</si>
  <si>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</si>
  <si>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</si>
  <si>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</si>
  <si>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</si>
  <si>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</si>
  <si>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</si>
  <si>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</si>
  <si>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</si>
  <si>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</si>
  <si>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</si>
  <si>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</si>
  <si>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</si>
  <si>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</si>
  <si>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</si>
  <si>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</si>
  <si>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</si>
  <si>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</si>
  <si>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</si>
  <si>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</si>
  <si>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</si>
  <si>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</si>
  <si>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</si>
  <si>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</si>
  <si>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</si>
  <si>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</si>
  <si>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</si>
  <si>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</si>
  <si>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</si>
  <si>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</si>
  <si>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</si>
  <si>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</si>
  <si>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</si>
  <si>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</si>
  <si>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</si>
  <si>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</si>
  <si>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</si>
  <si>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</si>
  <si>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</si>
  <si>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</si>
  <si>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</si>
  <si>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</si>
  <si>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</si>
  <si>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</si>
  <si>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</si>
  <si>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</si>
  <si>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</si>
  <si>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</si>
  <si>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</si>
  <si>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</si>
  <si>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</si>
  <si>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</si>
  <si>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</si>
  <si>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</si>
  <si>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</si>
  <si>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</si>
  <si>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</si>
  <si>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</si>
  <si>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</si>
  <si>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</si>
  <si>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</si>
  <si>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</si>
  <si>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</si>
  <si>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</si>
  <si>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</si>
  <si>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</si>
  <si>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</si>
  <si>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</si>
  <si>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</si>
  <si>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</si>
  <si>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</si>
  <si>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</si>
  <si>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</si>
  <si>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</si>
  <si>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</si>
  <si>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</si>
  <si>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</si>
  <si>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</si>
  <si>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</si>
  <si>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</si>
  <si>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</si>
  <si>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</si>
  <si>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</si>
  <si>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</si>
  <si>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</si>
  <si>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</si>
  <si>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</si>
  <si>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</si>
  <si>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</si>
  <si>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</si>
  <si>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</si>
  <si>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</si>
  <si>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</si>
  <si>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</si>
  <si>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</si>
  <si>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</si>
  <si>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</si>
  <si>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</si>
  <si>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</si>
  <si>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</si>
  <si>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</si>
  <si>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</si>
  <si>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</si>
  <si>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</si>
  <si>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</si>
  <si>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</si>
  <si>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</si>
  <si>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</si>
  <si>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</si>
  <si>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</si>
  <si>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</si>
  <si>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</si>
  <si>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</si>
  <si>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</si>
  <si>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</si>
  <si>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</si>
  <si>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</si>
  <si>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</si>
  <si>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</si>
  <si>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</si>
  <si>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</si>
  <si>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</si>
  <si>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</si>
  <si>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</si>
  <si>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</si>
  <si>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</si>
  <si>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</si>
  <si>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</si>
  <si>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</si>
  <si>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</si>
  <si>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</si>
  <si>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</si>
  <si>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</si>
  <si>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</si>
  <si>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</si>
  <si>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</si>
  <si>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</si>
  <si>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</si>
  <si>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</si>
  <si>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</si>
  <si>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</si>
  <si>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</si>
  <si>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</si>
  <si>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</si>
  <si>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</si>
  <si>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</si>
  <si>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</si>
  <si>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</si>
  <si>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</si>
  <si>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</si>
  <si>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</si>
  <si>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</si>
  <si>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</si>
  <si>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</si>
  <si>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</si>
  <si>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</si>
  <si>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</si>
  <si>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</si>
  <si>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</si>
  <si>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</si>
  <si>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</si>
  <si>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</si>
  <si>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</si>
  <si>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</si>
  <si>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</si>
  <si>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</si>
  <si>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</si>
  <si>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</si>
  <si>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</si>
  <si>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</si>
  <si>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</si>
  <si>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</si>
  <si>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</si>
  <si>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</si>
  <si>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</si>
  <si>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</si>
  <si>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</si>
  <si>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</si>
  <si>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</si>
  <si>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</si>
  <si>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</si>
  <si>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</si>
  <si>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</si>
  <si>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</si>
  <si>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</si>
  <si>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</si>
  <si>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</si>
  <si>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</si>
  <si>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</si>
  <si>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</si>
  <si>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</si>
  <si>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</si>
  <si>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</si>
  <si>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</si>
  <si>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</si>
  <si>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</si>
  <si>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</si>
  <si>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</si>
  <si>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</si>
  <si>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</si>
  <si>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</si>
  <si>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</si>
  <si>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</si>
  <si>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</si>
  <si>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</si>
  <si>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</si>
  <si>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</si>
  <si>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</si>
  <si>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</si>
  <si>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</si>
  <si>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</si>
  <si>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</si>
  <si>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</si>
  <si>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</si>
  <si>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</si>
  <si>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</si>
  <si>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</si>
  <si>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</si>
  <si>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</si>
  <si>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</si>
  <si>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</si>
  <si>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</si>
  <si>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</si>
  <si>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</si>
  <si>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</si>
  <si>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</si>
  <si>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</si>
  <si>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</si>
  <si>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</si>
  <si>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</si>
  <si>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</si>
  <si>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</si>
  <si>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</si>
  <si>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</si>
  <si>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</si>
  <si>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</si>
  <si>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</si>
  <si>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</si>
  <si>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</si>
  <si>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</si>
  <si>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</si>
  <si>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</si>
  <si>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</si>
  <si>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</si>
  <si>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</si>
  <si>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</si>
  <si>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</si>
  <si>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</si>
  <si>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</si>
  <si>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</si>
  <si>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</si>
  <si>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</si>
  <si>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</si>
  <si>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</si>
  <si>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</si>
  <si>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</si>
  <si>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</si>
  <si>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</si>
  <si>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</si>
  <si>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</si>
  <si>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</si>
  <si>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</si>
  <si>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</si>
  <si>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</si>
  <si>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</si>
  <si>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</si>
  <si>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</si>
  <si>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</si>
  <si>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</si>
  <si>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</si>
  <si>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</si>
  <si>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</si>
  <si>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</si>
  <si>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</si>
  <si>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</si>
  <si>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</si>
  <si>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</si>
  <si>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</si>
  <si>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</si>
  <si>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</si>
  <si>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</si>
  <si>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</si>
  <si>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</si>
  <si>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</si>
  <si>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</si>
  <si>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</si>
  <si>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</si>
  <si>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</si>
  <si>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</si>
  <si>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</si>
  <si>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</si>
  <si>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</si>
  <si>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</si>
  <si>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</si>
  <si>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</si>
  <si>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</si>
  <si>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</si>
  <si>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</si>
  <si>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</si>
  <si>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</si>
  <si>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</si>
  <si>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</si>
  <si>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</si>
  <si>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</si>
  <si>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</si>
  <si>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</si>
  <si>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</si>
  <si>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</si>
  <si>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</si>
  <si>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</si>
  <si>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</si>
  <si>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</si>
  <si>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</si>
  <si>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</si>
  <si>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</si>
  <si>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</si>
  <si>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</si>
  <si>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</si>
  <si>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</si>
  <si>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</si>
  <si>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</si>
  <si>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</si>
  <si>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</si>
  <si>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</si>
  <si>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</si>
  <si>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</si>
  <si>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</si>
  <si>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</si>
  <si>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</si>
  <si>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</si>
  <si>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</si>
  <si>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</si>
  <si>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</si>
  <si>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</si>
  <si>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</si>
  <si>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</si>
  <si>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</si>
  <si>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</si>
  <si>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</si>
  <si>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</si>
  <si>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</si>
  <si>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</si>
  <si>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</si>
  <si>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</si>
  <si>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</si>
  <si>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</si>
  <si>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</si>
  <si>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</si>
  <si>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</si>
  <si>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</si>
  <si>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</si>
  <si>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</si>
  <si>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</si>
  <si>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</si>
  <si>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</si>
  <si>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</si>
  <si>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</si>
  <si>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</si>
  <si>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</si>
  <si>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</si>
  <si>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</si>
  <si>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</si>
  <si>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</si>
  <si>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</si>
  <si>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</si>
  <si>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</si>
  <si>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</si>
  <si>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</si>
  <si>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</si>
  <si>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</si>
  <si>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</si>
  <si>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</si>
  <si>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</si>
  <si>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</si>
  <si>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</si>
  <si>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</si>
  <si>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</si>
  <si>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</si>
  <si>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</si>
  <si>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</si>
  <si>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</si>
  <si>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</si>
  <si>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</si>
  <si>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</si>
  <si>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</si>
  <si>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</si>
  <si>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</si>
  <si>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</si>
  <si>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</si>
  <si>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</si>
  <si>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</si>
  <si>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</si>
  <si>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</si>
  <si>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</si>
  <si>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</si>
  <si>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</si>
  <si>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</si>
  <si>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</si>
  <si>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</si>
  <si>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</si>
  <si>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</si>
  <si>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</si>
  <si>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</si>
  <si>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</si>
  <si>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</si>
  <si>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</si>
  <si>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</si>
  <si>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</si>
  <si>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</si>
  <si>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</si>
  <si>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</si>
  <si>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</si>
  <si>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</si>
  <si>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</si>
  <si>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</si>
  <si>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</si>
  <si>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</si>
  <si>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</si>
  <si>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</si>
  <si>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</si>
  <si>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</si>
  <si>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</si>
  <si>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</si>
  <si>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</si>
  <si>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</si>
  <si>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</si>
  <si>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</si>
  <si>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</si>
  <si>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</si>
  <si>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</si>
  <si>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</si>
  <si>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</si>
  <si>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</si>
  <si>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</si>
  <si>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</si>
  <si>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</si>
  <si>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</si>
  <si>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</si>
  <si>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</si>
  <si>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</si>
  <si>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</si>
  <si>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</si>
  <si>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</si>
  <si>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</si>
  <si>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</si>
  <si>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</si>
  <si>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</si>
  <si>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</si>
  <si>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</si>
  <si>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</si>
  <si>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</si>
  <si>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</si>
  <si>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</si>
  <si>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</si>
  <si>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</si>
  <si>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</si>
  <si>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</si>
  <si>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</si>
  <si>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</si>
  <si>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</si>
  <si>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</si>
  <si>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</si>
  <si>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</si>
  <si>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</si>
  <si>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</si>
  <si>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</si>
  <si>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</si>
  <si>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</si>
  <si>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</si>
  <si>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</si>
  <si>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</si>
  <si>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</si>
  <si>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</si>
  <si>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</si>
  <si>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</si>
  <si>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</si>
  <si>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</si>
  <si>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</si>
  <si>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</si>
  <si>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</si>
  <si>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</si>
  <si>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</si>
  <si>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</si>
  <si>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</si>
  <si>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</si>
  <si>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</si>
  <si>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</si>
  <si>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</si>
  <si>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</si>
  <si>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</si>
  <si>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</si>
  <si>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</si>
  <si>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</si>
  <si>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</si>
  <si>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</si>
  <si>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</si>
  <si>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</si>
  <si>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</si>
  <si>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</si>
  <si>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</si>
  <si>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</si>
  <si>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</si>
  <si>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</si>
  <si>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</si>
  <si>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</si>
  <si>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</si>
  <si>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</si>
  <si>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</si>
  <si>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</si>
  <si>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</si>
  <si>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</si>
  <si>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</si>
  <si>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</si>
  <si>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</si>
  <si>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</si>
  <si>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</si>
  <si>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</si>
  <si>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</si>
  <si>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</si>
  <si>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</si>
  <si>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</si>
  <si>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</si>
  <si>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</si>
  <si>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</si>
  <si>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</si>
  <si>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</si>
  <si>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</si>
  <si>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</si>
  <si>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</si>
  <si>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</si>
  <si>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</si>
  <si>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</si>
  <si>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</si>
  <si>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</si>
  <si>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</si>
  <si>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</si>
  <si>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</si>
  <si>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</si>
  <si>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</si>
  <si>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</si>
  <si>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</si>
  <si>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</si>
  <si>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</si>
  <si>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</si>
  <si>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</si>
  <si>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</si>
  <si>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</si>
  <si>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</si>
  <si>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</si>
  <si>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</si>
  <si>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</si>
  <si>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</si>
  <si>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</si>
  <si>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</si>
  <si>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</si>
  <si>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</si>
  <si>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</si>
  <si>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</si>
  <si>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</si>
  <si>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</si>
  <si>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</si>
  <si>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</si>
  <si>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</si>
  <si>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</si>
  <si>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</si>
  <si>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</si>
  <si>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</si>
  <si>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</si>
  <si>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</si>
  <si>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</si>
  <si>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</si>
  <si>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</si>
  <si>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</si>
  <si>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</si>
  <si>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</si>
  <si>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</si>
  <si>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</si>
  <si>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</si>
  <si>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</si>
  <si>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</si>
  <si>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</si>
  <si>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</si>
  <si>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</si>
  <si>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</si>
  <si>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</si>
  <si>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</si>
  <si>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</si>
  <si>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</si>
  <si>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</si>
  <si>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</si>
  <si>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</si>
  <si>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</si>
  <si>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</si>
  <si>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</si>
  <si>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</si>
  <si>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</si>
  <si>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</si>
  <si>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</si>
  <si>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</si>
  <si>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</si>
  <si>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</si>
  <si>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</si>
  <si>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</si>
  <si>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</si>
  <si>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</si>
  <si>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</si>
  <si>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</si>
  <si>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</si>
  <si>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</si>
  <si>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</si>
  <si>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</si>
  <si>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</si>
  <si>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</si>
  <si>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</si>
  <si>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</si>
  <si>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</si>
  <si>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</si>
  <si>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</si>
  <si>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</si>
  <si>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</si>
  <si>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</si>
  <si>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</si>
  <si>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</si>
  <si>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</si>
  <si>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</si>
  <si>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</si>
  <si>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</si>
  <si>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</si>
  <si>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</si>
  <si>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</si>
  <si>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</si>
  <si>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</si>
  <si>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</si>
  <si>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</si>
  <si>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</si>
  <si>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</si>
  <si>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</si>
  <si>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</si>
  <si>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</si>
  <si>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</si>
  <si>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</si>
  <si>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</si>
  <si>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</si>
  <si>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</si>
  <si>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</si>
  <si>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</si>
  <si>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</si>
  <si>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</si>
  <si>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</si>
  <si>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</si>
  <si>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</si>
  <si>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</si>
  <si>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</si>
  <si>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</si>
  <si>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</si>
  <si>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</si>
  <si>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</si>
  <si>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</si>
  <si>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</si>
  <si>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</si>
  <si>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</si>
  <si>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</si>
  <si>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</si>
  <si>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</si>
  <si>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</si>
  <si>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</si>
  <si>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</si>
  <si>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</si>
  <si>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</si>
  <si>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</si>
  <si>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</si>
  <si>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</si>
  <si>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</si>
  <si>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</si>
  <si>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</si>
  <si>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</si>
  <si>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</si>
  <si>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</si>
  <si>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</si>
  <si>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</si>
  <si>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</si>
  <si>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</si>
  <si>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</si>
  <si>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</si>
  <si>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</si>
  <si>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</si>
  <si>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</si>
  <si>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</si>
  <si>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</si>
  <si>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</si>
  <si>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</si>
  <si>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</si>
  <si>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</si>
  <si>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</si>
  <si>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</si>
  <si>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</si>
  <si>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</si>
  <si>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</si>
  <si>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</si>
  <si>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</si>
  <si>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</si>
  <si>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</si>
  <si>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</si>
  <si>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</si>
  <si>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</si>
  <si>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</si>
  <si>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</si>
  <si>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</si>
  <si>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</si>
  <si>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</si>
  <si>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</si>
  <si>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</si>
  <si>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</si>
  <si>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</si>
  <si>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</si>
  <si>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</si>
  <si>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</si>
  <si>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</si>
  <si>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</si>
  <si>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</si>
  <si>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</si>
  <si>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</si>
  <si>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</si>
  <si>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</si>
  <si>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</si>
  <si>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</si>
  <si>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</si>
  <si>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</si>
  <si>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</si>
  <si>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</si>
  <si>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</si>
  <si>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</si>
  <si>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</si>
  <si>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</si>
  <si>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</si>
  <si>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</si>
  <si>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</si>
  <si>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</si>
  <si>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</si>
  <si>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</si>
  <si>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</si>
  <si>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</si>
  <si>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</si>
  <si>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</si>
  <si>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</si>
  <si>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</si>
  <si>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</si>
  <si>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</si>
  <si>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</si>
  <si>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</si>
  <si>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</si>
  <si>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</si>
  <si>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</si>
  <si>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</si>
  <si>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</si>
  <si>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</si>
  <si>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</si>
  <si>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</si>
  <si>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</si>
  <si>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</si>
  <si>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</si>
  <si>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</si>
  <si>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</si>
  <si>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</si>
  <si>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</si>
  <si>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</si>
  <si>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</si>
  <si>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</si>
  <si>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</si>
  <si>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</si>
  <si>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</si>
  <si>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</si>
  <si>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</si>
  <si>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</si>
  <si>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</si>
  <si>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</si>
  <si>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</si>
  <si>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</si>
  <si>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</si>
  <si>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</si>
  <si>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</si>
  <si>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</si>
  <si>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</si>
  <si>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</si>
  <si>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</si>
  <si>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</si>
  <si>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</si>
  <si>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</si>
  <si>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</si>
  <si>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</si>
  <si>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</si>
  <si>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</si>
  <si>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</si>
  <si>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</si>
  <si>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</si>
  <si>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</si>
  <si>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</si>
  <si>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</si>
  <si>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</si>
  <si>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</si>
  <si>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</si>
  <si>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</si>
  <si>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</si>
  <si>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</si>
  <si>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</si>
  <si>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</si>
  <si>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</si>
  <si>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</si>
  <si>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</si>
  <si>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</si>
  <si>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</si>
  <si>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</si>
  <si>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</si>
  <si>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</si>
  <si>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</si>
  <si>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</si>
  <si>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</si>
  <si>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</si>
  <si>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</si>
  <si>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</si>
  <si>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</si>
  <si>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</si>
  <si>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</si>
  <si>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</si>
  <si>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</si>
  <si>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</si>
  <si>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</si>
  <si>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</si>
  <si>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</si>
  <si>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</si>
  <si>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</si>
  <si>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</si>
  <si>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</si>
  <si>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</si>
  <si>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</si>
  <si>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</si>
  <si>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</si>
  <si>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</si>
  <si>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</si>
  <si>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</si>
  <si>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</si>
  <si>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</si>
  <si>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</si>
  <si>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</si>
  <si>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</si>
  <si>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</si>
  <si>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</si>
  <si>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</si>
  <si>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</si>
  <si>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</si>
  <si>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</si>
  <si>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</si>
  <si>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</si>
  <si>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</si>
  <si>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</si>
  <si>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</si>
  <si>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</si>
  <si>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</si>
  <si>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</si>
  <si>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</si>
  <si>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</si>
  <si>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</si>
  <si>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</si>
  <si>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</si>
  <si>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</si>
  <si>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</si>
  <si>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</si>
  <si>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</si>
  <si>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</si>
  <si>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</si>
  <si>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</si>
  <si>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</si>
  <si>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</si>
  <si>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</si>
  <si>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</si>
  <si>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</si>
  <si>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</si>
  <si>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</si>
  <si>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</si>
  <si>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</si>
  <si>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</si>
  <si>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</si>
  <si>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</si>
  <si>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</si>
  <si>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</si>
  <si>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</si>
  <si>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</si>
  <si>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</si>
  <si>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</si>
  <si>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</si>
  <si>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</si>
  <si>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</si>
  <si>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</si>
  <si>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</si>
  <si>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</si>
  <si>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</si>
  <si>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</si>
  <si>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</si>
  <si>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</si>
  <si>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</si>
  <si>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</si>
  <si>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</si>
  <si>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</si>
  <si>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</si>
  <si>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</si>
  <si>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</si>
  <si>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</si>
  <si>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</si>
  <si>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</si>
  <si>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</si>
  <si>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</si>
  <si>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</si>
  <si>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</si>
  <si>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</si>
  <si>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</si>
  <si>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</si>
  <si>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</si>
  <si>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</si>
  <si>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</si>
  <si>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</si>
  <si>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</si>
  <si>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</si>
  <si>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</si>
  <si>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</si>
  <si>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</si>
  <si>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</si>
  <si>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</si>
  <si>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</si>
  <si>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</si>
  <si>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</si>
  <si>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</si>
  <si>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</si>
  <si>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</si>
  <si>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</si>
  <si>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</si>
  <si>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</si>
  <si>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</si>
  <si>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</si>
  <si>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</si>
  <si>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</si>
  <si>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</si>
  <si>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</si>
  <si>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</si>
  <si>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</si>
  <si>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</si>
  <si>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</si>
  <si>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</si>
  <si>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</si>
  <si>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</si>
  <si>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</si>
  <si>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</si>
  <si>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</si>
  <si>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</si>
  <si>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</si>
  <si>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</si>
  <si>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</si>
  <si>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</si>
  <si>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</si>
  <si>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</si>
  <si>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</si>
  <si>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</si>
  <si>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</si>
  <si>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</si>
  <si>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</si>
  <si>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</si>
  <si>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</si>
  <si>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</si>
  <si>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</si>
  <si>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</si>
  <si>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</si>
  <si>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</si>
  <si>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</si>
  <si>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</si>
  <si>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</si>
  <si>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</si>
  <si>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</si>
  <si>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</si>
  <si>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</si>
  <si>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</si>
  <si>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</si>
  <si>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</si>
  <si>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</si>
  <si>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</si>
  <si>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</si>
  <si>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</si>
  <si>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</si>
  <si>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</si>
  <si>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</si>
  <si>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</si>
  <si>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</si>
  <si>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</si>
  <si>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</si>
  <si>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</si>
  <si>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</si>
  <si>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</si>
  <si>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</si>
  <si>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</si>
  <si>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</si>
  <si>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</si>
  <si>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</si>
  <si>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</si>
  <si>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</si>
  <si>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</si>
  <si>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</si>
  <si>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</si>
  <si>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</si>
  <si>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</si>
  <si>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</si>
  <si>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</si>
  <si>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</si>
  <si>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</si>
  <si>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</si>
  <si>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</si>
  <si>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</si>
  <si>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</si>
  <si>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</si>
  <si>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</si>
  <si>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</si>
  <si>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</si>
  <si>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</si>
  <si>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</si>
  <si>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</si>
  <si>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</si>
  <si>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</si>
  <si>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</si>
  <si>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</si>
  <si>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</si>
  <si>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</si>
  <si>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</si>
  <si>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</si>
  <si>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</si>
  <si>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</si>
  <si>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</si>
  <si>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</si>
  <si>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</si>
  <si>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</si>
  <si>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</si>
  <si>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</si>
  <si>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</si>
  <si>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</si>
  <si>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</si>
  <si>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</si>
  <si>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</si>
  <si>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</si>
  <si>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</si>
  <si>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</si>
  <si>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</si>
  <si>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</si>
  <si>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</si>
  <si>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</si>
  <si>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</si>
  <si>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</si>
  <si>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</si>
  <si>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</si>
  <si>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</si>
  <si>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</si>
  <si>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</si>
  <si>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</si>
  <si>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</si>
  <si>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</si>
  <si>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</si>
  <si>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</si>
  <si>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</si>
  <si>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</si>
  <si>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</si>
  <si>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</si>
  <si>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</si>
  <si>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</si>
  <si>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</si>
  <si>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</si>
  <si>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</si>
  <si>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</si>
  <si>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</si>
  <si>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</si>
  <si>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</si>
  <si>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</si>
  <si>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</si>
  <si>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</si>
  <si>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</si>
  <si>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</si>
  <si>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</si>
  <si>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</si>
  <si>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</si>
  <si>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</si>
  <si>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</si>
  <si>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</si>
  <si>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</si>
  <si>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</si>
  <si>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</si>
  <si>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</si>
  <si>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</si>
  <si>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</si>
  <si>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</si>
  <si>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</si>
  <si>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</si>
  <si>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</si>
  <si>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</si>
  <si>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</si>
  <si>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</si>
  <si>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</si>
  <si>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</si>
  <si>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</si>
  <si>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</si>
  <si>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</si>
  <si>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</si>
  <si>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</si>
  <si>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</si>
  <si>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</si>
  <si>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</si>
  <si>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</si>
  <si>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</si>
  <si>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</si>
  <si>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</si>
  <si>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</si>
  <si>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</si>
  <si>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</si>
  <si>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</si>
  <si>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</si>
  <si>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</si>
  <si>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</si>
  <si>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</si>
  <si>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</si>
  <si>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</si>
  <si>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</si>
  <si>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</si>
  <si>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</si>
  <si>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</si>
  <si>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</si>
  <si>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</si>
  <si>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</si>
  <si>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</si>
  <si>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</si>
  <si>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</si>
  <si>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</si>
  <si>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</si>
  <si>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</si>
  <si>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</si>
  <si>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</si>
  <si>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</si>
  <si>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</si>
  <si>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</si>
  <si>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</si>
  <si>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</si>
  <si>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</si>
  <si>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</si>
  <si>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</si>
  <si>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</si>
  <si>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</si>
  <si>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</si>
  <si>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</si>
  <si>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</si>
  <si>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</si>
  <si>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</si>
  <si>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</si>
  <si>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</si>
  <si>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</si>
  <si>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</si>
  <si>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</si>
  <si>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</si>
  <si>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</si>
  <si>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</si>
  <si>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</si>
  <si>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</si>
  <si>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</si>
  <si>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</si>
  <si>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</si>
  <si>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</si>
  <si>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</si>
  <si>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</si>
  <si>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</si>
  <si>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</si>
  <si>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</si>
  <si>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</si>
  <si>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</si>
  <si>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</si>
  <si>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</si>
  <si>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</si>
  <si>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</si>
  <si>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</si>
  <si>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</si>
  <si>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</si>
  <si>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</si>
  <si>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</si>
  <si>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</si>
  <si>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</si>
  <si>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</si>
  <si>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</si>
  <si>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</si>
  <si>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</si>
  <si>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</si>
  <si>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</si>
  <si>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</si>
  <si>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</si>
  <si>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</si>
  <si>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</si>
  <si>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</si>
  <si>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</si>
  <si>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</si>
  <si>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</si>
  <si>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</si>
  <si>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</si>
  <si>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</si>
  <si>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</si>
  <si>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</si>
  <si>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</si>
  <si>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</si>
  <si>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</si>
  <si>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</si>
  <si>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</si>
  <si>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</si>
  <si>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</si>
  <si>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</si>
  <si>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</si>
  <si>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</si>
  <si>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</si>
  <si>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</si>
  <si>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</si>
  <si>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</si>
  <si>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</si>
  <si>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</si>
  <si>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</si>
  <si>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</si>
  <si>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</si>
  <si>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</si>
  <si>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</si>
  <si>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</si>
  <si>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</si>
  <si>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</si>
  <si>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</si>
  <si>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</si>
  <si>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</si>
  <si>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</si>
  <si>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</si>
  <si>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</si>
  <si>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</si>
  <si>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</si>
  <si>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</si>
  <si>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</si>
  <si>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</si>
  <si>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</si>
  <si>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</si>
  <si>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</si>
  <si>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</si>
  <si>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</si>
  <si>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</si>
  <si>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</si>
  <si>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</si>
  <si>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</si>
  <si>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</si>
  <si>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</si>
  <si>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</si>
  <si>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</si>
  <si>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</si>
  <si>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</si>
  <si>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</si>
  <si>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</si>
  <si>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</si>
  <si>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</si>
  <si>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</si>
  <si>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</si>
  <si>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</si>
  <si>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</si>
  <si>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</si>
  <si>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</si>
  <si>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</si>
  <si>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</si>
  <si>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</si>
  <si>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</si>
  <si>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</si>
  <si>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</si>
  <si>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</si>
  <si>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</si>
  <si>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</si>
  <si>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</si>
  <si>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</si>
  <si>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</si>
  <si>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</si>
  <si>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</si>
  <si>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</si>
  <si>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</si>
  <si>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</si>
  <si>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</si>
  <si>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</si>
  <si>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</si>
  <si>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</si>
  <si>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</si>
  <si>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</si>
  <si>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</si>
  <si>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</si>
  <si>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</si>
  <si>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</si>
  <si>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</si>
  <si>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</si>
  <si>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</si>
  <si>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</si>
  <si>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</si>
  <si>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</si>
  <si>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</si>
  <si>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</si>
  <si>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</si>
  <si>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</si>
  <si>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</si>
  <si>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</si>
  <si>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</si>
  <si>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</si>
  <si>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</si>
  <si>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</si>
  <si>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</si>
  <si>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</si>
  <si>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</si>
  <si>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</si>
  <si>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</si>
  <si>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</si>
  <si>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</si>
  <si>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</si>
  <si>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</si>
  <si>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</si>
  <si>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</si>
  <si>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</si>
  <si>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</si>
  <si>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</si>
  <si>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</si>
  <si>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</si>
  <si>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</si>
  <si>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</si>
  <si>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</si>
  <si>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</si>
  <si>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</si>
  <si>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</si>
  <si>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</si>
  <si>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</si>
  <si>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</si>
  <si>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</si>
  <si>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</si>
  <si>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</si>
  <si>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</si>
  <si>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</si>
  <si>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</si>
  <si>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</si>
  <si>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</si>
  <si>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</si>
  <si>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</si>
  <si>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</si>
  <si>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</si>
  <si>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</si>
  <si>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</si>
  <si>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</si>
  <si>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</si>
  <si>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</si>
  <si>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</si>
  <si>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</si>
  <si>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</si>
  <si>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</si>
  <si>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</si>
  <si>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</si>
  <si>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</si>
  <si>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</si>
  <si>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</si>
  <si>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</si>
  <si>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</si>
  <si>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</si>
  <si>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</si>
  <si>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</si>
  <si>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</si>
  <si>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</si>
  <si>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</si>
  <si>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</si>
  <si>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</si>
  <si>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</si>
  <si>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</si>
  <si>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</si>
  <si>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</si>
  <si>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</si>
  <si>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</si>
  <si>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</si>
  <si>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</si>
  <si>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</si>
  <si>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</si>
  <si>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</si>
  <si>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</si>
  <si>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</si>
  <si>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</si>
  <si>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</si>
  <si>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</si>
  <si>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</si>
  <si>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</si>
  <si>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</si>
  <si>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</si>
  <si>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</si>
  <si>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</si>
  <si>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</si>
  <si>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</si>
  <si>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</si>
  <si>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</si>
  <si>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</si>
  <si>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</si>
  <si>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</si>
  <si>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</si>
  <si>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</si>
  <si>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</si>
  <si>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</si>
  <si>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</si>
  <si>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</si>
  <si>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</si>
  <si>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</si>
  <si>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</si>
  <si>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</si>
  <si>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</si>
  <si>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</si>
  <si>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</si>
  <si>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</si>
  <si>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</si>
  <si>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</si>
  <si>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</si>
  <si>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</si>
  <si>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</si>
  <si>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</si>
  <si>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</si>
  <si>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</si>
  <si>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</si>
  <si>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</si>
  <si>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</si>
  <si>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</si>
  <si>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</si>
  <si>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</si>
  <si>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</si>
  <si>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</si>
  <si>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</si>
  <si>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</si>
  <si>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</si>
  <si>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</si>
  <si>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</si>
  <si>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</si>
  <si>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</si>
  <si>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</si>
  <si>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</si>
  <si>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</si>
  <si>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</si>
  <si>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</si>
  <si>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</si>
  <si>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</si>
  <si>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</si>
  <si>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</si>
  <si>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</si>
  <si>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</si>
  <si>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</si>
  <si>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</si>
  <si>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</si>
  <si>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</si>
  <si>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</si>
  <si>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</si>
  <si>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</si>
  <si>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</si>
  <si>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</si>
  <si>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</si>
  <si>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</si>
  <si>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</si>
  <si>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</si>
  <si>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</si>
  <si>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</si>
  <si>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</si>
  <si>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</si>
  <si>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</si>
  <si>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</si>
  <si>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</si>
  <si>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</si>
  <si>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</si>
  <si>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</si>
  <si>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</si>
  <si>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</si>
  <si>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</si>
  <si>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</si>
  <si>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</si>
  <si>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</si>
  <si>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</si>
  <si>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</si>
  <si>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</si>
  <si>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</si>
  <si>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</si>
  <si>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</si>
  <si>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</si>
  <si>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</si>
  <si>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</si>
  <si>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</si>
  <si>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</si>
  <si>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</si>
  <si>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</si>
  <si>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</si>
  <si>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</si>
  <si>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</si>
  <si>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</si>
  <si>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</si>
  <si>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</si>
  <si>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</si>
  <si>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</si>
  <si>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</si>
  <si>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</si>
  <si>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</si>
  <si>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</si>
  <si>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</si>
  <si>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</si>
  <si>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</si>
  <si>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</si>
  <si>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</si>
  <si>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</si>
  <si>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</si>
  <si>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</si>
  <si>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</si>
  <si>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</si>
  <si>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</si>
  <si>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</si>
  <si>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</si>
  <si>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</si>
  <si>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</si>
  <si>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</si>
  <si>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</si>
  <si>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</si>
  <si>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</si>
  <si>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</si>
  <si>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</si>
  <si>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</si>
  <si>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</si>
  <si>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</si>
  <si>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</si>
  <si>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</si>
  <si>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</si>
  <si>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</si>
  <si>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</si>
  <si>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</si>
  <si>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</si>
  <si>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</si>
  <si>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</si>
  <si>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</si>
  <si>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</si>
  <si>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</si>
  <si>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</si>
  <si>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</si>
  <si>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</si>
  <si>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</si>
  <si>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</si>
  <si>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</si>
  <si>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</si>
  <si>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</si>
  <si>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</si>
  <si>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</si>
  <si>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</si>
  <si>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</si>
  <si>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</si>
  <si>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</si>
  <si>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</si>
  <si>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</si>
  <si>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</si>
  <si>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</si>
  <si>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</si>
  <si>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</si>
  <si>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</si>
  <si>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</si>
  <si>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</si>
  <si>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</si>
  <si>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</si>
  <si>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</si>
  <si>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</si>
  <si>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</si>
  <si>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</si>
  <si>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</si>
  <si>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</si>
  <si>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</si>
  <si>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</si>
  <si>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</si>
  <si>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</si>
  <si>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</si>
  <si>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</si>
  <si>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</si>
  <si>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</si>
  <si>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</si>
  <si>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</si>
  <si>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</si>
  <si>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</si>
  <si>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</si>
  <si>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</si>
  <si>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</si>
  <si>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</si>
  <si>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</si>
  <si>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</si>
  <si>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</si>
  <si>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</si>
  <si>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</si>
  <si>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</si>
  <si>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</si>
  <si>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</si>
  <si>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</si>
  <si>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</si>
  <si>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</si>
  <si>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</si>
  <si>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</si>
  <si>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</si>
  <si>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</si>
  <si>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</si>
  <si>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</si>
  <si>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</si>
  <si>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</si>
  <si>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</si>
  <si>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</si>
  <si>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</si>
  <si>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</si>
  <si>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</si>
  <si>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</si>
  <si>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</si>
  <si>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</si>
  <si>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</si>
  <si>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</si>
  <si>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</si>
  <si>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</si>
  <si>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</si>
  <si>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</si>
  <si>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</si>
  <si>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</si>
  <si>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</si>
  <si>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</si>
  <si>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</si>
  <si>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</si>
  <si>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</si>
  <si>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</si>
  <si>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</si>
  <si>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</si>
  <si>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</si>
  <si>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</si>
  <si>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</si>
  <si>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</si>
  <si>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</si>
  <si>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</si>
  <si>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</si>
  <si>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</si>
  <si>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</si>
  <si>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</si>
  <si>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</si>
  <si>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</si>
  <si>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</si>
  <si>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</si>
  <si>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</si>
  <si>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</si>
  <si>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</si>
  <si>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</si>
  <si>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</si>
  <si>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</si>
  <si>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</si>
  <si>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</si>
  <si>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</si>
  <si>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</si>
  <si>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</si>
  <si>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</si>
  <si>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</si>
  <si>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</si>
  <si>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</si>
  <si>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</si>
  <si>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</si>
  <si>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</si>
  <si>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</si>
  <si>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</si>
  <si>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</si>
  <si>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</si>
  <si>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</si>
  <si>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</si>
  <si>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</si>
  <si>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</si>
  <si>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</si>
  <si>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</si>
  <si>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</si>
  <si>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</si>
  <si>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</si>
  <si>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</si>
  <si>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</si>
  <si>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</si>
  <si>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</si>
  <si>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</si>
  <si>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</si>
  <si>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</si>
  <si>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</si>
  <si>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</si>
  <si>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</si>
  <si>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</si>
  <si>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</si>
  <si>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</si>
  <si>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</si>
  <si>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</si>
  <si>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</si>
  <si>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</si>
  <si>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</si>
  <si>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</si>
  <si>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</si>
  <si>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</si>
  <si>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</si>
  <si>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</si>
  <si>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</si>
  <si>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</si>
  <si>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</si>
  <si>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</si>
  <si>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</si>
  <si>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</si>
  <si>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</si>
  <si>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</si>
  <si>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</si>
  <si>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</si>
  <si>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</si>
  <si>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</si>
  <si>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</si>
  <si>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</si>
  <si>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</si>
  <si>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</si>
  <si>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</si>
  <si>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</si>
  <si>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</si>
  <si>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</si>
  <si>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</si>
  <si>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</si>
  <si>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</si>
  <si>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</si>
  <si>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</si>
  <si>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</si>
  <si>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</si>
  <si>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</si>
  <si>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</si>
  <si>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</si>
  <si>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</si>
  <si>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</si>
  <si>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</si>
  <si>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</si>
  <si>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</si>
  <si>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</si>
  <si>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</si>
  <si>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</si>
  <si>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</si>
  <si>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</si>
  <si>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</si>
  <si>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</si>
  <si>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</si>
  <si>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</si>
  <si>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</si>
  <si>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</si>
  <si>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</si>
  <si>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</si>
  <si>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</si>
  <si>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</si>
  <si>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</si>
  <si>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</si>
  <si>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</si>
  <si>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</si>
  <si>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</si>
  <si>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</si>
  <si>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</si>
  <si>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</si>
  <si>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</si>
  <si>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</si>
  <si>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</si>
  <si>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</si>
  <si>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</si>
  <si>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</si>
  <si>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</si>
  <si>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</si>
  <si>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</si>
  <si>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</si>
  <si>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</si>
  <si>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</si>
  <si>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</si>
  <si>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</si>
  <si>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</si>
  <si>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</si>
  <si>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</si>
  <si>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</si>
  <si>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</si>
  <si>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</si>
  <si>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</si>
  <si>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</si>
  <si>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</si>
  <si>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</si>
  <si>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</si>
  <si>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</si>
  <si>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</si>
  <si>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</si>
  <si>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</si>
  <si>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</si>
  <si>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</si>
  <si>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</si>
  <si>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</si>
  <si>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</si>
  <si>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</si>
  <si>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</si>
  <si>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</si>
  <si>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</si>
  <si>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</si>
  <si>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</si>
  <si>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</si>
  <si>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</si>
  <si>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</si>
  <si>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</si>
  <si>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</si>
  <si>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</si>
  <si>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</si>
  <si>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</si>
  <si>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</si>
  <si>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</si>
  <si>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</si>
  <si>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</si>
  <si>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</si>
  <si>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</si>
  <si>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</si>
  <si>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</si>
  <si>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</si>
  <si>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</si>
  <si>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</si>
  <si>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</si>
  <si>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</si>
  <si>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</si>
  <si>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</si>
  <si>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</si>
  <si>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</si>
  <si>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</si>
  <si>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</si>
  <si>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</si>
  <si>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</si>
  <si>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</si>
  <si>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</si>
  <si>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</si>
  <si>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</si>
  <si>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</si>
  <si>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</si>
  <si>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</si>
  <si>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</si>
  <si>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</si>
  <si>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</si>
  <si>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</si>
  <si>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</si>
  <si>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</si>
  <si>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</si>
  <si>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</si>
  <si>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</si>
  <si>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</si>
  <si>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</si>
  <si>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</si>
  <si>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</si>
  <si>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</si>
  <si>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</si>
  <si>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</si>
  <si>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</si>
  <si>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</si>
  <si>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</si>
  <si>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</si>
  <si>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</si>
  <si>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</si>
  <si>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</si>
  <si>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</si>
  <si>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</si>
  <si>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</si>
  <si>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</si>
  <si>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</si>
  <si>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</si>
  <si>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</si>
  <si>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</si>
  <si>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</si>
  <si>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</si>
  <si>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</si>
  <si>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</si>
  <si>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</si>
  <si>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</si>
  <si>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</si>
  <si>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</si>
  <si>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</si>
  <si>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</si>
  <si>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</si>
  <si>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</si>
  <si>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</si>
  <si>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</si>
  <si>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</si>
  <si>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</si>
  <si>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</si>
  <si>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</si>
  <si>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</si>
  <si>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</si>
  <si>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</si>
  <si>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</si>
  <si>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</si>
  <si>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</si>
  <si>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</si>
  <si>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</si>
  <si>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</si>
  <si>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</si>
  <si>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</si>
  <si>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</si>
  <si>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</si>
  <si>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</si>
  <si>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</si>
  <si>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</si>
  <si>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</si>
  <si>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</si>
  <si>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</si>
  <si>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</si>
  <si>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</si>
  <si>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</si>
  <si>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</si>
  <si>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</si>
  <si>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</si>
  <si>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</si>
  <si>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</si>
  <si>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</si>
  <si>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</si>
  <si>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</si>
  <si>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</si>
  <si>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</si>
  <si>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</si>
  <si>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</si>
  <si>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</si>
  <si>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</si>
  <si>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</si>
  <si>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</si>
  <si>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</si>
  <si>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</si>
  <si>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</si>
  <si>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</si>
  <si>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</si>
  <si>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</si>
  <si>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</si>
  <si>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</si>
  <si>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</si>
  <si>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</si>
  <si>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</si>
  <si>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</si>
  <si>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</si>
  <si>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</si>
  <si>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</si>
  <si>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</si>
  <si>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</si>
  <si>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</si>
  <si>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</si>
  <si>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</si>
  <si>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</si>
  <si>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</si>
  <si>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</si>
  <si>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</si>
  <si>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</si>
  <si>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</si>
  <si>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</si>
  <si>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</si>
  <si>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</si>
  <si>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</si>
  <si>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</si>
  <si>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</si>
  <si>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</si>
  <si>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</si>
  <si>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</si>
  <si>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</si>
  <si>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</si>
  <si>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</si>
  <si>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</si>
  <si>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</si>
  <si>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</si>
  <si>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</si>
  <si>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</si>
  <si>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</si>
  <si>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</si>
  <si>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</si>
  <si>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</si>
  <si>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</si>
  <si>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</si>
  <si>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</si>
  <si>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</si>
  <si>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</si>
  <si>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</si>
  <si>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</si>
  <si>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</si>
  <si>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</si>
  <si>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</si>
  <si>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</si>
  <si>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</si>
  <si>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</si>
  <si>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</si>
  <si>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</si>
  <si>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</si>
  <si>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</si>
  <si>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</si>
  <si>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</si>
  <si>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</si>
  <si>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</si>
  <si>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</si>
  <si>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</si>
  <si>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</si>
  <si>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</si>
  <si>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</si>
  <si>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</si>
  <si>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</si>
  <si>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</si>
  <si>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</si>
  <si>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</si>
  <si>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</si>
  <si>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</si>
  <si>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</si>
  <si>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</si>
  <si>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</si>
  <si>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</si>
  <si>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</si>
  <si>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</si>
  <si>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</si>
  <si>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</si>
  <si>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</si>
  <si>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</si>
  <si>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</si>
  <si>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</si>
  <si>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</si>
  <si>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</si>
  <si>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</si>
  <si>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</si>
  <si>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</si>
  <si>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</si>
  <si>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</si>
  <si>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</si>
  <si>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</si>
  <si>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</si>
  <si>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</si>
  <si>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</si>
  <si>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</si>
  <si>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</si>
  <si>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</si>
  <si>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</si>
  <si>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</si>
  <si>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</si>
  <si>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</si>
  <si>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</si>
  <si>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</si>
  <si>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</si>
  <si>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</si>
  <si>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</si>
  <si>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</si>
  <si>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</si>
  <si>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</si>
  <si>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</si>
  <si>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</si>
  <si>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</si>
  <si>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</si>
  <si>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</si>
  <si>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</si>
  <si>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</si>
  <si>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</si>
  <si>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</si>
  <si>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</si>
  <si>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</si>
  <si>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</si>
  <si>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</si>
  <si>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</si>
  <si>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</si>
  <si>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</si>
  <si>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</si>
  <si>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</si>
  <si>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</si>
  <si>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</si>
  <si>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</si>
  <si>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</si>
  <si>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</si>
  <si>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</si>
  <si>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</si>
  <si>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</si>
  <si>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</si>
  <si>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</si>
  <si>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</si>
  <si>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</si>
  <si>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</si>
  <si>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</si>
  <si>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</si>
  <si>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</si>
  <si>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</si>
  <si>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</si>
  <si>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</si>
  <si>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</si>
  <si>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</si>
  <si>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</si>
  <si>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</si>
  <si>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</si>
  <si>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</si>
  <si>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</si>
  <si>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</si>
  <si>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</si>
  <si>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</si>
  <si>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</si>
  <si>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</si>
  <si>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</si>
  <si>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</si>
  <si>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</si>
  <si>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</si>
  <si>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</si>
  <si>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</si>
  <si>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</si>
  <si>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</si>
  <si>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</si>
  <si>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</si>
  <si>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</si>
  <si>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</si>
  <si>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</si>
  <si>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</si>
  <si>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</si>
  <si>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</si>
  <si>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</si>
  <si>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</si>
  <si>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</si>
  <si>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</si>
  <si>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</si>
  <si>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</si>
  <si>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</si>
  <si>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</si>
  <si>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</si>
  <si>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</si>
  <si>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</si>
  <si>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</si>
  <si>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</si>
  <si>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</si>
  <si>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</si>
  <si>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</si>
  <si>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</si>
  <si>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</si>
  <si>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</si>
  <si>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</si>
  <si>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</si>
  <si>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</si>
  <si>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</si>
  <si>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</si>
  <si>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</si>
  <si>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</si>
  <si>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</si>
  <si>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</si>
  <si>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</si>
  <si>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</si>
  <si>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</si>
  <si>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</si>
  <si>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</si>
  <si>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</si>
  <si>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</si>
  <si>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</si>
  <si>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</si>
  <si>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</si>
  <si>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</si>
  <si>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</si>
  <si>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</si>
  <si>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</si>
  <si>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</si>
  <si>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</si>
  <si>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</si>
  <si>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</si>
  <si>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</si>
  <si>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</si>
  <si>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</si>
  <si>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</si>
  <si>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</si>
  <si>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</si>
  <si>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</si>
  <si>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</si>
  <si>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</si>
  <si>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</si>
  <si>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</si>
  <si>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</si>
  <si>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</si>
  <si>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</si>
  <si>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</si>
  <si>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</si>
  <si>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</si>
  <si>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</si>
  <si>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</si>
  <si>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</si>
  <si>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</si>
  <si>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</si>
  <si>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</si>
  <si>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</si>
  <si>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</si>
  <si>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</si>
  <si>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</si>
  <si>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</si>
  <si>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</si>
  <si>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</si>
  <si>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</si>
  <si>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</si>
  <si>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</si>
  <si>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</si>
  <si>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</si>
  <si>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</si>
  <si>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</si>
  <si>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</si>
  <si>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</si>
  <si>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</si>
  <si>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</si>
  <si>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</si>
  <si>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</si>
  <si>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</si>
  <si>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</si>
  <si>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</si>
  <si>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</si>
  <si>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</si>
  <si>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</si>
  <si>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</si>
  <si>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</si>
  <si>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</si>
  <si>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</si>
  <si>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</si>
  <si>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</si>
  <si>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</si>
  <si>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</si>
  <si>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</si>
  <si>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</si>
  <si>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</si>
  <si>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</si>
  <si>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</si>
  <si>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</si>
  <si>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</si>
  <si>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</si>
  <si>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</si>
  <si>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</si>
  <si>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</si>
  <si>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</si>
  <si>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</si>
  <si>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</si>
  <si>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</si>
  <si>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</si>
  <si>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</si>
  <si>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</si>
  <si>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</si>
  <si>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</si>
  <si>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</si>
  <si>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</si>
  <si>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</si>
  <si>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</si>
  <si>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</si>
  <si>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</si>
  <si>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</si>
  <si>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</si>
  <si>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</si>
  <si>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</si>
  <si>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</si>
  <si>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</si>
  <si>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</si>
  <si>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</si>
  <si>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</si>
  <si>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</si>
  <si>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</si>
  <si>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</si>
  <si>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</si>
  <si>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</si>
  <si>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</si>
  <si>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</si>
  <si>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</si>
  <si>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</si>
  <si>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</si>
  <si>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</si>
  <si>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</si>
  <si>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</si>
  <si>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</si>
  <si>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</si>
  <si>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</si>
  <si>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</si>
  <si>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</si>
  <si>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</si>
  <si>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</si>
  <si>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</si>
  <si>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</si>
  <si>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</si>
  <si>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</si>
  <si>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</si>
  <si>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</si>
  <si>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</si>
  <si>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</si>
  <si>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</si>
  <si>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</si>
  <si>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</si>
  <si>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</si>
  <si>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</si>
  <si>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</si>
  <si>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</si>
  <si>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</si>
  <si>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</si>
  <si>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</si>
  <si>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</si>
  <si>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</si>
  <si>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</si>
  <si>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</si>
  <si>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</si>
  <si>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</si>
  <si>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</si>
  <si>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</si>
  <si>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</si>
  <si>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</si>
  <si>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</si>
  <si>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</si>
  <si>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</si>
  <si>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</si>
  <si>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</si>
  <si>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</si>
  <si>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</si>
  <si>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</si>
  <si>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</si>
  <si>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</si>
  <si>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</si>
  <si>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</si>
  <si>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</si>
  <si>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</si>
  <si>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</si>
  <si>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</si>
  <si>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</si>
  <si>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</si>
  <si>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</si>
  <si>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</si>
  <si>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</si>
  <si>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</si>
  <si>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</si>
  <si>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</si>
  <si>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</si>
  <si>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</si>
  <si>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</si>
  <si>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</si>
  <si>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</si>
  <si>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</si>
  <si>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</si>
  <si>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</si>
  <si>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</si>
  <si>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</si>
  <si>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</si>
  <si>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</si>
  <si>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</si>
  <si>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</si>
  <si>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</si>
  <si>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</si>
  <si>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</si>
  <si>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</si>
  <si>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</si>
  <si>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</si>
  <si>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</si>
  <si>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</si>
  <si>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</si>
  <si>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</si>
  <si>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</si>
  <si>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</si>
  <si>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</si>
  <si>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</si>
  <si>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</si>
  <si>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</si>
  <si>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</si>
  <si>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</si>
  <si>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</si>
  <si>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</si>
  <si>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</si>
  <si>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</si>
  <si>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</si>
  <si>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</si>
  <si>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</si>
  <si>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</si>
  <si>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</si>
  <si>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</si>
  <si>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</si>
  <si>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</si>
  <si>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</si>
  <si>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</si>
  <si>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</si>
  <si>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</si>
  <si>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</si>
  <si>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</si>
  <si>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</si>
  <si>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</si>
  <si>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</si>
  <si>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</si>
  <si>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</si>
  <si>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</si>
  <si>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</si>
  <si>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</si>
  <si>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</si>
  <si>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</si>
  <si>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</si>
  <si>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</si>
  <si>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</si>
  <si>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</si>
  <si>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</si>
  <si>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</si>
  <si>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</si>
  <si>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</si>
  <si>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</si>
  <si>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</si>
  <si>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</si>
  <si>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</si>
  <si>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</si>
  <si>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</si>
  <si>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</si>
  <si>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</si>
  <si>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</si>
  <si>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</si>
  <si>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</si>
  <si>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</si>
  <si>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</si>
  <si>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</si>
  <si>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</si>
  <si>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</si>
  <si>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</si>
  <si>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</si>
  <si>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</si>
  <si>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</si>
  <si>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</si>
  <si>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</si>
  <si>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</si>
  <si>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</si>
  <si>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</si>
  <si>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</si>
  <si>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</si>
  <si>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</si>
  <si>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</si>
  <si>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</si>
  <si>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</si>
  <si>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</si>
  <si>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</si>
  <si>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</si>
  <si>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</si>
  <si>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</si>
  <si>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</si>
  <si>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</si>
  <si>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</si>
  <si>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</si>
  <si>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</si>
  <si>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</si>
  <si>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</si>
  <si>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</si>
  <si>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</si>
  <si>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</si>
  <si>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</si>
  <si>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</si>
  <si>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</si>
  <si>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</si>
  <si>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</si>
  <si>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</si>
  <si>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</si>
  <si>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</si>
  <si>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</si>
  <si>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</si>
  <si>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</si>
  <si>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</si>
  <si>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</si>
  <si>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</si>
  <si>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</si>
  <si>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</si>
  <si>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</si>
  <si>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</si>
  <si>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</si>
  <si>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</si>
  <si>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</si>
  <si>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</si>
  <si>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</si>
  <si>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</si>
  <si>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</si>
  <si>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</si>
  <si>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</si>
  <si>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</si>
  <si>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</si>
  <si>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</si>
  <si>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</si>
  <si>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</si>
  <si>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</si>
  <si>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</si>
  <si>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</si>
  <si>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</si>
  <si>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</si>
  <si>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</si>
  <si>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</si>
  <si>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</si>
  <si>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</si>
  <si>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</si>
  <si>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</si>
  <si>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</si>
  <si>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</si>
  <si>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</si>
  <si>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</si>
  <si>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</si>
  <si>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</si>
  <si>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</si>
  <si>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</si>
  <si>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</si>
  <si>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</si>
  <si>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</si>
  <si>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</si>
  <si>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</si>
  <si>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</si>
  <si>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</si>
  <si>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</si>
  <si>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</si>
  <si>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</si>
  <si>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</si>
  <si>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</si>
  <si>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</si>
  <si>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</si>
  <si>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</si>
  <si>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</si>
  <si>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</si>
  <si>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</si>
  <si>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</si>
  <si>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</si>
  <si>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</si>
  <si>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</si>
  <si>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</si>
  <si>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</si>
  <si>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</si>
  <si>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</si>
  <si>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</si>
  <si>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</si>
  <si>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</si>
  <si>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</si>
  <si>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</si>
  <si>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</si>
  <si>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</si>
  <si>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</si>
  <si>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</si>
  <si>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</si>
  <si>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</si>
  <si>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</si>
  <si>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</si>
  <si>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</si>
  <si>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</si>
  <si>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</si>
  <si>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</si>
  <si>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</si>
  <si>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</si>
  <si>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</si>
  <si>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</si>
  <si>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</si>
  <si>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</si>
  <si>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</si>
  <si>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</si>
  <si>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</si>
  <si>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</si>
  <si>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</si>
  <si>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</si>
  <si>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</si>
  <si>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</si>
  <si>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</si>
  <si>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</si>
  <si>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</si>
  <si>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</si>
  <si>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</si>
  <si>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</si>
  <si>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</si>
  <si>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</si>
  <si>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</si>
  <si>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</si>
  <si>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</si>
  <si>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</si>
  <si>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</si>
  <si>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</si>
  <si>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</si>
  <si>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</si>
  <si>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</si>
  <si>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</si>
  <si>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</si>
  <si>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</si>
  <si>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</si>
  <si>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</si>
  <si>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</si>
  <si>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</si>
  <si>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</si>
  <si>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</si>
  <si>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</si>
  <si>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</si>
  <si>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</si>
  <si>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</si>
  <si>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</si>
  <si>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</si>
  <si>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</si>
  <si>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</si>
  <si>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</si>
  <si>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</si>
  <si>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</si>
  <si>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</si>
  <si>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</si>
  <si>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</si>
  <si>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</si>
  <si>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</si>
  <si>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</si>
  <si>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</si>
  <si>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</si>
  <si>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</si>
  <si>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</si>
  <si>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</si>
  <si>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</si>
  <si>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</si>
  <si>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</si>
  <si>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</si>
  <si>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</si>
  <si>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</si>
  <si>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</si>
  <si>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</si>
  <si>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</si>
  <si>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</si>
  <si>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</si>
  <si>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</si>
  <si>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</si>
  <si>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</si>
  <si>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</si>
  <si>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</si>
  <si>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</si>
  <si>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</si>
  <si>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</si>
  <si>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</si>
  <si>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</si>
  <si>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</si>
  <si>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</si>
  <si>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</si>
  <si>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</si>
  <si>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</si>
  <si>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</si>
  <si>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</si>
  <si>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</si>
  <si>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</si>
  <si>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</si>
  <si>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</si>
  <si>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</si>
  <si>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</si>
  <si>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</si>
  <si>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</si>
  <si>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</si>
  <si>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</si>
  <si>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</si>
  <si>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</si>
  <si>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</si>
  <si>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</si>
  <si>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</si>
  <si>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</si>
  <si>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</si>
  <si>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</si>
  <si>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</si>
  <si>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</si>
  <si>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</si>
  <si>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</si>
  <si>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</si>
  <si>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</si>
  <si>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</si>
  <si>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</si>
  <si>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</si>
  <si>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</si>
  <si>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</si>
  <si>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</si>
  <si>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</si>
  <si>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</si>
  <si>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</si>
  <si>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</si>
  <si>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</si>
  <si>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</si>
  <si>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</si>
  <si>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</si>
  <si>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</si>
  <si>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</si>
  <si>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</si>
  <si>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</si>
  <si>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</si>
  <si>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</si>
  <si>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</si>
  <si>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</si>
  <si>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</si>
  <si>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</si>
  <si>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</si>
  <si>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</si>
  <si>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</si>
  <si>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</si>
  <si>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</si>
  <si>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</si>
  <si>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</si>
  <si>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</si>
  <si>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</si>
  <si>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</si>
  <si>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</si>
  <si>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</si>
  <si>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</si>
  <si>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</si>
  <si>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</si>
  <si>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</si>
  <si>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</si>
  <si>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</si>
  <si>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</si>
  <si>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</si>
  <si>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</si>
  <si>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</si>
  <si>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</si>
  <si>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</si>
  <si>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</si>
  <si>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</si>
  <si>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</si>
  <si>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</si>
  <si>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</si>
  <si>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</si>
  <si>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</si>
  <si>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</si>
  <si>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</si>
  <si>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</si>
  <si>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</si>
  <si>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</si>
  <si>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</si>
  <si>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</si>
  <si>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</si>
  <si>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</si>
  <si>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</si>
  <si>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</si>
  <si>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</si>
  <si>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</si>
  <si>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</si>
  <si>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</si>
  <si>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</si>
  <si>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</si>
  <si>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</si>
  <si>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</si>
  <si>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</si>
  <si>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</si>
  <si>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</si>
  <si>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</si>
  <si>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</si>
  <si>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</si>
  <si>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</si>
  <si>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</si>
  <si>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</si>
  <si>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</si>
  <si>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</si>
  <si>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</si>
  <si>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</si>
  <si>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</si>
  <si>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</si>
  <si>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</si>
  <si>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</si>
  <si>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</si>
  <si>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</si>
  <si>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</si>
  <si>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</si>
  <si>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</si>
  <si>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</si>
  <si>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</si>
  <si>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</si>
  <si>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</si>
  <si>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</si>
  <si>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</si>
  <si>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</si>
  <si>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</si>
  <si>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</si>
  <si>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</si>
  <si>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</si>
  <si>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</si>
  <si>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</si>
  <si>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</si>
  <si>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</si>
  <si>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</si>
  <si>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</si>
  <si>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</si>
  <si>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</si>
  <si>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</si>
  <si>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</si>
  <si>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</si>
  <si>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</si>
  <si>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</si>
  <si>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</si>
  <si>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</si>
  <si>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</si>
  <si>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</si>
  <si>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</si>
  <si>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</si>
  <si>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</si>
  <si>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</si>
  <si>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</si>
  <si>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</si>
  <si>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</si>
  <si>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</si>
  <si>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</si>
  <si>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</si>
  <si>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</si>
  <si>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</si>
  <si>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</si>
  <si>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</si>
  <si>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</si>
  <si>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</si>
  <si>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</si>
  <si>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</si>
  <si>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</si>
  <si>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</si>
  <si>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</si>
  <si>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</si>
  <si>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</si>
  <si>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</si>
  <si>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</si>
  <si>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</si>
  <si>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</si>
  <si>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</si>
  <si>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</si>
  <si>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</si>
  <si>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</si>
  <si>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</si>
  <si>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</si>
  <si>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</si>
  <si>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</si>
  <si>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</si>
  <si>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</si>
  <si>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</si>
  <si>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</si>
  <si>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</si>
  <si>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</si>
  <si>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</si>
  <si>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</si>
  <si>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</si>
  <si>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</si>
  <si>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</si>
  <si>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</si>
  <si>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</si>
  <si>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</si>
  <si>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</si>
  <si>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</si>
  <si>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</si>
  <si>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</si>
  <si>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</si>
  <si>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</si>
  <si>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</si>
  <si>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</si>
  <si>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</si>
  <si>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</si>
  <si>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</si>
  <si>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</si>
  <si>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</si>
  <si>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</si>
  <si>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</si>
  <si>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</si>
  <si>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</si>
  <si>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</si>
  <si>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</si>
  <si>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</si>
  <si>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</si>
  <si>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</si>
  <si>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</si>
  <si>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</si>
  <si>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</si>
  <si>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</si>
  <si>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</si>
  <si>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</si>
  <si>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</si>
  <si>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</si>
  <si>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</si>
  <si>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</si>
  <si>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</si>
  <si>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</si>
  <si>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</si>
  <si>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</si>
  <si>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</si>
  <si>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</si>
  <si>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</si>
  <si>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</si>
  <si>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</si>
  <si>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</si>
  <si>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</si>
  <si>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</si>
  <si>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</si>
  <si>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</si>
  <si>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</si>
  <si>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</si>
  <si>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</si>
  <si>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</si>
  <si>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</si>
  <si>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</si>
  <si>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</si>
  <si>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</si>
  <si>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</si>
  <si>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</si>
  <si>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</si>
  <si>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</si>
  <si>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</si>
  <si>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</si>
  <si>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</si>
  <si>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</si>
  <si>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</si>
  <si>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</si>
  <si>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</si>
  <si>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</si>
  <si>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</si>
  <si>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</si>
  <si>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</si>
  <si>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</si>
  <si>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</si>
  <si>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</si>
  <si>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</si>
  <si>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</si>
  <si>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</si>
  <si>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</si>
  <si>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</si>
  <si>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</si>
  <si>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</si>
  <si>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</si>
  <si>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</si>
  <si>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</si>
  <si>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</si>
  <si>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</si>
  <si>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</si>
  <si>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</si>
  <si>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</si>
  <si>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</si>
  <si>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</si>
  <si>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</si>
  <si>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</si>
  <si>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</si>
  <si>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</si>
  <si>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</si>
  <si>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</si>
  <si>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</si>
  <si>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</si>
  <si>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</si>
  <si>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</si>
  <si>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</si>
  <si>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</si>
  <si>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</si>
  <si>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</si>
  <si>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</si>
  <si>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</si>
  <si>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</si>
  <si>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</si>
  <si>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</si>
  <si>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</si>
  <si>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</si>
  <si>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</si>
  <si>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</si>
  <si>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</si>
  <si>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</si>
  <si>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</si>
  <si>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</si>
  <si>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</si>
  <si>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</si>
  <si>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</si>
  <si>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</si>
  <si>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</si>
  <si>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</si>
  <si>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</si>
  <si>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</si>
  <si>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</si>
  <si>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</si>
  <si>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</si>
  <si>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</si>
  <si>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</si>
  <si>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</si>
  <si>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</si>
  <si>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</si>
  <si>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</si>
  <si>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</si>
  <si>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</si>
  <si>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</si>
  <si>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</si>
  <si>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</si>
  <si>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</si>
  <si>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</si>
  <si>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</si>
  <si>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</si>
  <si>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</si>
  <si>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</si>
  <si>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</si>
  <si>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</si>
  <si>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</si>
  <si>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</si>
  <si>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</si>
  <si>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</si>
  <si>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</si>
  <si>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</si>
  <si>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</si>
  <si>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</si>
  <si>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</si>
  <si>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</si>
  <si>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</si>
  <si>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</si>
  <si>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</si>
  <si>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</si>
  <si>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</si>
  <si>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</si>
  <si>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</si>
  <si>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</si>
  <si>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</si>
  <si>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</si>
  <si>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</si>
  <si>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</si>
  <si>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</si>
  <si>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</si>
  <si>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</si>
  <si>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</si>
  <si>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</si>
  <si>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</si>
  <si>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</si>
  <si>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</si>
  <si>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</si>
  <si>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</si>
  <si>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</si>
  <si>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</si>
  <si>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</si>
  <si>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</si>
  <si>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</si>
  <si>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</si>
  <si>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</si>
  <si>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</si>
  <si>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</si>
  <si>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</si>
  <si>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</si>
  <si>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</si>
  <si>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</si>
  <si>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</si>
  <si>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</si>
  <si>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</si>
  <si>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</si>
  <si>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</si>
  <si>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</si>
  <si>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</si>
  <si>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</si>
  <si>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</si>
  <si>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</si>
  <si>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</si>
  <si>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</si>
  <si>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</si>
  <si>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</si>
  <si>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</si>
  <si>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</si>
  <si>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</si>
  <si>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</si>
  <si>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</si>
  <si>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</si>
  <si>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</si>
  <si>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</si>
  <si>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</si>
  <si>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</si>
  <si>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</si>
  <si>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</si>
  <si>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</si>
  <si>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</si>
  <si>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</si>
  <si>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</si>
  <si>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</si>
  <si>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</si>
  <si>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</si>
  <si>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</si>
  <si>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</si>
  <si>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</si>
  <si>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</si>
  <si>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</si>
  <si>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</si>
  <si>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</si>
  <si>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</si>
  <si>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</si>
  <si>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</si>
  <si>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</si>
  <si>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</si>
  <si>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</si>
  <si>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</si>
  <si>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</si>
  <si>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</si>
  <si>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</si>
  <si>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</si>
  <si>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</si>
  <si>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</si>
  <si>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</si>
  <si>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</si>
  <si>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</si>
  <si>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</si>
  <si>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</si>
  <si>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</si>
  <si>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</si>
  <si>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</si>
  <si>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</si>
  <si>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</si>
  <si>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</si>
  <si>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</si>
  <si>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</si>
  <si>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</si>
  <si>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</si>
  <si>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</si>
  <si>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</si>
  <si>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</si>
  <si>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</si>
  <si>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</si>
  <si>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</si>
  <si>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</si>
  <si>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</si>
  <si>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</si>
  <si>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</si>
  <si>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</si>
  <si>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</si>
  <si>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</si>
  <si>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</si>
  <si>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</si>
  <si>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</si>
  <si>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</si>
  <si>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</si>
  <si>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</si>
  <si>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</si>
  <si>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</si>
  <si>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</si>
  <si>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</si>
  <si>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</si>
  <si>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</si>
  <si>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</si>
  <si>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</si>
  <si>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</si>
  <si>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</si>
  <si>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</si>
  <si>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</si>
  <si>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</si>
  <si>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</si>
  <si>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</si>
  <si>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</si>
  <si>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</si>
  <si>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</si>
  <si>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</si>
  <si>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</si>
  <si>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</si>
  <si>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</si>
  <si>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</si>
  <si>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</si>
  <si>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</si>
  <si>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</si>
  <si>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</si>
  <si>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</si>
  <si>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</si>
  <si>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</si>
  <si>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</si>
  <si>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</si>
  <si>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</si>
  <si>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</si>
  <si>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</si>
  <si>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</si>
  <si>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</si>
  <si>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</si>
  <si>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</si>
  <si>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</si>
  <si>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</si>
  <si>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</si>
  <si>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</si>
  <si>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</si>
  <si>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</si>
  <si>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</si>
  <si>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</si>
  <si>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</si>
  <si>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</si>
  <si>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</si>
  <si>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</si>
  <si>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</si>
  <si>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</si>
  <si>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</si>
  <si>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</si>
  <si>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</si>
  <si>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</si>
  <si>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</si>
  <si>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</si>
  <si>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</si>
  <si>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</si>
  <si>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</si>
  <si>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</si>
  <si>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</si>
  <si>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</si>
  <si>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</si>
  <si>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</si>
  <si>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</si>
  <si>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</si>
  <si>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</si>
  <si>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</si>
  <si>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</si>
  <si>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</si>
  <si>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</si>
  <si>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</si>
  <si>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</si>
  <si>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</si>
  <si>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</si>
  <si>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</si>
  <si>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</si>
  <si>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</si>
  <si>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</si>
  <si>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</si>
  <si>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</si>
  <si>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</si>
  <si>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</si>
  <si>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</si>
  <si>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</si>
  <si>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</si>
  <si>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</si>
  <si>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</si>
  <si>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</si>
  <si>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</si>
  <si>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</si>
  <si>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</si>
  <si>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</si>
  <si>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</si>
  <si>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</si>
  <si>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</si>
  <si>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</si>
  <si>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</si>
  <si>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</si>
  <si>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</si>
  <si>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</si>
  <si>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</si>
  <si>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</si>
  <si>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</si>
  <si>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</si>
  <si>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</si>
  <si>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</si>
  <si>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</si>
  <si>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</si>
  <si>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</si>
  <si>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</si>
  <si>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</si>
  <si>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</si>
  <si>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</si>
  <si>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</si>
  <si>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</si>
  <si>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</si>
  <si>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</si>
  <si>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</si>
  <si>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</si>
  <si>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</si>
  <si>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</si>
  <si>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</si>
  <si>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</si>
  <si>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</si>
  <si>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</si>
  <si>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</si>
  <si>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</si>
  <si>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</si>
  <si>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</si>
  <si>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</si>
  <si>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</si>
  <si>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</si>
  <si>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</si>
  <si>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</si>
  <si>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</si>
  <si>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</si>
  <si>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</si>
  <si>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</si>
  <si>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</si>
  <si>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</si>
  <si>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</si>
  <si>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</si>
  <si>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</si>
  <si>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</si>
  <si>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</si>
  <si>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</si>
  <si>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</si>
  <si>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</si>
  <si>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</si>
  <si>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</si>
  <si>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</si>
  <si>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</si>
  <si>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</si>
  <si>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</si>
  <si>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</si>
  <si>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</si>
  <si>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</si>
  <si>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</si>
  <si>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</si>
  <si>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</si>
  <si>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</si>
  <si>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</si>
  <si>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</si>
  <si>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</si>
  <si>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</si>
  <si>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</si>
  <si>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</si>
  <si>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</si>
  <si>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</si>
  <si>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</si>
  <si>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</si>
  <si>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</si>
  <si>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</si>
  <si>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</si>
  <si>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</si>
  <si>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</si>
  <si>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</si>
  <si>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</si>
  <si>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</si>
  <si>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</si>
  <si>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</si>
  <si>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</si>
  <si>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</si>
  <si>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</si>
  <si>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</si>
  <si>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</si>
  <si>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</si>
  <si>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</si>
  <si>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</si>
  <si>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</si>
  <si>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</si>
  <si>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</si>
  <si>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</si>
  <si>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</si>
  <si>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</si>
  <si>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</si>
  <si>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</si>
  <si>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</si>
  <si>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</si>
  <si>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</si>
  <si>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</si>
  <si>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</si>
  <si>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</si>
  <si>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</si>
  <si>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</si>
  <si>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</si>
  <si>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Bon Air Apartments, LP</t>
  </si>
  <si>
    <t>Lauren Valdez</t>
  </si>
  <si>
    <t>Project Manager</t>
  </si>
  <si>
    <t>Alyssa Alcantara</t>
  </si>
  <si>
    <t>Senior Associate</t>
  </si>
  <si>
    <t>Bon Air</t>
  </si>
  <si>
    <t>City Limits</t>
  </si>
  <si>
    <t>Berkadia Commercial Mortgage, LLC</t>
  </si>
  <si>
    <t>Historic Tax Credit</t>
  </si>
  <si>
    <t>Amortizing</t>
  </si>
  <si>
    <t>Redwood Housing Services, LLC</t>
  </si>
  <si>
    <t>PCNA</t>
  </si>
  <si>
    <t>Historical Consultant Report</t>
  </si>
  <si>
    <t>HUD Rent Schedule</t>
  </si>
  <si>
    <t>High-Rise Elevator</t>
  </si>
  <si>
    <t xml:space="preserve">HUD reviews the rents and utility allowances for the property, therefore the HUD prescribed UA is used. Owner pays for all utilities, therefore the UA is $0. </t>
  </si>
  <si>
    <t>Required per DCA QAP</t>
  </si>
  <si>
    <t>Required per historic designation of the property</t>
  </si>
  <si>
    <t>Novogradac</t>
  </si>
  <si>
    <t>Acquisition/Rehab</t>
  </si>
  <si>
    <t>HUD</t>
  </si>
  <si>
    <t>40% of Units at 60% of AMI</t>
  </si>
  <si>
    <t>N/a</t>
  </si>
  <si>
    <t>Resident Services Coordinator Grant</t>
  </si>
  <si>
    <t>Resident Services Coordinator</t>
  </si>
  <si>
    <t>Health Insurance, Payroll Taxes</t>
  </si>
  <si>
    <t>Audit</t>
  </si>
  <si>
    <t>*To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t>
  </si>
  <si>
    <t>Project is elderly/disabled designated by HUD and prior Georgia DCA LURC.</t>
  </si>
  <si>
    <t>CBRE</t>
  </si>
  <si>
    <t>Appraisal not required.</t>
  </si>
  <si>
    <t xml:space="preserve">No appraisal has been included as there is no identity of interest between the buyer and seller. </t>
  </si>
  <si>
    <t>Partner Engineering &amp; Science</t>
  </si>
  <si>
    <t>Substantial Rehab Non-Gutted</t>
  </si>
  <si>
    <t xml:space="preserve">All Environmental Manual Requirements have been met. The property did not require a Phase II and as such, one has not been provided. The project is also not subject to Site and Neighborhood Standards as it not financed with HOME Funds. </t>
  </si>
  <si>
    <t>Warranty Deed</t>
  </si>
  <si>
    <t xml:space="preserve">Bon Air Apartments, LP purchased the site on February 25, 2021. </t>
  </si>
  <si>
    <t>The site provides a specified entrance that is legally accessible by paved roads, as shown by the provided drawings and survey.</t>
  </si>
  <si>
    <t>Project proposes rehabilitation only and therefore is exempt from this section.</t>
  </si>
  <si>
    <t>Room</t>
  </si>
  <si>
    <t>Gazebo</t>
  </si>
  <si>
    <t>On-site laundry</t>
  </si>
  <si>
    <t xml:space="preserve">Applicant is providing all requirements. Please refer to the Architectural Waivers. </t>
  </si>
  <si>
    <t>Partner Engineering &amp; Science, Inc.</t>
  </si>
  <si>
    <t>Applicant has included the CSDP along with a location/vicinity map, site map and color photographs, and aerial photos of the site.</t>
  </si>
  <si>
    <t>Agree</t>
  </si>
  <si>
    <t>The Project is targeting bronze certification from National Green Building Standards and has a draft score sufficient to qualify for this level of certification.</t>
  </si>
  <si>
    <t xml:space="preserve">The Project will meet all architectural standards contained in the architectural manual, with the exception of approved architectural waivers, which are included in this application. </t>
  </si>
  <si>
    <t>Yes - see Comment</t>
  </si>
  <si>
    <t>Disagree</t>
  </si>
  <si>
    <t>The project is fully covered by a DCA LURC and 202 of the 203 units will maintain existing project-based rental assistance administered by HUD.</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</si>
  <si>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</si>
  <si>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Leasing criteria provided by the applicant clearly faciliates the admission and inclusion of targeted population tenants and does not violate federal or state fair housing laws. </t>
  </si>
  <si>
    <t>N/A to preservation application.</t>
  </si>
  <si>
    <t>N/A for Other Metro projects.</t>
  </si>
  <si>
    <t>TBE</t>
  </si>
  <si>
    <t>TBD (only if Option A)</t>
  </si>
  <si>
    <t xml:space="preserve">The proposed development is not located within the boundaries of a GICH community. </t>
  </si>
  <si>
    <t>Deemed historic via Ga DNRHPD approved NPS Part 1 Evaluation of Significance</t>
  </si>
  <si>
    <t>The structure is deemed historic through the approved NPS Historic Preservation Certification Application Part 1 is provided. The historic structure houses 100% of the total units.</t>
  </si>
  <si>
    <t>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t>
  </si>
  <si>
    <t>The proposed development is not elligible for these points.</t>
  </si>
  <si>
    <t>2023PA-075</t>
  </si>
  <si>
    <t>lauren.valdez@redwoodhousing.com</t>
  </si>
  <si>
    <t>alyssa.alcantara@redwoodhousing.com</t>
  </si>
  <si>
    <t>US bancorp</t>
  </si>
  <si>
    <t xml:space="preserve">Project includes all applicable documentation and the work scope addressess all deficiences noted in the PCNA. </t>
  </si>
  <si>
    <t xml:space="preserve">The applicant commits to comply with all applicable accessibility codes and requirements. Please see approved waivers regarding accessibility standards due to the age of construction of the project. </t>
  </si>
  <si>
    <t>Applicant was determined to be a qualified certifying GP/Developer during the 2022 pre-application round. The Project Team received a 2023 Pre-application Project Team Qualified Determination letter from DCA dated April 25, 2023. This letter has been included in the application.</t>
  </si>
  <si>
    <t>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t>
  </si>
  <si>
    <t xml:space="preserve">Applicant has received a commitment for up to $2,143,098 in historic tax credit equity as a source of favorable financing. This LOI has been provided as evidence, along with the approved Part 1, Part 2 and Part A. </t>
  </si>
  <si>
    <t xml:space="preserve">The property has had an average monthly occupancy over the proceeding 24 months of greater than 95%. 24 months of rent rolls and a table has been provided as evidence.  </t>
  </si>
  <si>
    <t xml:space="preserve">The PCNA informs the developer about what aspects of the building need to be renovated (for existing buildings). It also informs the developer about the useful life of specific systems and equipment so that the developer can plan ahead and budget accordingly. </t>
  </si>
  <si>
    <t>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t>
  </si>
  <si>
    <t>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t>
  </si>
  <si>
    <t xml:space="preserve">The project is currently 98% occupied and has an average of being over 95% occupied for the last 24 months. For this reason, there is no calculated property absorption period to reach stabilized occupancy as the project is already stabilized. </t>
  </si>
  <si>
    <t xml:space="preserve">The following conditions were identified by the environmental professional: Mold and Moisture - present in building due to historical roof and plumbing leaks; Asbestos - based on sample testing, the following materials are confirmed: roof coping caulk, ext. window caulk; Lead-Based Paint - identified on interior and exterior; Lead in water - the result for one sample exceeded the EPA level; Radon - all samples but one were below the radon "action" level. The applicant will incorporate the Recommendations on Section 1.3 of the Phase 1 into the renovation as much as feasibly possible. </t>
  </si>
  <si>
    <t>Applicant has not applied for the Nonprofit set-aside.</t>
  </si>
  <si>
    <t>No legal opinions are required as none of the above apply to this project.</t>
  </si>
  <si>
    <t xml:space="preserve">The proposed project plan ensures the complete, effective, efficient, and lawful allocation and utilization of the Housing Credit Program. The Project has an effective and cost-efficient site design. </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</si>
  <si>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t>
  </si>
  <si>
    <t>The property has a HUD Section 8 PBRA Contract that covers 202 units. A copy of the HUD PBRA contract has been provided in Section 02 and in Section 52.</t>
  </si>
  <si>
    <t>The property was placed in service in 2005. The 8609 and the LURC have been provided as evidence. Please note that no updated Cert of Occupancy was not issued as part of the 2004 renovation, as such the 8609 was provided in lieu of that document.</t>
  </si>
  <si>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Project schedule and detailed summary of the Project team are included in the Applicant folder 51Tiebrkr.</t>
  </si>
  <si>
    <t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Bon Air Apartments (the “Project”) is a 203-unit elderly affordable housing community prominently located upon a grassy knoll in the Summerville Historic District at 2101 Walton Way, Augusta, GA, 30904, and is listed on the National Register of Historic Places. The Project has been a symbol of Augusta since it was originally constructed in 1889 and was rebuilt following a fire in 1923. It was reconstructed as a luxury hotel with vast ballrooms catering to wealthy tourists and golf professionals.  It was utilized as such until 1960 when it was closed and converted into affordable housing. The Project was most recently renovated in 2005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Bon Air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the Bon Air, the project could be in jeopardy of losing the current subsidy due to physical deficiencies, especially as the project ages over the next 10 years.    
Without a HUD Section 8 HAP Subsidy, residents would be responsible for paying their entire rent, up to 60% AMI limits, or $778 for a studio and $834 for a one bedroom. Per the DCA Relocation Workbook, 30% of the average residents’ adjusted monthly income is $228, which represents the current amount that they pay for their apartment units. Residents would face a significant rent increase of $550 for a studio and $606 for a one-bedroom. Per the DCA Relocation Workbook, the residents at the Bon Air have an average adjusted household income of $9,730 or $810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99.5%. These properties have an average of 104 units each, this means that there are approximately 7 available affordable/subsidized units in the Augusta area. Should the affordable restrictions be eliminated at the Bon Air Apartments, there would be approximately 195 displaced residents from the Bon Air.
If the displaced residents were forced to look at comparable market rate housing, they would be facing an average rent of $935 for studio units and $1012 for one-bedroom units. Per the DCA Relocation Workbook, the residents at the Bon Air have an average adjusted household income of $9,730 or $810monthly.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Bon Air would be displaced from their unit and be unable to find comparable living arrangements absent the restrictions and subsidies that they currently enjoy. It is for these reasons that comparable affordable housing options truly do not exist in Augusta, 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</si>
</sst>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74" fontId="3"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Bon Air</v>
      </c>
    </row>
    <row r="3" spans="1:6" ht="15" customHeight="1">
      <c r="A3" s="666" t="str">
        <f>CONCATENATE('Part I-Project Identification'!F26,", ", 'Part I-Project Identification'!J26," County")</f>
        <v>Augusta, Richmond County</v>
      </c>
    </row>
    <row r="4" spans="1:6" ht="12" customHeight="1">
      <c r="A4" s="1121"/>
    </row>
    <row r="5" spans="1:6" ht="72" customHeight="1">
      <c r="A5" s="3009" t="s">
        <v>6073</v>
      </c>
      <c r="B5" s="3010" t="s">
        <v>3897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1" zoomScaleNormal="100" workbookViewId="0">
      <selection activeCell="H232" sqref="H23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3136</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Bon Air, Augusta, Richmond County</v>
      </c>
      <c r="B2" s="3661"/>
      <c r="C2" s="3661"/>
      <c r="D2" s="3661"/>
      <c r="E2" s="3661"/>
      <c r="F2" s="3661"/>
      <c r="G2" s="3661"/>
      <c r="H2" s="3661"/>
      <c r="I2" s="3661"/>
      <c r="J2" s="3661"/>
      <c r="K2" s="3661"/>
      <c r="L2" s="3661"/>
      <c r="M2" s="3661"/>
      <c r="N2" s="3661"/>
      <c r="O2" s="3661"/>
      <c r="P2" s="3661"/>
      <c r="Q2" s="3662"/>
      <c r="T2" s="1427" t="str">
        <f>A2</f>
        <v>PART FOUR - PROJECTED REVENUES &amp; EXPENSES  -  2023-0 Bon Air,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665" t="str">
        <f>'Part I-Project Identification'!$O$28</f>
        <v>Augusta-Richmond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3204</v>
      </c>
      <c r="R5" s="830"/>
      <c r="S5" s="337"/>
      <c r="T5" s="337"/>
      <c r="U5" s="337"/>
      <c r="W5" s="338"/>
      <c r="X5" s="3554" t="s">
        <v>3683</v>
      </c>
      <c r="Y5" s="3554" t="s">
        <v>3684</v>
      </c>
      <c r="Z5" s="3554" t="s">
        <v>3685</v>
      </c>
      <c r="AA5" s="3554" t="s">
        <v>3686</v>
      </c>
      <c r="AB5" s="3554" t="s">
        <v>3687</v>
      </c>
      <c r="AC5" s="3554" t="s">
        <v>3688</v>
      </c>
      <c r="AD5" s="3554" t="s">
        <v>3689</v>
      </c>
      <c r="AE5" s="3554" t="s">
        <v>3690</v>
      </c>
      <c r="AF5" s="3554" t="s">
        <v>3691</v>
      </c>
      <c r="AG5" s="3554" t="s">
        <v>3692</v>
      </c>
      <c r="AH5" s="3554" t="s">
        <v>861</v>
      </c>
      <c r="AI5" s="3554" t="s">
        <v>705</v>
      </c>
      <c r="AJ5" s="3554" t="s">
        <v>706</v>
      </c>
      <c r="AK5" s="3554" t="s">
        <v>707</v>
      </c>
      <c r="AL5" s="3554" t="s">
        <v>708</v>
      </c>
      <c r="AM5" s="3554" t="s">
        <v>862</v>
      </c>
      <c r="AN5" s="3554" t="s">
        <v>2131</v>
      </c>
      <c r="AO5" s="3554" t="s">
        <v>2132</v>
      </c>
      <c r="AP5" s="3554" t="s">
        <v>2133</v>
      </c>
      <c r="AQ5" s="3554" t="s">
        <v>2134</v>
      </c>
      <c r="AR5" s="3554" t="s">
        <v>3694</v>
      </c>
      <c r="AS5" s="3554" t="s">
        <v>3695</v>
      </c>
      <c r="AT5" s="3554" t="s">
        <v>3696</v>
      </c>
      <c r="AU5" s="3554" t="s">
        <v>3697</v>
      </c>
      <c r="AV5" s="3554" t="s">
        <v>3693</v>
      </c>
      <c r="AW5" s="3554" t="s">
        <v>863</v>
      </c>
      <c r="AX5" s="3554" t="s">
        <v>2135</v>
      </c>
      <c r="AY5" s="3554" t="s">
        <v>2136</v>
      </c>
      <c r="AZ5" s="3554" t="s">
        <v>2137</v>
      </c>
      <c r="BA5" s="3554" t="s">
        <v>2138</v>
      </c>
      <c r="BB5" s="3554" t="s">
        <v>3698</v>
      </c>
      <c r="BC5" s="3554" t="s">
        <v>3699</v>
      </c>
      <c r="BD5" s="3554" t="s">
        <v>3700</v>
      </c>
      <c r="BE5" s="3554" t="s">
        <v>3701</v>
      </c>
      <c r="BF5" s="3554" t="s">
        <v>3702</v>
      </c>
      <c r="BG5" s="3554" t="s">
        <v>123</v>
      </c>
      <c r="BH5" s="3554" t="s">
        <v>2139</v>
      </c>
      <c r="BI5" s="3554" t="s">
        <v>2140</v>
      </c>
      <c r="BJ5" s="3554" t="s">
        <v>2141</v>
      </c>
      <c r="BK5" s="3554" t="s">
        <v>1080</v>
      </c>
      <c r="BL5" s="3554" t="s">
        <v>3703</v>
      </c>
      <c r="BM5" s="3554" t="s">
        <v>3704</v>
      </c>
      <c r="BN5" s="3554" t="s">
        <v>3705</v>
      </c>
      <c r="BO5" s="3554" t="s">
        <v>3706</v>
      </c>
      <c r="BP5" s="3554" t="s">
        <v>3707</v>
      </c>
      <c r="BQ5" s="3554" t="s">
        <v>517</v>
      </c>
      <c r="BR5" s="3554" t="s">
        <v>518</v>
      </c>
      <c r="BS5" s="3554" t="s">
        <v>535</v>
      </c>
      <c r="BT5" s="3554" t="s">
        <v>536</v>
      </c>
      <c r="BU5" s="3554" t="s">
        <v>537</v>
      </c>
      <c r="BV5" s="3554" t="s">
        <v>3708</v>
      </c>
      <c r="BW5" s="3554" t="s">
        <v>3709</v>
      </c>
      <c r="BX5" s="3554" t="s">
        <v>3710</v>
      </c>
      <c r="BY5" s="3554" t="s">
        <v>3711</v>
      </c>
      <c r="BZ5" s="3554" t="s">
        <v>3712</v>
      </c>
      <c r="CA5" s="3554" t="s">
        <v>538</v>
      </c>
      <c r="CB5" s="3554" t="s">
        <v>539</v>
      </c>
      <c r="CC5" s="3554" t="s">
        <v>540</v>
      </c>
      <c r="CD5" s="3554" t="s">
        <v>541</v>
      </c>
      <c r="CE5" s="3554" t="s">
        <v>542</v>
      </c>
      <c r="CF5" s="3554" t="s">
        <v>543</v>
      </c>
      <c r="CG5" s="3554" t="s">
        <v>544</v>
      </c>
      <c r="CH5" s="3554" t="s">
        <v>872</v>
      </c>
      <c r="CI5" s="3554" t="s">
        <v>873</v>
      </c>
      <c r="CJ5" s="3554" t="s">
        <v>874</v>
      </c>
      <c r="CK5" s="3554" t="s">
        <v>3718</v>
      </c>
      <c r="CL5" s="3554" t="s">
        <v>3719</v>
      </c>
      <c r="CM5" s="3554" t="s">
        <v>3720</v>
      </c>
      <c r="CN5" s="3554" t="s">
        <v>3721</v>
      </c>
      <c r="CO5" s="3554" t="s">
        <v>3722</v>
      </c>
      <c r="CP5" s="3554" t="s">
        <v>3713</v>
      </c>
      <c r="CQ5" s="3554" t="s">
        <v>3714</v>
      </c>
      <c r="CR5" s="3554" t="s">
        <v>3715</v>
      </c>
      <c r="CS5" s="3554" t="s">
        <v>3716</v>
      </c>
      <c r="CT5" s="3554" t="s">
        <v>3717</v>
      </c>
      <c r="CU5" s="3554" t="s">
        <v>3723</v>
      </c>
      <c r="CV5" s="3554" t="s">
        <v>3724</v>
      </c>
      <c r="CW5" s="3554" t="s">
        <v>3725</v>
      </c>
      <c r="CX5" s="3554" t="s">
        <v>3726</v>
      </c>
      <c r="CY5" s="3554" t="s">
        <v>3727</v>
      </c>
      <c r="CZ5" s="3554" t="s">
        <v>466</v>
      </c>
      <c r="DA5" s="3554" t="s">
        <v>467</v>
      </c>
      <c r="DB5" s="3554" t="s">
        <v>468</v>
      </c>
      <c r="DC5" s="3554" t="s">
        <v>469</v>
      </c>
      <c r="DD5" s="3554" t="s">
        <v>470</v>
      </c>
      <c r="DE5" s="3554" t="s">
        <v>3728</v>
      </c>
      <c r="DF5" s="3554" t="s">
        <v>3729</v>
      </c>
      <c r="DG5" s="3554" t="s">
        <v>3730</v>
      </c>
      <c r="DH5" s="3554" t="s">
        <v>3731</v>
      </c>
      <c r="DI5" s="3554" t="s">
        <v>3732</v>
      </c>
      <c r="DJ5" s="3554" t="s">
        <v>822</v>
      </c>
      <c r="DK5" s="3554" t="s">
        <v>823</v>
      </c>
      <c r="DL5" s="3554" t="s">
        <v>824</v>
      </c>
      <c r="DM5" s="3554" t="s">
        <v>825</v>
      </c>
      <c r="DN5" s="3554" t="s">
        <v>826</v>
      </c>
      <c r="DO5" s="3554" t="s">
        <v>827</v>
      </c>
      <c r="DP5" s="3554" t="s">
        <v>828</v>
      </c>
      <c r="DQ5" s="3554" t="s">
        <v>829</v>
      </c>
      <c r="DR5" s="3554" t="s">
        <v>830</v>
      </c>
      <c r="DS5" s="3554" t="s">
        <v>831</v>
      </c>
      <c r="DT5" s="3554" t="s">
        <v>3733</v>
      </c>
      <c r="DU5" s="3554" t="s">
        <v>3734</v>
      </c>
      <c r="DV5" s="3554" t="s">
        <v>3735</v>
      </c>
      <c r="DW5" s="3554" t="s">
        <v>3736</v>
      </c>
      <c r="DX5" s="3554" t="s">
        <v>3737</v>
      </c>
      <c r="DY5" s="3554" t="s">
        <v>3738</v>
      </c>
      <c r="DZ5" s="3554" t="s">
        <v>3739</v>
      </c>
      <c r="EA5" s="3554" t="s">
        <v>3740</v>
      </c>
      <c r="EB5" s="3554" t="s">
        <v>3741</v>
      </c>
      <c r="EC5" s="3554" t="s">
        <v>3742</v>
      </c>
      <c r="ED5" s="3554" t="s">
        <v>2235</v>
      </c>
      <c r="EE5" s="3554" t="s">
        <v>2236</v>
      </c>
      <c r="EF5" s="3554" t="s">
        <v>2237</v>
      </c>
      <c r="EG5" s="3554" t="s">
        <v>2238</v>
      </c>
      <c r="EH5" s="3554" t="s">
        <v>2239</v>
      </c>
      <c r="EI5" s="3554" t="s">
        <v>3743</v>
      </c>
      <c r="EJ5" s="3554" t="s">
        <v>3744</v>
      </c>
      <c r="EK5" s="3554" t="s">
        <v>3745</v>
      </c>
      <c r="EL5" s="3554" t="s">
        <v>3746</v>
      </c>
      <c r="EM5" s="3554" t="s">
        <v>3747</v>
      </c>
      <c r="EN5" s="3554" t="s">
        <v>3748</v>
      </c>
      <c r="EO5" s="3554" t="s">
        <v>3749</v>
      </c>
      <c r="EP5" s="3554" t="s">
        <v>3750</v>
      </c>
      <c r="EQ5" s="3554" t="s">
        <v>3751</v>
      </c>
      <c r="ER5" s="3554" t="s">
        <v>3752</v>
      </c>
      <c r="ES5" s="3554" t="s">
        <v>111</v>
      </c>
      <c r="ET5" s="3554" t="s">
        <v>1083</v>
      </c>
      <c r="EU5" s="3554" t="s">
        <v>1084</v>
      </c>
      <c r="EV5" s="3554" t="s">
        <v>1139</v>
      </c>
      <c r="EW5" s="3554" t="s">
        <v>1140</v>
      </c>
      <c r="EX5" s="3554" t="s">
        <v>126</v>
      </c>
      <c r="EY5" s="3554" t="s">
        <v>1141</v>
      </c>
      <c r="EZ5" s="3554" t="s">
        <v>1142</v>
      </c>
      <c r="FA5" s="3554" t="s">
        <v>1143</v>
      </c>
      <c r="FB5" s="3554" t="s">
        <v>1144</v>
      </c>
      <c r="FC5" s="3554" t="s">
        <v>3753</v>
      </c>
      <c r="FD5" s="3554" t="s">
        <v>3754</v>
      </c>
      <c r="FE5" s="3554" t="s">
        <v>3755</v>
      </c>
      <c r="FF5" s="3554" t="s">
        <v>3756</v>
      </c>
      <c r="FG5" s="3554" t="s">
        <v>3757</v>
      </c>
      <c r="FH5" s="3554" t="s">
        <v>125</v>
      </c>
      <c r="FI5" s="3554" t="s">
        <v>853</v>
      </c>
      <c r="FJ5" s="3554" t="s">
        <v>854</v>
      </c>
      <c r="FK5" s="3554" t="s">
        <v>855</v>
      </c>
      <c r="FL5" s="3554" t="s">
        <v>856</v>
      </c>
      <c r="FM5" s="3554" t="s">
        <v>3758</v>
      </c>
      <c r="FN5" s="3554" t="s">
        <v>3759</v>
      </c>
      <c r="FO5" s="3554" t="s">
        <v>3760</v>
      </c>
      <c r="FP5" s="3554" t="s">
        <v>3761</v>
      </c>
      <c r="FQ5" s="3554" t="s">
        <v>3762</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6096</v>
      </c>
      <c r="D6" s="1515"/>
      <c r="E6" s="1515"/>
      <c r="F6" s="1515"/>
      <c r="G6" s="1211" t="s">
        <v>194</v>
      </c>
      <c r="H6" s="3663" t="s">
        <v>6098</v>
      </c>
      <c r="I6" s="3664"/>
      <c r="J6" s="3664"/>
      <c r="K6" s="686" t="s">
        <v>3136</v>
      </c>
      <c r="L6" s="3556" t="str">
        <f>'Part I-Project Identification'!$A$6</f>
        <v>April 2023</v>
      </c>
      <c r="M6" s="3556"/>
      <c r="N6" s="3556"/>
      <c r="O6" s="1717" t="s">
        <v>6078</v>
      </c>
      <c r="P6" s="1505">
        <v>74100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6282</v>
      </c>
      <c r="MQ6" s="3554" t="s">
        <v>6283</v>
      </c>
      <c r="MR6" s="3554" t="s">
        <v>6284</v>
      </c>
      <c r="MS6" s="3554" t="s">
        <v>6285</v>
      </c>
      <c r="MT6" s="3554"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6097</v>
      </c>
      <c r="E7" s="4"/>
      <c r="G7" s="1246" t="s">
        <v>2649</v>
      </c>
      <c r="I7" s="3587" t="s">
        <v>4072</v>
      </c>
      <c r="J7" s="686" t="s">
        <v>742</v>
      </c>
      <c r="K7" s="686" t="s">
        <v>3183</v>
      </c>
      <c r="L7" s="3556"/>
      <c r="M7" s="3556"/>
      <c r="N7" s="3556"/>
      <c r="O7" s="1718" t="s">
        <v>6077</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3765</v>
      </c>
      <c r="C8" s="1"/>
      <c r="E8" s="1"/>
      <c r="F8" s="1"/>
      <c r="I8" s="3587"/>
      <c r="J8" s="686" t="s">
        <v>743</v>
      </c>
      <c r="K8" s="686" t="s">
        <v>3184</v>
      </c>
      <c r="L8" s="667"/>
      <c r="M8" s="667"/>
      <c r="N8" s="1716" t="s">
        <v>6481</v>
      </c>
      <c r="O8" s="3589" t="s">
        <v>7055</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3766</v>
      </c>
      <c r="C9" s="686" t="s">
        <v>165</v>
      </c>
      <c r="D9" s="686" t="s">
        <v>510</v>
      </c>
      <c r="E9" s="686" t="s">
        <v>1382</v>
      </c>
      <c r="F9" s="686" t="s">
        <v>1382</v>
      </c>
      <c r="G9" s="3587" t="s">
        <v>6093</v>
      </c>
      <c r="H9" s="830" t="s">
        <v>3303</v>
      </c>
      <c r="I9" s="3587"/>
      <c r="J9" s="3583" t="s">
        <v>6087</v>
      </c>
      <c r="K9" s="686" t="s">
        <v>2217</v>
      </c>
      <c r="L9" s="3592" t="s">
        <v>139</v>
      </c>
      <c r="M9" s="3593"/>
      <c r="N9" s="686" t="s">
        <v>2184</v>
      </c>
      <c r="O9" s="686" t="s">
        <v>6484</v>
      </c>
      <c r="P9" s="3585" t="s">
        <v>6246</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6287</v>
      </c>
      <c r="IZ9" s="3554" t="s">
        <v>6287</v>
      </c>
      <c r="JA9" s="3554" t="s">
        <v>6287</v>
      </c>
      <c r="JB9" s="3554" t="s">
        <v>6287</v>
      </c>
      <c r="JC9" s="3554" t="s">
        <v>6287</v>
      </c>
      <c r="JD9" s="3554" t="s">
        <v>6288</v>
      </c>
      <c r="JE9" s="3554" t="s">
        <v>6288</v>
      </c>
      <c r="JF9" s="3554" t="s">
        <v>6288</v>
      </c>
      <c r="JG9" s="3554" t="s">
        <v>6288</v>
      </c>
      <c r="JH9" s="3554" t="s">
        <v>6288</v>
      </c>
      <c r="JI9" s="3554" t="s">
        <v>6290</v>
      </c>
      <c r="JJ9" s="3554" t="s">
        <v>6290</v>
      </c>
      <c r="JK9" s="3554" t="s">
        <v>6290</v>
      </c>
      <c r="JL9" s="3554" t="s">
        <v>6290</v>
      </c>
      <c r="JM9" s="3554" t="s">
        <v>6290</v>
      </c>
      <c r="JN9" s="3554" t="s">
        <v>6291</v>
      </c>
      <c r="JO9" s="3554" t="s">
        <v>6291</v>
      </c>
      <c r="JP9" s="3554" t="s">
        <v>6291</v>
      </c>
      <c r="JQ9" s="3554" t="s">
        <v>6291</v>
      </c>
      <c r="JR9" s="3554" t="s">
        <v>6291</v>
      </c>
      <c r="JS9" s="3554" t="s">
        <v>6292</v>
      </c>
      <c r="JT9" s="3554" t="s">
        <v>6292</v>
      </c>
      <c r="JU9" s="3554" t="s">
        <v>6292</v>
      </c>
      <c r="JV9" s="3554" t="s">
        <v>6292</v>
      </c>
      <c r="JW9" s="3554" t="s">
        <v>6292</v>
      </c>
      <c r="JX9" s="3554" t="s">
        <v>6485</v>
      </c>
      <c r="JY9" s="3554" t="s">
        <v>6485</v>
      </c>
      <c r="JZ9" s="3554" t="s">
        <v>6485</v>
      </c>
      <c r="KA9" s="3554" t="s">
        <v>6485</v>
      </c>
      <c r="KB9" s="3554" t="s">
        <v>6485</v>
      </c>
      <c r="KC9" s="3554" t="s">
        <v>6650</v>
      </c>
      <c r="KD9" s="3554" t="s">
        <v>6650</v>
      </c>
      <c r="KE9" s="3554" t="s">
        <v>6650</v>
      </c>
      <c r="KF9" s="3554" t="s">
        <v>6650</v>
      </c>
      <c r="KG9" s="3554" t="s">
        <v>6650</v>
      </c>
      <c r="KH9" s="3554" t="s">
        <v>6651</v>
      </c>
      <c r="KI9" s="3554" t="s">
        <v>6651</v>
      </c>
      <c r="KJ9" s="3554" t="s">
        <v>6651</v>
      </c>
      <c r="KK9" s="3554" t="s">
        <v>6651</v>
      </c>
      <c r="KL9" s="3554" t="s">
        <v>6651</v>
      </c>
      <c r="KM9" s="3554" t="s">
        <v>6294</v>
      </c>
      <c r="KN9" s="3554" t="s">
        <v>6294</v>
      </c>
      <c r="KO9" s="3554" t="s">
        <v>6294</v>
      </c>
      <c r="KP9" s="3554" t="s">
        <v>6294</v>
      </c>
      <c r="KQ9" s="3554" t="s">
        <v>6294</v>
      </c>
      <c r="KR9" s="3554" t="s">
        <v>6486</v>
      </c>
      <c r="KS9" s="3554" t="s">
        <v>6486</v>
      </c>
      <c r="KT9" s="3554" t="s">
        <v>6486</v>
      </c>
      <c r="KU9" s="3554" t="s">
        <v>6486</v>
      </c>
      <c r="KV9" s="3554" t="s">
        <v>6486</v>
      </c>
      <c r="KW9" s="3554" t="s">
        <v>6652</v>
      </c>
      <c r="KX9" s="3554" t="s">
        <v>6652</v>
      </c>
      <c r="KY9" s="3554" t="s">
        <v>6652</v>
      </c>
      <c r="KZ9" s="3554" t="s">
        <v>6652</v>
      </c>
      <c r="LA9" s="3554" t="s">
        <v>6652</v>
      </c>
      <c r="LB9" s="3554" t="s">
        <v>6653</v>
      </c>
      <c r="LC9" s="3554" t="s">
        <v>6653</v>
      </c>
      <c r="LD9" s="3554" t="s">
        <v>6653</v>
      </c>
      <c r="LE9" s="3554" t="s">
        <v>6653</v>
      </c>
      <c r="LF9" s="3554" t="s">
        <v>6653</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3933</v>
      </c>
      <c r="C10" s="686" t="s">
        <v>164</v>
      </c>
      <c r="D10" s="686" t="s">
        <v>166</v>
      </c>
      <c r="E10" s="686" t="s">
        <v>1383</v>
      </c>
      <c r="F10" s="686" t="s">
        <v>1203</v>
      </c>
      <c r="G10" s="3588"/>
      <c r="H10" s="686" t="s">
        <v>6094</v>
      </c>
      <c r="I10" s="3588"/>
      <c r="J10" s="3584"/>
      <c r="K10" s="358" t="s">
        <v>334</v>
      </c>
      <c r="L10" s="686" t="s">
        <v>1432</v>
      </c>
      <c r="M10" s="686" t="s">
        <v>504</v>
      </c>
      <c r="N10" s="686" t="s">
        <v>1382</v>
      </c>
      <c r="O10" s="686" t="s">
        <v>6498</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v>1</v>
      </c>
      <c r="D11" s="1750">
        <v>1</v>
      </c>
      <c r="E11" s="130">
        <v>1</v>
      </c>
      <c r="F11" s="130">
        <v>800</v>
      </c>
      <c r="G11" s="130">
        <v>834</v>
      </c>
      <c r="H11" s="130">
        <v>0</v>
      </c>
      <c r="I11" s="1428">
        <v>0</v>
      </c>
      <c r="J11" s="1429">
        <v>0</v>
      </c>
      <c r="K11" s="643"/>
      <c r="L11" s="460">
        <f t="shared" ref="L11:L48" si="1">MAX(0,H11-I11-J11)</f>
        <v>0</v>
      </c>
      <c r="M11" s="460">
        <f t="shared" ref="M11:M48" si="2">MAX(0,E11*L11)</f>
        <v>0</v>
      </c>
      <c r="N11" s="694" t="s">
        <v>2309</v>
      </c>
      <c r="O11" s="1682" t="s">
        <v>7051</v>
      </c>
      <c r="P11" s="694" t="s">
        <v>7056</v>
      </c>
      <c r="Q11" s="131" t="s">
        <v>2649</v>
      </c>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f t="shared" ref="EE11:EE48" si="114">IF(AND(C11=1,N11="Common Space"),E11,"")</f>
        <v>1</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f t="shared" ref="GC11:GC48" si="164">IF(AND(C11=1,N11="Common Space"),E11*F11,"")</f>
        <v>800</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f t="shared" ref="HG11:HG48" si="194">IF(AND($C11=1, $P11="Acquisition/Rehab",$B11="N/A-CS",$N11="Common Space"),$E11,"")</f>
        <v>1</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f t="shared" ref="IA11:IA48" si="214">IF(AND($C11=1, NOT(OR($O11="SF Detached",$O11="Mfd Home",$O11="Semi-Detached",$O11="Row House/TH"))),$E11,"")</f>
        <v>1</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f t="shared" ref="LC11:LC48" si="294">IF(AND($C11=1, $O11="High-Rise Elevator",$Q11="Yes"),$E11,"")</f>
        <v>1</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v>60</v>
      </c>
      <c r="C18" s="1083" t="s">
        <v>526</v>
      </c>
      <c r="D18" s="1753">
        <v>1</v>
      </c>
      <c r="E18" s="1084">
        <v>26</v>
      </c>
      <c r="F18" s="1084">
        <v>700</v>
      </c>
      <c r="G18" s="1084">
        <v>778</v>
      </c>
      <c r="H18" s="1084">
        <v>1060</v>
      </c>
      <c r="I18" s="1084">
        <v>0</v>
      </c>
      <c r="J18" s="1100">
        <f>IF(C18="",0,HLOOKUP(C18,'Part IV-Utility Allowances'!$I$11:$M$22,12))</f>
        <v>0</v>
      </c>
      <c r="K18" s="1101" t="s">
        <v>7057</v>
      </c>
      <c r="L18" s="1102">
        <f t="shared" si="1"/>
        <v>1060</v>
      </c>
      <c r="M18" s="1102">
        <f t="shared" si="2"/>
        <v>27560</v>
      </c>
      <c r="N18" s="1103" t="s">
        <v>2652</v>
      </c>
      <c r="O18" s="1685" t="s">
        <v>7051</v>
      </c>
      <c r="P18" s="1103" t="s">
        <v>7056</v>
      </c>
      <c r="Q18" s="1104" t="s">
        <v>2649</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f t="shared" si="13"/>
        <v>26</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f t="shared" si="63"/>
        <v>26</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f t="shared" si="128"/>
        <v>18200</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f t="shared" si="158"/>
        <v>18200</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f t="shared" si="183"/>
        <v>26</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f t="shared" si="213"/>
        <v>26</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f t="shared" si="293"/>
        <v>26</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v>60</v>
      </c>
      <c r="C19" s="132">
        <v>1</v>
      </c>
      <c r="D19" s="1751">
        <v>1</v>
      </c>
      <c r="E19" s="133">
        <v>176</v>
      </c>
      <c r="F19" s="133">
        <v>800</v>
      </c>
      <c r="G19" s="133">
        <v>834</v>
      </c>
      <c r="H19" s="133">
        <v>1150</v>
      </c>
      <c r="I19" s="133">
        <v>0</v>
      </c>
      <c r="J19" s="756">
        <f>IF(C19="",0,HLOOKUP(C19,'Part IV-Utility Allowances'!$I$11:$M$22,12))</f>
        <v>0</v>
      </c>
      <c r="K19" s="644" t="s">
        <v>7057</v>
      </c>
      <c r="L19" s="461">
        <f t="shared" si="1"/>
        <v>1150</v>
      </c>
      <c r="M19" s="461">
        <f t="shared" si="2"/>
        <v>202400</v>
      </c>
      <c r="N19" s="695" t="s">
        <v>2652</v>
      </c>
      <c r="O19" s="1683" t="s">
        <v>7051</v>
      </c>
      <c r="P19" s="695" t="s">
        <v>7056</v>
      </c>
      <c r="Q19" s="134" t="s">
        <v>2649</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176</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176</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140800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140800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176</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176</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f t="shared" si="294"/>
        <v>176</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06" t="s">
        <v>3770</v>
      </c>
      <c r="C49" s="3607"/>
      <c r="D49" s="107" t="s">
        <v>954</v>
      </c>
      <c r="E49" s="1113">
        <f>SUM(E11:E48)</f>
        <v>203</v>
      </c>
      <c r="F49" s="1111">
        <f>(E11*F11+E12*F12+E13*F13+E14*F14+E15*F15+E16*F16+E17*F17+E18*F18+E19*F19+E20*F20+E21*F21+E22*F22+E23*F23+E24*F24+E25*F25+E26*F26+E27*F27+E28*F28+E29*F29+E30*F30+E31*F31+E32*F32+E33*F33+E34*F34+E35*F35+E36*F36+E37*F37+E38*F38+E39*F39+E40*F40+E41*F41+E42*F42+E43*F43+E44*F44+E45*F45+E46*F46+E47*F47+E48*F48)</f>
        <v>159800</v>
      </c>
      <c r="H49" s="3580" t="s">
        <v>3767</v>
      </c>
      <c r="I49" s="1114" t="s">
        <v>3768</v>
      </c>
      <c r="J49" s="1115" t="str">
        <f>IF(P67=0,"",IF(SUM(P58:P62)/P67&gt;=0.4,"Pass","Fail"))</f>
        <v>Pass</v>
      </c>
      <c r="K49" s="448"/>
      <c r="L49" s="699" t="s">
        <v>1225</v>
      </c>
      <c r="M49" s="94">
        <f>SUM(M11:M48)</f>
        <v>229960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26</v>
      </c>
      <c r="AI49" s="1749">
        <f t="shared" si="339"/>
        <v>176</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26</v>
      </c>
      <c r="CG49" s="1749">
        <f t="shared" si="338"/>
        <v>176</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1</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18200</v>
      </c>
      <c r="ET49" s="1749">
        <f t="shared" si="342"/>
        <v>140800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18200</v>
      </c>
      <c r="FX49" s="1749">
        <f t="shared" si="343"/>
        <v>140800</v>
      </c>
      <c r="FY49" s="1749">
        <f t="shared" si="343"/>
        <v>0</v>
      </c>
      <c r="FZ49" s="1749">
        <f t="shared" si="343"/>
        <v>0</v>
      </c>
      <c r="GA49" s="1749">
        <f t="shared" si="343"/>
        <v>0</v>
      </c>
      <c r="GB49" s="1749">
        <f t="shared" si="343"/>
        <v>0</v>
      </c>
      <c r="GC49" s="1749">
        <f t="shared" si="343"/>
        <v>800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26</v>
      </c>
      <c r="GW49" s="1749">
        <f t="shared" si="343"/>
        <v>176</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1</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26</v>
      </c>
      <c r="IA49" s="1749">
        <f t="shared" si="344"/>
        <v>177</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26</v>
      </c>
      <c r="LC49" s="1749">
        <f>SUM(LC11:LC48)</f>
        <v>177</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60</v>
      </c>
      <c r="C50" s="3579"/>
      <c r="D50" s="119" t="s">
        <v>3677</v>
      </c>
      <c r="E50" s="1110">
        <f>SUM(E18:E48)</f>
        <v>202</v>
      </c>
      <c r="F50" s="1112">
        <f>(E18*F18+E19*F19+E20*F20+E21*F21+E22*F22+E23*F23+E24*F24+E25*F25+E26*F26+E27*F27+E28*F28+E29*F29+E30*F30+E31*F31+E32*F32+E33*F33+E34*F34+E35*F35+E36*F36+E37*F37+E38*F38+E39*F39+E40*F40+E41*F41+E42*F42+E43*F43+E44*F44+E45*F45+E46*F46+E47*F47+E48*F48)</f>
        <v>159000</v>
      </c>
      <c r="H50" s="3581"/>
      <c r="I50" s="1116" t="s">
        <v>3769</v>
      </c>
      <c r="J50" s="1117" t="str">
        <f>IF(P67=0,"",IF(SUM(P59:P62)/P67&gt;=0.2,"Pass","Fail"))</f>
        <v>Fail</v>
      </c>
      <c r="K50" s="448"/>
      <c r="L50" s="107" t="s">
        <v>757</v>
      </c>
      <c r="M50" s="94">
        <f>M49*12</f>
        <v>2759520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567" t="s">
        <v>7058</v>
      </c>
      <c r="P53" s="3568"/>
      <c r="S53" s="3595" t="str">
        <f>B53</f>
        <v>UNIT SUMMARY</v>
      </c>
      <c r="T53" s="3595"/>
      <c r="U53" s="3595"/>
      <c r="V53" s="3595"/>
      <c r="AY53" s="359"/>
      <c r="BD53" s="359"/>
      <c r="LO53" s="361"/>
      <c r="MD53" s="357"/>
    </row>
    <row r="54" spans="1:381" ht="14.25" customHeight="1">
      <c r="A54" s="10"/>
      <c r="B54" s="10"/>
      <c r="K54" s="144" t="s">
        <v>6645</v>
      </c>
      <c r="O54" s="3565" t="s">
        <v>7059</v>
      </c>
      <c r="P54" s="3566"/>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4077</v>
      </c>
      <c r="B56" s="3659"/>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575" t="s">
        <v>3185</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3679</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26</v>
      </c>
      <c r="L58" s="1128">
        <f>AI49</f>
        <v>176</v>
      </c>
      <c r="M58" s="1128">
        <f>AJ49</f>
        <v>0</v>
      </c>
      <c r="N58" s="1128">
        <f>AK49</f>
        <v>0</v>
      </c>
      <c r="O58" s="1129">
        <f>AL49</f>
        <v>0</v>
      </c>
      <c r="P58" s="745">
        <f t="shared" si="347"/>
        <v>202</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3680</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3681</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3682</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3764</v>
      </c>
      <c r="D63" s="1"/>
      <c r="E63" s="1"/>
      <c r="F63" s="1"/>
      <c r="G63" s="62"/>
      <c r="H63" s="68"/>
      <c r="I63" s="44"/>
      <c r="J63" s="62"/>
      <c r="K63" s="1092">
        <f>SUM(K56:K62)</f>
        <v>26</v>
      </c>
      <c r="L63" s="1092">
        <f>SUM(L56:L62)</f>
        <v>176</v>
      </c>
      <c r="M63" s="1092">
        <f>SUM(M56:M62)</f>
        <v>0</v>
      </c>
      <c r="N63" s="1092">
        <f>SUM(N56:N62)</f>
        <v>0</v>
      </c>
      <c r="O63" s="1092">
        <f>SUM(O56:O62)</f>
        <v>0</v>
      </c>
      <c r="P63" s="1092">
        <f t="shared" si="347"/>
        <v>202</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26</v>
      </c>
      <c r="L65" s="1099">
        <f>SUM(L63:L64)</f>
        <v>176</v>
      </c>
      <c r="M65" s="1099">
        <f>SUM(M63:M64)</f>
        <v>0</v>
      </c>
      <c r="N65" s="1099">
        <f>SUM(N63:N64)</f>
        <v>0</v>
      </c>
      <c r="O65" s="1099">
        <f>SUM(O63:O64)</f>
        <v>0</v>
      </c>
      <c r="P65" s="1099">
        <f t="shared" si="347"/>
        <v>202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1</v>
      </c>
      <c r="M66" s="746">
        <f>EF49</f>
        <v>0</v>
      </c>
      <c r="N66" s="746">
        <f>EG49</f>
        <v>0</v>
      </c>
      <c r="O66" s="746">
        <f>EH49</f>
        <v>0</v>
      </c>
      <c r="P66" s="746">
        <f t="shared" si="347"/>
        <v>1</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26</v>
      </c>
      <c r="L67" s="1091">
        <f>SUM(L65:L66)</f>
        <v>177</v>
      </c>
      <c r="M67" s="1091">
        <f>SUM(M65:M66)</f>
        <v>0</v>
      </c>
      <c r="N67" s="1091">
        <f>SUM(N65:N66)</f>
        <v>0</v>
      </c>
      <c r="O67" s="1091">
        <f>SUM(O65:O66)</f>
        <v>0</v>
      </c>
      <c r="P67" s="1091">
        <f t="shared" si="347"/>
        <v>203</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3773</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4070</v>
      </c>
      <c r="E73" s="3555"/>
      <c r="F73" s="3555"/>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55"/>
      <c r="E76" s="3555"/>
      <c r="F76" s="3555"/>
      <c r="G76" s="6"/>
      <c r="H76" s="81" t="s">
        <v>1081</v>
      </c>
      <c r="I76" s="29"/>
      <c r="J76" s="1"/>
      <c r="K76" s="1436">
        <f t="shared" ref="K76:P76" si="352">IF(OR(K58=0,K67=0),"",K58/K67)</f>
        <v>1</v>
      </c>
      <c r="L76" s="1437">
        <f t="shared" si="352"/>
        <v>0.99435028248587576</v>
      </c>
      <c r="M76" s="1437" t="str">
        <f t="shared" si="352"/>
        <v/>
      </c>
      <c r="N76" s="1437" t="str">
        <f t="shared" si="352"/>
        <v/>
      </c>
      <c r="O76" s="1437" t="str">
        <f t="shared" si="352"/>
        <v/>
      </c>
      <c r="P76" s="1438">
        <f t="shared" si="352"/>
        <v>0.99507389162561577</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6488</v>
      </c>
      <c r="I77" s="29"/>
      <c r="J77" s="1"/>
      <c r="K77" s="1509">
        <f>IF(OR(K58=0,P76="",K67=0),"",P76*K67)</f>
        <v>25.871921182266011</v>
      </c>
      <c r="L77" s="1509">
        <f>IF(OR(L58=0,P76="",L67=0),"",P76*L67)</f>
        <v>176.12807881773398</v>
      </c>
      <c r="M77" s="1509" t="str">
        <f>IF(OR(M58=0,P76="",M67=0),"",P76*M67)</f>
        <v/>
      </c>
      <c r="N77" s="1509" t="str">
        <f>IF(OR(N58=0,P76="",N67=0),"",P76*N67)</f>
        <v/>
      </c>
      <c r="O77" s="1509" t="str">
        <f>IF(OR(O58=0,P76="",O67=0),"",P76*O67)</f>
        <v/>
      </c>
      <c r="P77" s="1510">
        <f>IF(OR(P76="",P67=0),"",P76*P67)</f>
        <v>202</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6489</v>
      </c>
      <c r="I78" s="1409"/>
      <c r="J78" s="1"/>
      <c r="K78" s="1511">
        <f t="shared" ref="K78:P78" si="353">IF(OR(K77="",K58=0),"", K58-K77)</f>
        <v>0.12807881773398933</v>
      </c>
      <c r="L78" s="1511">
        <f t="shared" si="353"/>
        <v>-0.12807881773397867</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26</v>
      </c>
      <c r="L95" s="1137">
        <f>CG49</f>
        <v>176</v>
      </c>
      <c r="M95" s="1137">
        <f>CH49</f>
        <v>0</v>
      </c>
      <c r="N95" s="1137">
        <f>CI49</f>
        <v>0</v>
      </c>
      <c r="O95" s="1138">
        <f>CJ49</f>
        <v>0</v>
      </c>
      <c r="P95" s="1090">
        <f t="shared" si="362"/>
        <v>202</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26</v>
      </c>
      <c r="L100" s="1091">
        <f>SUM(L93:L99)</f>
        <v>176</v>
      </c>
      <c r="M100" s="1091">
        <f>SUM(M93:M99)</f>
        <v>0</v>
      </c>
      <c r="N100" s="1091">
        <f>SUM(N93:N99)</f>
        <v>0</v>
      </c>
      <c r="O100" s="1091">
        <f>SUM(O93:O99)</f>
        <v>0</v>
      </c>
      <c r="P100" s="1091">
        <f t="shared" si="362"/>
        <v>202</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26</v>
      </c>
      <c r="L116" s="1125">
        <f>GW49</f>
        <v>176</v>
      </c>
      <c r="M116" s="1125">
        <f>GX49</f>
        <v>0</v>
      </c>
      <c r="N116" s="1125">
        <f>GY49</f>
        <v>0</v>
      </c>
      <c r="O116" s="1126">
        <f>GZ49</f>
        <v>0</v>
      </c>
      <c r="P116" s="749">
        <f t="shared" si="364"/>
        <v>202</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26</v>
      </c>
      <c r="L118" s="1093">
        <f>SUM(L116:L117)+HG49</f>
        <v>177</v>
      </c>
      <c r="M118" s="1093">
        <f>SUM(M116:M117)+HH49</f>
        <v>0</v>
      </c>
      <c r="N118" s="1093">
        <f>SUM(N116:N117)+HI49</f>
        <v>0</v>
      </c>
      <c r="O118" s="1093">
        <f>SUM(O116:O117)+HJ49</f>
        <v>0</v>
      </c>
      <c r="P118" s="1093">
        <f t="shared" si="364"/>
        <v>203</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v>26</v>
      </c>
      <c r="L123" s="468">
        <v>177</v>
      </c>
      <c r="M123" s="468"/>
      <c r="N123" s="468"/>
      <c r="O123" s="468"/>
      <c r="P123" s="464">
        <f t="shared" si="364"/>
        <v>203</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6493</v>
      </c>
      <c r="D127" s="3557"/>
      <c r="E127" s="908" t="s">
        <v>36</v>
      </c>
      <c r="F127" s="767"/>
      <c r="G127" s="909"/>
      <c r="H127" s="1442"/>
      <c r="I127" s="910"/>
      <c r="J127" s="911"/>
      <c r="K127" s="1145">
        <f t="shared" ref="K127:P127" si="365">SUM(K128:K135)</f>
        <v>26</v>
      </c>
      <c r="L127" s="1146">
        <f t="shared" si="365"/>
        <v>177</v>
      </c>
      <c r="M127" s="1146">
        <f t="shared" si="365"/>
        <v>0</v>
      </c>
      <c r="N127" s="1146">
        <f t="shared" si="365"/>
        <v>0</v>
      </c>
      <c r="O127" s="1147">
        <f t="shared" si="365"/>
        <v>0</v>
      </c>
      <c r="P127" s="1096">
        <f t="shared" si="365"/>
        <v>203</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6295</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6487</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26</v>
      </c>
      <c r="L135" s="1700">
        <f>LC49</f>
        <v>177</v>
      </c>
      <c r="M135" s="1700">
        <f>LD49</f>
        <v>0</v>
      </c>
      <c r="N135" s="1700">
        <f>LE49</f>
        <v>0</v>
      </c>
      <c r="O135" s="1701">
        <f>LF49</f>
        <v>0</v>
      </c>
      <c r="P135" s="1702">
        <f t="shared" si="367"/>
        <v>203</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6482</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6483</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6289</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6494</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26</v>
      </c>
      <c r="L154" s="1696">
        <f t="shared" si="371"/>
        <v>177</v>
      </c>
      <c r="M154" s="1696">
        <f t="shared" si="371"/>
        <v>0</v>
      </c>
      <c r="N154" s="1696">
        <f t="shared" si="371"/>
        <v>0</v>
      </c>
      <c r="O154" s="1697">
        <f t="shared" si="371"/>
        <v>0</v>
      </c>
      <c r="P154" s="1698">
        <f t="shared" si="369"/>
        <v>203</v>
      </c>
      <c r="Q154" s="3571" t="s">
        <v>3892</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18200</v>
      </c>
      <c r="L159" s="1164">
        <f>ET49</f>
        <v>140800</v>
      </c>
      <c r="M159" s="1164">
        <f>EU49</f>
        <v>0</v>
      </c>
      <c r="N159" s="1164">
        <f>EV49</f>
        <v>0</v>
      </c>
      <c r="O159" s="1165">
        <f>EW49</f>
        <v>0</v>
      </c>
      <c r="P159" s="1088">
        <f t="shared" si="372"/>
        <v>159000</v>
      </c>
      <c r="Q159" s="1291">
        <f t="shared" si="373"/>
        <v>787.12871287128712</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18200</v>
      </c>
      <c r="L164" s="1690">
        <f>SUM(L157:L163)</f>
        <v>140800</v>
      </c>
      <c r="M164" s="1690">
        <f>SUM(M157:M163)</f>
        <v>0</v>
      </c>
      <c r="N164" s="1690">
        <f>SUM(N157:N163)</f>
        <v>0</v>
      </c>
      <c r="O164" s="1690">
        <f>SUM(O157:O163)</f>
        <v>0</v>
      </c>
      <c r="P164" s="1690">
        <f>SUM(K164:O164)</f>
        <v>159000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18200</v>
      </c>
      <c r="L166" s="1689">
        <f>SUM(L164:L165)</f>
        <v>140800</v>
      </c>
      <c r="M166" s="1689">
        <f>SUM(M164:M165)</f>
        <v>0</v>
      </c>
      <c r="N166" s="1689">
        <f>SUM(N164:N165)</f>
        <v>0</v>
      </c>
      <c r="O166" s="1689">
        <f>SUM(O164:O165)</f>
        <v>0</v>
      </c>
      <c r="P166" s="1689">
        <f>SUM(K166:O166)</f>
        <v>159000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800</v>
      </c>
      <c r="M167" s="1167">
        <f>GD49</f>
        <v>0</v>
      </c>
      <c r="N167" s="1167">
        <f>GE49</f>
        <v>0</v>
      </c>
      <c r="O167" s="1168">
        <f>GF49</f>
        <v>0</v>
      </c>
      <c r="P167" s="1095">
        <f>SUM(K167:O167)</f>
        <v>800</v>
      </c>
      <c r="Q167" s="1234">
        <f>IF(OR(P66=0,P66=""),"",P167/P66)</f>
        <v>800</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18200</v>
      </c>
      <c r="L168" s="1094">
        <f>SUM(L166:L167)</f>
        <v>141600</v>
      </c>
      <c r="M168" s="1094">
        <f>SUM(M166:M167)</f>
        <v>0</v>
      </c>
      <c r="N168" s="1094">
        <f>SUM(N166:N167)</f>
        <v>0</v>
      </c>
      <c r="O168" s="1094">
        <f>SUM(O166:O167)</f>
        <v>0</v>
      </c>
      <c r="P168" s="1094">
        <f>SUM(K168:O168)</f>
        <v>159800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f>IF(OR(K67="",K67=0),"",K168/K67)</f>
        <v>700</v>
      </c>
      <c r="L171" s="1290">
        <f>IF(OR(L67="",L67=0),"",L168/L67)</f>
        <v>800</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54">
        <v>49830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209630</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55190.400000000001</v>
      </c>
      <c r="I179" s="3553"/>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t="s">
        <v>7060</v>
      </c>
      <c r="D184" s="3603"/>
      <c r="E184" s="3603"/>
      <c r="F184" s="3604"/>
      <c r="H184" s="706">
        <v>105576</v>
      </c>
      <c r="I184" s="706">
        <f>H184*1.02</f>
        <v>107687.52</v>
      </c>
      <c r="J184" s="706">
        <f t="shared" ref="J184:Q184" si="374">I184*1.02</f>
        <v>109841.27040000001</v>
      </c>
      <c r="K184" s="706">
        <f t="shared" si="374"/>
        <v>112038.09580800001</v>
      </c>
      <c r="L184" s="706">
        <f t="shared" si="374"/>
        <v>114278.85772416001</v>
      </c>
      <c r="M184" s="706">
        <f t="shared" si="374"/>
        <v>116564.43487864321</v>
      </c>
      <c r="N184" s="706">
        <f t="shared" si="374"/>
        <v>118895.72357621607</v>
      </c>
      <c r="O184" s="706">
        <f t="shared" si="374"/>
        <v>121273.63804774039</v>
      </c>
      <c r="P184" s="706">
        <f t="shared" si="374"/>
        <v>123699.1108086952</v>
      </c>
      <c r="Q184" s="706">
        <f t="shared" si="374"/>
        <v>126173.0930248691</v>
      </c>
      <c r="R184" s="674"/>
      <c r="S184" s="3559"/>
      <c r="T184" s="3560"/>
      <c r="U184" s="3560"/>
      <c r="V184" s="3560"/>
      <c r="W184" s="3561"/>
    </row>
    <row r="185" spans="1:493" ht="15.6" customHeight="1">
      <c r="B185" s="81"/>
      <c r="C185" s="81" t="s">
        <v>870</v>
      </c>
      <c r="D185" s="81"/>
      <c r="E185" s="81"/>
      <c r="F185" s="81"/>
      <c r="H185" s="708">
        <f>SUM(H183:H184)</f>
        <v>105576</v>
      </c>
      <c r="I185" s="708">
        <f>SUM(I183:I184)</f>
        <v>107687.52</v>
      </c>
      <c r="J185" s="708">
        <f t="shared" ref="J185:Q185" si="375">SUM(J183:J184)</f>
        <v>109841.27040000001</v>
      </c>
      <c r="K185" s="708">
        <f t="shared" si="375"/>
        <v>112038.09580800001</v>
      </c>
      <c r="L185" s="708">
        <f t="shared" si="375"/>
        <v>114278.85772416001</v>
      </c>
      <c r="M185" s="708">
        <f t="shared" si="375"/>
        <v>116564.43487864321</v>
      </c>
      <c r="N185" s="708">
        <f t="shared" si="375"/>
        <v>118895.72357621607</v>
      </c>
      <c r="O185" s="708">
        <f t="shared" si="375"/>
        <v>121273.63804774039</v>
      </c>
      <c r="P185" s="708">
        <f t="shared" si="375"/>
        <v>123699.1108086952</v>
      </c>
      <c r="Q185" s="708">
        <f t="shared" si="375"/>
        <v>126173.0930248691</v>
      </c>
      <c r="R185" s="90"/>
      <c r="S185" s="3572"/>
      <c r="T185" s="3573"/>
      <c r="U185" s="3573"/>
      <c r="V185" s="3573"/>
      <c r="W185" s="3574"/>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t="s">
        <v>7060</v>
      </c>
      <c r="D193" s="3603"/>
      <c r="E193" s="3603"/>
      <c r="F193" s="3604"/>
      <c r="H193" s="706">
        <f>Q184*1.02</f>
        <v>128696.55488536648</v>
      </c>
      <c r="I193" s="706">
        <f>H193*1.02</f>
        <v>131270.4859830738</v>
      </c>
      <c r="J193" s="706">
        <f t="shared" ref="J193:Q193" si="377">I193*1.02</f>
        <v>133895.89570273529</v>
      </c>
      <c r="K193" s="706">
        <f t="shared" si="377"/>
        <v>136573.81361678999</v>
      </c>
      <c r="L193" s="706">
        <f t="shared" si="377"/>
        <v>139305.28988912579</v>
      </c>
      <c r="M193" s="706">
        <f t="shared" si="377"/>
        <v>142091.3956869083</v>
      </c>
      <c r="N193" s="706">
        <f t="shared" si="377"/>
        <v>144933.22360064648</v>
      </c>
      <c r="O193" s="706">
        <f t="shared" si="377"/>
        <v>147831.88807265941</v>
      </c>
      <c r="P193" s="706">
        <f t="shared" si="377"/>
        <v>150788.5258341126</v>
      </c>
      <c r="Q193" s="706">
        <f t="shared" si="377"/>
        <v>153804.29635079484</v>
      </c>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128696.55488536648</v>
      </c>
      <c r="I194" s="708">
        <f>SUM(I192:I193)</f>
        <v>131270.4859830738</v>
      </c>
      <c r="J194" s="708">
        <f t="shared" ref="J194:Q194" si="378">SUM(J192:J193)</f>
        <v>133895.89570273529</v>
      </c>
      <c r="K194" s="708">
        <f t="shared" si="378"/>
        <v>136573.81361678999</v>
      </c>
      <c r="L194" s="708">
        <f t="shared" si="378"/>
        <v>139305.28988912579</v>
      </c>
      <c r="M194" s="708">
        <f t="shared" si="378"/>
        <v>142091.3956869083</v>
      </c>
      <c r="N194" s="708">
        <f t="shared" si="378"/>
        <v>144933.22360064648</v>
      </c>
      <c r="O194" s="708">
        <f t="shared" si="378"/>
        <v>147831.88807265941</v>
      </c>
      <c r="P194" s="708">
        <f t="shared" si="378"/>
        <v>150788.5258341126</v>
      </c>
      <c r="Q194" s="708">
        <f t="shared" si="378"/>
        <v>153804.29635079484</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t="s">
        <v>7061</v>
      </c>
      <c r="D202" s="3603"/>
      <c r="E202" s="3603"/>
      <c r="F202" s="3604"/>
      <c r="H202" s="706">
        <f>Q193*1.02</f>
        <v>156880.38227781074</v>
      </c>
      <c r="I202" s="706">
        <f>H202*1.02</f>
        <v>160017.98992336696</v>
      </c>
      <c r="J202" s="706">
        <f t="shared" ref="J202:Q202" si="380">I202*1.02</f>
        <v>163218.3497218343</v>
      </c>
      <c r="K202" s="706">
        <f t="shared" si="380"/>
        <v>166482.71671627098</v>
      </c>
      <c r="L202" s="706">
        <f t="shared" si="380"/>
        <v>169812.37105059641</v>
      </c>
      <c r="M202" s="706">
        <f t="shared" si="380"/>
        <v>173208.61847160835</v>
      </c>
      <c r="N202" s="706">
        <f t="shared" si="380"/>
        <v>176672.79084104052</v>
      </c>
      <c r="O202" s="706">
        <f t="shared" si="380"/>
        <v>180206.24665786134</v>
      </c>
      <c r="P202" s="706">
        <f t="shared" si="380"/>
        <v>183810.37159101857</v>
      </c>
      <c r="Q202" s="706">
        <f t="shared" si="380"/>
        <v>187486.57902283894</v>
      </c>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156880.38227781074</v>
      </c>
      <c r="I203" s="708">
        <f>SUM(I201:I202)</f>
        <v>160017.98992336696</v>
      </c>
      <c r="J203" s="708">
        <f t="shared" ref="J203:Q203" si="381">SUM(J201:J202)</f>
        <v>163218.3497218343</v>
      </c>
      <c r="K203" s="708">
        <f t="shared" si="381"/>
        <v>166482.71671627098</v>
      </c>
      <c r="L203" s="708">
        <f t="shared" si="381"/>
        <v>169812.37105059641</v>
      </c>
      <c r="M203" s="708">
        <f t="shared" si="381"/>
        <v>173208.61847160835</v>
      </c>
      <c r="N203" s="708">
        <f t="shared" si="381"/>
        <v>176672.79084104052</v>
      </c>
      <c r="O203" s="708">
        <f t="shared" si="381"/>
        <v>180206.24665786134</v>
      </c>
      <c r="P203" s="708">
        <f t="shared" si="381"/>
        <v>183810.37159101857</v>
      </c>
      <c r="Q203" s="708">
        <f t="shared" si="381"/>
        <v>187486.57902283894</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t="s">
        <v>7061</v>
      </c>
      <c r="D211" s="3603"/>
      <c r="E211" s="3603"/>
      <c r="F211" s="3604"/>
      <c r="H211" s="706">
        <f>Q202*1.02</f>
        <v>191236.31060329571</v>
      </c>
      <c r="I211" s="706">
        <f>H211*1.02</f>
        <v>195061.03681536164</v>
      </c>
      <c r="J211" s="706">
        <f t="shared" ref="J211:L211" si="383">I211*1.02</f>
        <v>198962.25755166888</v>
      </c>
      <c r="K211" s="706">
        <f t="shared" si="383"/>
        <v>202941.50270270227</v>
      </c>
      <c r="L211" s="706">
        <f t="shared" si="383"/>
        <v>207000.33275675631</v>
      </c>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191236.31060329571</v>
      </c>
      <c r="I212" s="708">
        <f>SUM(I210:I211)</f>
        <v>195061.03681536164</v>
      </c>
      <c r="J212" s="708">
        <f>SUM(J210:J211)</f>
        <v>198962.25755166888</v>
      </c>
      <c r="K212" s="708">
        <f>SUM(K210:K211)</f>
        <v>202941.50270270227</v>
      </c>
      <c r="L212" s="708">
        <f>SUM(L210:L211)</f>
        <v>207000.33275675631</v>
      </c>
      <c r="M212" s="68"/>
      <c r="N212" s="68"/>
      <c r="O212" s="68"/>
      <c r="P212" s="68"/>
      <c r="Q212" s="68"/>
      <c r="R212" s="6"/>
      <c r="S212" s="3572"/>
      <c r="T212" s="3573"/>
      <c r="U212" s="3573"/>
      <c r="V212" s="3573"/>
      <c r="W212" s="3574"/>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97284</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106111</v>
      </c>
      <c r="G221" s="3625"/>
      <c r="H221" s="1"/>
      <c r="I221" s="1" t="s">
        <v>1300</v>
      </c>
      <c r="K221" s="1"/>
      <c r="L221" s="3624"/>
      <c r="M221" s="3625"/>
      <c r="N221" s="1"/>
      <c r="O221" s="319">
        <f>+Q220/(P67*0.93)</f>
        <v>515.30271730494189</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128192</v>
      </c>
      <c r="G222" s="3600"/>
      <c r="H222" s="1"/>
      <c r="I222" s="1" t="s">
        <v>1301</v>
      </c>
      <c r="K222" s="1"/>
      <c r="L222" s="3627">
        <v>4496</v>
      </c>
      <c r="M222" s="3628"/>
      <c r="N222" s="1"/>
      <c r="O222" s="319">
        <f>+Q220/(P67*0.93)/12</f>
        <v>42.941893108745155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4496</v>
      </c>
      <c r="M223" s="3632"/>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599">
        <v>105576</v>
      </c>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7062</v>
      </c>
      <c r="C226" s="3609"/>
      <c r="D226" s="3609"/>
      <c r="E226" s="3610"/>
      <c r="F226" s="3627">
        <v>54488</v>
      </c>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394367</v>
      </c>
      <c r="G227" s="3632"/>
      <c r="H227" s="1"/>
      <c r="I227" s="1" t="s">
        <v>1497</v>
      </c>
      <c r="K227" s="1"/>
      <c r="L227" s="3611">
        <v>16281</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16716.04</v>
      </c>
      <c r="M228" s="3614"/>
      <c r="N228" s="3626" t="str">
        <f>IF(Q230="","",IF(Q228&lt;Q230, "WARNING! OE below required minimum.",""))</f>
        <v/>
      </c>
      <c r="O228" s="4" t="s">
        <v>2029</v>
      </c>
      <c r="P228" s="1"/>
      <c r="Q228" s="326">
        <f>F227+F236+F247+L223+L231+L241+L247+Q220</f>
        <v>1299121.3683243999</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c r="M229" s="3614"/>
      <c r="N229" s="3626"/>
      <c r="O229" s="42" t="s">
        <v>2486</v>
      </c>
      <c r="P229" s="319">
        <f>+Q228/P67</f>
        <v>6399.6126518443343</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17964</v>
      </c>
      <c r="G230" s="3625"/>
      <c r="H230" s="1"/>
      <c r="I230" s="3617" t="s">
        <v>7063</v>
      </c>
      <c r="J230" s="3618"/>
      <c r="K230" s="3619"/>
      <c r="L230" s="3629">
        <v>12120</v>
      </c>
      <c r="M230" s="3630"/>
      <c r="N230" s="3626"/>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913500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19964.96</v>
      </c>
      <c r="G231" s="3600"/>
      <c r="H231" s="1"/>
      <c r="I231" s="4"/>
      <c r="K231" s="8" t="s">
        <v>184</v>
      </c>
      <c r="L231" s="3633">
        <f>SUM(L227:L230)</f>
        <v>45117.04</v>
      </c>
      <c r="M231" s="3634"/>
      <c r="N231" s="3626"/>
      <c r="O231" s="3639" t="s">
        <v>6726</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1299.96</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4306</v>
      </c>
      <c r="G234" s="3600"/>
      <c r="H234" s="1"/>
      <c r="I234" s="4" t="s">
        <v>1297</v>
      </c>
      <c r="K234" s="248" t="s">
        <v>3885</v>
      </c>
      <c r="O234" s="1312" t="s">
        <v>3085</v>
      </c>
      <c r="P234" s="4"/>
      <c r="Q234" s="917">
        <v>85260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c r="C235" s="3609"/>
      <c r="D235" s="3609"/>
      <c r="E235" s="3610"/>
      <c r="F235" s="3627"/>
      <c r="G235" s="3628"/>
      <c r="H235" s="1"/>
      <c r="I235" s="1" t="s">
        <v>1290</v>
      </c>
      <c r="K235" s="365">
        <f>L235/12/P67</f>
        <v>56.400656814449924</v>
      </c>
      <c r="L235" s="3611">
        <v>137392</v>
      </c>
      <c r="M235" s="3612"/>
      <c r="N235" s="3626" t="str">
        <f>IF(Q234&lt;Q243, "WARNING! RR proposed is below the DCA required minimum.","")</f>
        <v/>
      </c>
      <c r="O235" s="772" t="s">
        <v>3884</v>
      </c>
      <c r="P235" s="767"/>
      <c r="Q235" s="773" t="e">
        <f>Q234/P243</f>
        <v>#DIV/0!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43534.92</v>
      </c>
      <c r="G236" s="3632"/>
      <c r="H236" s="1"/>
      <c r="I236" s="1" t="s">
        <v>1291</v>
      </c>
      <c r="K236" s="365">
        <f>L236/12/P67</f>
        <v>21.858768472906405</v>
      </c>
      <c r="L236" s="3613">
        <v>53247.96</v>
      </c>
      <c r="M236" s="3614"/>
      <c r="N236" s="3643"/>
      <c r="O236" s="3644" t="s">
        <v>3231</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44.86</v>
      </c>
      <c r="L237" s="3613">
        <v>109278.95999999999</v>
      </c>
      <c r="M237" s="3614"/>
      <c r="N237" s="3643"/>
      <c r="O237" s="766" t="s">
        <v>2464</v>
      </c>
      <c r="P237" s="669" t="s">
        <v>3285</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6.1699507389162562</v>
      </c>
      <c r="L238" s="3613">
        <v>15030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15300.04</v>
      </c>
      <c r="G239" s="3648"/>
      <c r="H239" s="1"/>
      <c r="I239" s="72" t="s">
        <v>6683</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14000</v>
      </c>
      <c r="G240" s="3636"/>
      <c r="H240" s="1"/>
      <c r="I240" s="3620" t="s">
        <v>46</v>
      </c>
      <c r="J240" s="3621"/>
      <c r="K240" s="365">
        <f>L240/12/P67</f>
        <v>0</v>
      </c>
      <c r="L240" s="3629"/>
      <c r="M240" s="3630"/>
      <c r="N240" s="3643"/>
      <c r="O240" s="387" t="s">
        <v>3051</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36000.04</v>
      </c>
      <c r="G241" s="3636"/>
      <c r="H241" s="1"/>
      <c r="K241" s="8" t="s">
        <v>184</v>
      </c>
      <c r="L241" s="3633">
        <f>SUM(L235:L240)</f>
        <v>314948.92</v>
      </c>
      <c r="M241" s="3634"/>
      <c r="N241" s="3643"/>
      <c r="O241" s="502" t="s">
        <v>6500</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7421</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17060.919999999998</v>
      </c>
      <c r="G243" s="3600"/>
      <c r="H243" s="1"/>
      <c r="I243" s="4" t="s">
        <v>1298</v>
      </c>
      <c r="O243" s="769" t="s">
        <v>2467</v>
      </c>
      <c r="P243" s="770">
        <f>SUM(MF49:MJ49)+SUM(MK49:MO49)+SUM(MP49:MT49)+P125</f>
        <v>0</v>
      </c>
      <c r="Q243" s="771">
        <f>SUM(Q239:Q242)</f>
        <v>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21600</v>
      </c>
      <c r="G244" s="3600"/>
      <c r="H244" s="1"/>
      <c r="I244" s="72" t="s">
        <v>3931</v>
      </c>
      <c r="K244" s="1"/>
      <c r="L244" s="3611">
        <v>124594.44832440001</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c r="G245" s="3600"/>
      <c r="H245" s="1"/>
      <c r="I245" s="1" t="s">
        <v>140</v>
      </c>
      <c r="K245" s="1"/>
      <c r="L245" s="3613">
        <v>163397.04</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111382</v>
      </c>
      <c r="G247" s="3642"/>
      <c r="H247" s="1"/>
      <c r="K247" s="8" t="s">
        <v>184</v>
      </c>
      <c r="L247" s="3633">
        <f>SUM(L243:L246)</f>
        <v>287991.48832440004</v>
      </c>
      <c r="M247" s="3640"/>
      <c r="N247" s="1"/>
      <c r="O247" s="4" t="s">
        <v>2030</v>
      </c>
      <c r="P247" s="1"/>
      <c r="Q247" s="326">
        <f>Q228+Q234</f>
        <v>1384381.3683243999</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69">
        <v>0</v>
      </c>
      <c r="L251" s="3570"/>
      <c r="M251" s="1284" t="s">
        <v>3902</v>
      </c>
      <c r="N251" s="1222">
        <v>0</v>
      </c>
      <c r="O251" s="4" t="s">
        <v>3877</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2652</v>
      </c>
      <c r="M253" s="53" t="s">
        <v>3906</v>
      </c>
      <c r="N253" s="1222">
        <v>0</v>
      </c>
      <c r="O253" s="72" t="s">
        <v>3904</v>
      </c>
      <c r="P253" s="1"/>
      <c r="Q253" s="1285">
        <v>0</v>
      </c>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38" t="s">
        <v>7064</v>
      </c>
      <c r="B256" s="3638"/>
      <c r="C256" s="3638"/>
      <c r="D256" s="3638"/>
      <c r="E256" s="3638"/>
      <c r="F256" s="3638"/>
      <c r="G256" s="3638"/>
      <c r="H256" s="3638"/>
      <c r="I256" s="3638"/>
      <c r="J256" s="3638"/>
      <c r="K256" s="3638"/>
      <c r="L256" s="3638"/>
      <c r="M256" s="3638"/>
      <c r="N256" s="3637"/>
      <c r="O256" s="3637"/>
      <c r="P256" s="3637"/>
      <c r="Q256" s="3637"/>
      <c r="R256" s="3047"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Normal="100" workbookViewId="0">
      <selection activeCell="H37" sqref="H37"/>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Bon Air, Augusta, Richmond County</v>
      </c>
      <c r="B2" s="3672"/>
      <c r="C2" s="3672"/>
      <c r="D2" s="3672"/>
      <c r="E2" s="3672"/>
      <c r="F2" s="3672"/>
      <c r="G2" s="3672"/>
      <c r="H2" s="3672"/>
      <c r="I2" s="3672"/>
      <c r="J2" s="3672"/>
      <c r="K2" s="3673"/>
      <c r="L2" s="4"/>
      <c r="M2" s="4"/>
      <c r="N2" s="3674" t="str">
        <f>A2</f>
        <v>PART SIX - OPERATING PRO FORMA  -  2023-0 Bon Air, Augusta, Richmond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3404</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3405</v>
      </c>
      <c r="E6" s="3558"/>
      <c r="F6" s="3558"/>
      <c r="G6" s="59">
        <v>7500</v>
      </c>
      <c r="H6" s="75" t="s">
        <v>1768</v>
      </c>
      <c r="K6" s="80">
        <f>IF(($B$15+$B$16+$B$17+$B$18)=0,"",B31/($B$15+$B$16+$B$17+$B$18))</f>
        <v>-2.6982776440487395E-3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3.4999898976485005E-2</v>
      </c>
      <c r="N8" s="3559"/>
      <c r="O8" s="3561"/>
      <c r="AA8" s="1721">
        <v>8</v>
      </c>
    </row>
    <row r="9" spans="1:27" ht="13.35" customHeight="1">
      <c r="A9" s="6" t="s">
        <v>2033</v>
      </c>
      <c r="B9" s="186">
        <v>0.05</v>
      </c>
      <c r="C9" s="1213" t="str">
        <f>IF(B9&lt;0.07, "Must be &gt;= 7%!","")</f>
        <v>Must be &gt;= 7%!</v>
      </c>
      <c r="D9" s="1" t="s">
        <v>2307</v>
      </c>
      <c r="G9" s="1228" t="s">
        <v>2652</v>
      </c>
      <c r="H9" s="140" t="s">
        <v>1355</v>
      </c>
      <c r="K9" s="1230"/>
      <c r="N9" s="3559"/>
      <c r="O9" s="3561"/>
      <c r="AA9" s="1721">
        <v>9</v>
      </c>
    </row>
    <row r="10" spans="1:27">
      <c r="A10" s="6" t="s">
        <v>1336</v>
      </c>
      <c r="B10" s="58">
        <v>0.02</v>
      </c>
      <c r="D10" s="1" t="s">
        <v>1597</v>
      </c>
      <c r="G10" s="1229" t="s">
        <v>2649</v>
      </c>
      <c r="H10" s="140" t="s">
        <v>2174</v>
      </c>
      <c r="K10" s="1231">
        <v>3.5000000000000003E-2</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2759520</v>
      </c>
      <c r="C15" s="15">
        <f t="shared" ref="C15:K15" si="1">$B$15*(1+$B$6)^(C14-1)</f>
        <v>2814710.4</v>
      </c>
      <c r="D15" s="15">
        <f t="shared" si="1"/>
        <v>2871004.608</v>
      </c>
      <c r="E15" s="15">
        <f t="shared" si="1"/>
        <v>2928424.70016</v>
      </c>
      <c r="F15" s="15">
        <f t="shared" si="1"/>
        <v>2986993.1941632</v>
      </c>
      <c r="G15" s="15">
        <f t="shared" si="1"/>
        <v>3046733.0580464639</v>
      </c>
      <c r="H15" s="15">
        <f t="shared" si="1"/>
        <v>3107667.7192073935</v>
      </c>
      <c r="I15" s="15">
        <f t="shared" si="1"/>
        <v>3169821.0735915406</v>
      </c>
      <c r="J15" s="15">
        <f t="shared" si="1"/>
        <v>3233217.495063372</v>
      </c>
      <c r="K15" s="16">
        <f t="shared" si="1"/>
        <v>3297881.8449646393</v>
      </c>
      <c r="N15" s="3562"/>
      <c r="O15" s="3564"/>
      <c r="S15" s="3667" t="s">
        <v>3410</v>
      </c>
      <c r="Z15" s="1719" t="s">
        <v>6462</v>
      </c>
      <c r="AA15" s="1721">
        <v>15</v>
      </c>
    </row>
    <row r="16" spans="1:27" ht="13.35" customHeight="1">
      <c r="A16" s="17" t="s">
        <v>952</v>
      </c>
      <c r="B16" s="18">
        <f>MIN(B15*B10,'Part V-Revenues &amp; Expenses'!$H$179)</f>
        <v>55190.400000000001</v>
      </c>
      <c r="C16" s="18">
        <f t="shared" ref="C16:K16" si="2">$B$16*(1+$B$6)^(C14-1)</f>
        <v>56294.208000000006</v>
      </c>
      <c r="D16" s="18">
        <f t="shared" si="2"/>
        <v>57420.09216</v>
      </c>
      <c r="E16" s="18">
        <f t="shared" si="2"/>
        <v>58568.494003199994</v>
      </c>
      <c r="F16" s="18">
        <f t="shared" si="2"/>
        <v>59739.863883263999</v>
      </c>
      <c r="G16" s="18">
        <f t="shared" si="2"/>
        <v>60934.661160929281</v>
      </c>
      <c r="H16" s="18">
        <f t="shared" si="2"/>
        <v>62153.354384147868</v>
      </c>
      <c r="I16" s="18">
        <f t="shared" si="2"/>
        <v>63396.421471830814</v>
      </c>
      <c r="J16" s="18">
        <f t="shared" si="2"/>
        <v>64664.349901267437</v>
      </c>
      <c r="K16" s="19">
        <f t="shared" si="2"/>
        <v>65957.636899292789</v>
      </c>
      <c r="N16" s="3559"/>
      <c r="O16" s="3561"/>
      <c r="S16" s="3668"/>
      <c r="Z16" s="1719" t="s">
        <v>6462</v>
      </c>
      <c r="AA16" s="1721">
        <v>16</v>
      </c>
    </row>
    <row r="17" spans="1:27" ht="13.35" customHeight="1">
      <c r="A17" s="17" t="s">
        <v>2216</v>
      </c>
      <c r="B17" s="18">
        <f t="shared" ref="B17:K17" si="3">-(B15+B16)*$B$9</f>
        <v>-140735.51999999999</v>
      </c>
      <c r="C17" s="18">
        <f t="shared" si="3"/>
        <v>-143550.2304</v>
      </c>
      <c r="D17" s="18">
        <f t="shared" si="3"/>
        <v>-146421.23500800002</v>
      </c>
      <c r="E17" s="18">
        <f t="shared" si="3"/>
        <v>-149349.65970816</v>
      </c>
      <c r="F17" s="18">
        <f t="shared" si="3"/>
        <v>-152336.6529023232</v>
      </c>
      <c r="G17" s="18">
        <f t="shared" si="3"/>
        <v>-155383.38596036966</v>
      </c>
      <c r="H17" s="18">
        <f t="shared" si="3"/>
        <v>-158491.05367957707</v>
      </c>
      <c r="I17" s="18">
        <f t="shared" si="3"/>
        <v>-161660.87475316858</v>
      </c>
      <c r="J17" s="18">
        <f t="shared" si="3"/>
        <v>-164894.09224823199</v>
      </c>
      <c r="K17" s="19">
        <f t="shared" si="3"/>
        <v>-168191.97409319662</v>
      </c>
      <c r="N17" s="3559"/>
      <c r="O17" s="3561"/>
      <c r="Q17" s="3670" t="s">
        <v>3300</v>
      </c>
      <c r="R17" s="3670" t="s">
        <v>3409</v>
      </c>
      <c r="S17" s="3668"/>
      <c r="Z17" s="1719" t="s">
        <v>6462</v>
      </c>
      <c r="AA17" s="1721">
        <v>17</v>
      </c>
    </row>
    <row r="18" spans="1:27" ht="13.35" customHeight="1">
      <c r="A18" s="17" t="s">
        <v>47</v>
      </c>
      <c r="B18" s="18">
        <f>+'Part V-Revenues &amp; Expenses'!H185</f>
        <v>105576</v>
      </c>
      <c r="C18" s="18">
        <f>+'Part V-Revenues &amp; Expenses'!I185</f>
        <v>107687.52</v>
      </c>
      <c r="D18" s="18">
        <f>+'Part V-Revenues &amp; Expenses'!J185</f>
        <v>109841.27040000001</v>
      </c>
      <c r="E18" s="18">
        <f>+'Part V-Revenues &amp; Expenses'!K185</f>
        <v>112038.09580800001</v>
      </c>
      <c r="F18" s="18">
        <f>+'Part V-Revenues &amp; Expenses'!L185</f>
        <v>114278.85772416001</v>
      </c>
      <c r="G18" s="18">
        <f>+'Part V-Revenues &amp; Expenses'!M185</f>
        <v>116564.43487864321</v>
      </c>
      <c r="H18" s="18">
        <f>+'Part V-Revenues &amp; Expenses'!N185</f>
        <v>118895.72357621607</v>
      </c>
      <c r="I18" s="18">
        <f>+'Part V-Revenues &amp; Expenses'!O185</f>
        <v>121273.63804774039</v>
      </c>
      <c r="J18" s="18">
        <f>+'Part V-Revenues &amp; Expenses'!P185</f>
        <v>123699.1108086952</v>
      </c>
      <c r="K18" s="19">
        <f>+'Part V-Revenues &amp; Expenses'!Q185</f>
        <v>126173.0930248691</v>
      </c>
      <c r="N18" s="3559"/>
      <c r="O18" s="3561"/>
      <c r="Q18" s="3670"/>
      <c r="R18" s="3670"/>
      <c r="S18" s="3669"/>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6462</v>
      </c>
      <c r="AA19" s="1721">
        <v>19</v>
      </c>
    </row>
    <row r="20" spans="1:27" ht="13.35" customHeight="1">
      <c r="A20" s="341" t="s">
        <v>3839</v>
      </c>
      <c r="B20" s="18">
        <f>SUM(B15:B19)</f>
        <v>2779550.88</v>
      </c>
      <c r="C20" s="18">
        <f t="shared" ref="C20:K20" si="4">SUM(C15:C19)</f>
        <v>2835141.8976000003</v>
      </c>
      <c r="D20" s="18">
        <f t="shared" si="4"/>
        <v>2891844.7355519999</v>
      </c>
      <c r="E20" s="18">
        <f t="shared" si="4"/>
        <v>2949681.6302630398</v>
      </c>
      <c r="F20" s="18">
        <f t="shared" si="4"/>
        <v>3008675.2628683005</v>
      </c>
      <c r="G20" s="18">
        <f t="shared" si="4"/>
        <v>3068848.7681256663</v>
      </c>
      <c r="H20" s="18">
        <f t="shared" si="4"/>
        <v>3130225.7434881805</v>
      </c>
      <c r="I20" s="18">
        <f t="shared" si="4"/>
        <v>3192830.258357943</v>
      </c>
      <c r="J20" s="18">
        <f t="shared" si="4"/>
        <v>3256686.8635251024</v>
      </c>
      <c r="K20" s="19">
        <f t="shared" si="4"/>
        <v>3321820.6007956048</v>
      </c>
      <c r="N20" s="3559"/>
      <c r="O20" s="3561"/>
      <c r="Z20" s="1719" t="s">
        <v>6462</v>
      </c>
      <c r="AA20" s="1721">
        <v>20</v>
      </c>
    </row>
    <row r="21" spans="1:27" ht="13.35" customHeight="1">
      <c r="A21" s="17" t="s">
        <v>572</v>
      </c>
      <c r="B21" s="18">
        <f>-('Part V-Revenues &amp; Expenses'!$Q$228-'Part V-Revenues &amp; Expenses'!$Q$220)</f>
        <v>-1201837.3683243999</v>
      </c>
      <c r="C21" s="18">
        <f t="shared" ref="C21:K21" si="5">$B$21*(1+$B$7)^(C14-1)</f>
        <v>-1237892.4893741319</v>
      </c>
      <c r="D21" s="18">
        <f t="shared" si="5"/>
        <v>-1275029.2640553559</v>
      </c>
      <c r="E21" s="18">
        <f t="shared" si="5"/>
        <v>-1313280.1419770166</v>
      </c>
      <c r="F21" s="18">
        <f t="shared" si="5"/>
        <v>-1352678.5462363269</v>
      </c>
      <c r="G21" s="18">
        <f t="shared" si="5"/>
        <v>-1393258.9026234166</v>
      </c>
      <c r="H21" s="18">
        <f t="shared" si="5"/>
        <v>-1435056.6697021192</v>
      </c>
      <c r="I21" s="18">
        <f t="shared" si="5"/>
        <v>-1478108.3697931829</v>
      </c>
      <c r="J21" s="18">
        <f t="shared" si="5"/>
        <v>-1522451.6208869782</v>
      </c>
      <c r="K21" s="19">
        <f t="shared" si="5"/>
        <v>-1568125.1695135876</v>
      </c>
      <c r="N21" s="3559"/>
      <c r="O21" s="3561"/>
      <c r="Q21" s="47">
        <v>1</v>
      </c>
      <c r="R21" s="869">
        <f>-B32</f>
        <v>0</v>
      </c>
      <c r="S21" s="869">
        <f>B33+R21</f>
        <v>284789.44683002424</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-97284</v>
      </c>
      <c r="C22" s="18">
        <f>IF(AND('Part VI-Pro Forma'!$G$9="Yes",'Part VI-Pro Forma'!$G$10="Yes"),"Choose One!",IF('Part VI-Pro Forma'!$G$9="Yes",ROUND((-$K$9*(1+'Part VI-Pro Forma'!$B$7)^('Part VI-Pro Forma'!C14-1)),),IF('Part VI-Pro Forma'!$G$10="Yes",ROUND((-(SUM(C15:C18)*'Part VI-Pro Forma'!$K$10)),),"Choose mgt fee")))</f>
        <v>-99230</v>
      </c>
      <c r="D22" s="18">
        <f>IF(AND('Part VI-Pro Forma'!$G$9="Yes",'Part VI-Pro Forma'!$G$10="Yes"),"Choose One!",IF('Part VI-Pro Forma'!$G$9="Yes",ROUND((-$K$9*(1+'Part VI-Pro Forma'!$B$7)^('Part VI-Pro Forma'!D14-1)),),IF('Part VI-Pro Forma'!$G$10="Yes",ROUND((-(SUM(D15:D18)*'Part VI-Pro Forma'!$K$10)),),"Choose mgt fee")))</f>
        <v>-101215</v>
      </c>
      <c r="E22" s="18">
        <f>IF(AND('Part VI-Pro Forma'!$G$9="Yes",'Part VI-Pro Forma'!$G$10="Yes"),"Choose One!",IF('Part VI-Pro Forma'!$G$9="Yes",ROUND((-$K$9*(1+'Part VI-Pro Forma'!$B$7)^('Part VI-Pro Forma'!E14-1)),),IF('Part VI-Pro Forma'!$G$10="Yes",ROUND((-(SUM(E15:E18)*'Part VI-Pro Forma'!$K$10)),),"Choose mgt fee")))</f>
        <v>-103239</v>
      </c>
      <c r="F22" s="18">
        <f>IF(AND('Part VI-Pro Forma'!$G$9="Yes",'Part VI-Pro Forma'!$G$10="Yes"),"Choose One!",IF('Part VI-Pro Forma'!$G$9="Yes",ROUND((-$K$9*(1+'Part VI-Pro Forma'!$B$7)^('Part VI-Pro Forma'!F14-1)),),IF('Part VI-Pro Forma'!$G$10="Yes",ROUND((-(SUM(F15:F18)*'Part VI-Pro Forma'!$K$10)),),"Choose mgt fee")))</f>
        <v>-105304</v>
      </c>
      <c r="G22" s="18">
        <f>IF(AND('Part VI-Pro Forma'!$G$9="Yes",'Part VI-Pro Forma'!$G$10="Yes"),"Choose One!",IF('Part VI-Pro Forma'!$G$9="Yes",ROUND((-$K$9*(1+'Part VI-Pro Forma'!$B$7)^('Part VI-Pro Forma'!G14-1)),),IF('Part VI-Pro Forma'!$G$10="Yes",ROUND((-(SUM(G15:G18)*'Part VI-Pro Forma'!$K$10)),),"Choose mgt fee")))</f>
        <v>-107410</v>
      </c>
      <c r="H22" s="18">
        <f>IF(AND('Part VI-Pro Forma'!$G$9="Yes",'Part VI-Pro Forma'!$G$10="Yes"),"Choose One!",IF('Part VI-Pro Forma'!$G$9="Yes",ROUND((-$K$9*(1+'Part VI-Pro Forma'!$B$7)^('Part VI-Pro Forma'!H14-1)),),IF('Part VI-Pro Forma'!$G$10="Yes",ROUND((-(SUM(H15:H18)*'Part VI-Pro Forma'!$K$10)),),"Choose mgt fee")))</f>
        <v>-109558</v>
      </c>
      <c r="I22" s="18">
        <f>IF(AND('Part VI-Pro Forma'!$G$9="Yes",'Part VI-Pro Forma'!$G$10="Yes"),"Choose One!",IF('Part VI-Pro Forma'!$G$9="Yes",ROUND((-$K$9*(1+'Part VI-Pro Forma'!$B$7)^('Part VI-Pro Forma'!I14-1)),),IF('Part VI-Pro Forma'!$G$10="Yes",ROUND((-(SUM(I15:I18)*'Part VI-Pro Forma'!$K$10)),),"Choose mgt fee")))</f>
        <v>-111749</v>
      </c>
      <c r="J22" s="18">
        <f>IF(AND('Part VI-Pro Forma'!$G$9="Yes",'Part VI-Pro Forma'!$G$10="Yes"),"Choose One!",IF('Part VI-Pro Forma'!$G$9="Yes",ROUND((-$K$9*(1+'Part VI-Pro Forma'!$B$7)^('Part VI-Pro Forma'!J14-1)),),IF('Part VI-Pro Forma'!$G$10="Yes",ROUND((-(SUM(J15:J18)*'Part VI-Pro Forma'!$K$10)),),"Choose mgt fee")))</f>
        <v>-113984</v>
      </c>
      <c r="K22" s="19">
        <f>IF(AND('Part VI-Pro Forma'!$G$9="Yes",'Part VI-Pro Forma'!$G$10="Yes"),"Choose One!",IF('Part VI-Pro Forma'!$G$9="Yes",ROUND((-$K$9*(1+'Part VI-Pro Forma'!$B$7)^('Part VI-Pro Forma'!K14-1)),),IF('Part VI-Pro Forma'!$G$10="Yes",ROUND((-(SUM(K15:K18)*'Part VI-Pro Forma'!$K$10)),),"Choose mgt fee")))</f>
        <v>-116264</v>
      </c>
      <c r="N22" s="3559"/>
      <c r="O22" s="3561"/>
      <c r="Q22" s="47">
        <v>2</v>
      </c>
      <c r="R22" s="869">
        <f>-SUM(B32:C32)</f>
        <v>78929</v>
      </c>
      <c r="S22" s="869">
        <f>SUM(B33:C33)+R22</f>
        <v>584610.99021031684</v>
      </c>
      <c r="Z22" s="1719" t="s">
        <v>6462</v>
      </c>
      <c r="AA22" s="1721">
        <v>22</v>
      </c>
    </row>
    <row r="23" spans="1:27" ht="13.35" customHeight="1">
      <c r="A23" s="17" t="s">
        <v>1128</v>
      </c>
      <c r="B23" s="18">
        <f>-('Part V-Revenues &amp; Expenses'!$Q$234)</f>
        <v>-85260</v>
      </c>
      <c r="C23" s="18">
        <f t="shared" ref="C23:K23" si="6">$B$23*(1+$B$8)^(C14-1)</f>
        <v>-87817.8</v>
      </c>
      <c r="D23" s="18">
        <f t="shared" si="6"/>
        <v>-90452.334000000003</v>
      </c>
      <c r="E23" s="18">
        <f t="shared" si="6"/>
        <v>-93165.904020000002</v>
      </c>
      <c r="F23" s="18">
        <f t="shared" si="6"/>
        <v>-95960.881140599988</v>
      </c>
      <c r="G23" s="18">
        <f t="shared" si="6"/>
        <v>-98839.707574817992</v>
      </c>
      <c r="H23" s="18">
        <f t="shared" si="6"/>
        <v>-101804.89880206253</v>
      </c>
      <c r="I23" s="18">
        <f t="shared" si="6"/>
        <v>-104859.04576612441</v>
      </c>
      <c r="J23" s="18">
        <f t="shared" si="6"/>
        <v>-108004.81713910814</v>
      </c>
      <c r="K23" s="19">
        <f t="shared" si="6"/>
        <v>-111244.96165328138</v>
      </c>
      <c r="N23" s="3559"/>
      <c r="O23" s="3561"/>
      <c r="Q23" s="47">
        <v>3</v>
      </c>
      <c r="R23" s="869">
        <f>-SUM(B32:D32)</f>
        <v>250670</v>
      </c>
      <c r="S23" s="869">
        <f>SUM(B33:D33)+R23</f>
        <v>899379.06286138506</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433623</v>
      </c>
      <c r="S24" s="869">
        <f>SUM(B33:E33)+R24</f>
        <v>1228995.5822818326</v>
      </c>
      <c r="Z24" s="1719" t="s">
        <v>6462</v>
      </c>
      <c r="AA24" s="1721">
        <v>24</v>
      </c>
    </row>
    <row r="25" spans="1:27" ht="13.35" customHeight="1">
      <c r="A25" s="17" t="s">
        <v>1129</v>
      </c>
      <c r="B25" s="18">
        <f>SUM(B20:B24)</f>
        <v>1395169.5116756</v>
      </c>
      <c r="C25" s="18">
        <f t="shared" ref="C25:J25" si="7">SUM(C20:C24)</f>
        <v>1410201.6082258683</v>
      </c>
      <c r="D25" s="18">
        <f t="shared" si="7"/>
        <v>1425148.1374966439</v>
      </c>
      <c r="E25" s="18">
        <f t="shared" si="7"/>
        <v>1439996.5842660232</v>
      </c>
      <c r="F25" s="18">
        <f t="shared" si="7"/>
        <v>1454731.8354913737</v>
      </c>
      <c r="G25" s="18">
        <f t="shared" si="7"/>
        <v>1469340.1579274316</v>
      </c>
      <c r="H25" s="18">
        <f t="shared" si="7"/>
        <v>1483806.1749839988</v>
      </c>
      <c r="I25" s="18">
        <f t="shared" si="7"/>
        <v>1498113.8427986356</v>
      </c>
      <c r="J25" s="18">
        <f t="shared" si="7"/>
        <v>1512246.425499016</v>
      </c>
      <c r="K25" s="1215">
        <f>SUM(K20:K24)</f>
        <v>1526186.4696287357</v>
      </c>
      <c r="N25" s="3559"/>
      <c r="O25" s="3561"/>
      <c r="Q25" s="92">
        <v>5</v>
      </c>
      <c r="R25" s="869">
        <f>-SUM(B32:F32)</f>
        <v>547879</v>
      </c>
      <c r="S25" s="869">
        <f>SUM(B33:F33)+R25</f>
        <v>1573347.3529276305</v>
      </c>
      <c r="Z25" s="1719" t="s">
        <v>6462</v>
      </c>
      <c r="AA25" s="1721">
        <v>25</v>
      </c>
    </row>
    <row r="26" spans="1:27" ht="13.35" customHeight="1">
      <c r="A26" s="341" t="s">
        <v>1486</v>
      </c>
      <c r="B26" s="342">
        <f>IF('Part II-Sources of Funds'!$P$40="", 0,-'Part II-Sources of Funds'!$P$40)</f>
        <v>-1102880.0648455757</v>
      </c>
      <c r="C26" s="342">
        <f>IF('Part II-Sources of Funds'!$P$40="", 0,-'Part II-Sources of Funds'!$P$40)</f>
        <v>-1102880.0648455757</v>
      </c>
      <c r="D26" s="342">
        <f>IF('Part II-Sources of Funds'!$P$40="", 0,-'Part II-Sources of Funds'!$P$40)</f>
        <v>-1102880.0648455757</v>
      </c>
      <c r="E26" s="342">
        <f>IF('Part II-Sources of Funds'!$P$40="", 0,-'Part II-Sources of Funds'!$P$40)</f>
        <v>-1102880.0648455757</v>
      </c>
      <c r="F26" s="342">
        <f>IF('Part II-Sources of Funds'!$P$40="", 0,-'Part II-Sources of Funds'!$P$40)</f>
        <v>-1102880.0648455757</v>
      </c>
      <c r="G26" s="342">
        <f>IF('Part II-Sources of Funds'!$P$40="", 0,-'Part II-Sources of Funds'!$P$40)</f>
        <v>-1102880.0648455757</v>
      </c>
      <c r="H26" s="342">
        <f>IF('Part II-Sources of Funds'!$P$40="", 0,-'Part II-Sources of Funds'!$P$40)</f>
        <v>-1102880.0648455757</v>
      </c>
      <c r="I26" s="342">
        <f>IF('Part II-Sources of Funds'!$P$40="", 0,-'Part II-Sources of Funds'!$P$40)</f>
        <v>-1102880.0648455757</v>
      </c>
      <c r="J26" s="342">
        <f>IF('Part II-Sources of Funds'!$P$40="", 0,-'Part II-Sources of Funds'!$P$40)</f>
        <v>-1102880.0648455757</v>
      </c>
      <c r="K26" s="342">
        <f>IF('Part II-Sources of Funds'!$P$40="", 0,-'Part II-Sources of Funds'!$P$40)</f>
        <v>-1102880.0648455757</v>
      </c>
      <c r="N26" s="3559"/>
      <c r="O26" s="3561"/>
      <c r="Q26" s="92">
        <v>6</v>
      </c>
      <c r="R26" s="869">
        <f>-SUM(B32:G32)</f>
        <v>547879</v>
      </c>
      <c r="S26" s="869">
        <f>SUM(B33:G33)+R26</f>
        <v>1932307.4460094864</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547879</v>
      </c>
      <c r="S27" s="869">
        <f>SUM(B33:H33)+R27</f>
        <v>2305733.5561479097</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547879</v>
      </c>
      <c r="S28" s="869">
        <f>SUM(B33:I33)+R28</f>
        <v>2693467.3341009691</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547879</v>
      </c>
      <c r="S29" s="869">
        <f>SUM(B33:J33)+R29</f>
        <v>3095333.6947544096</v>
      </c>
      <c r="Z29" s="1719" t="s">
        <v>6462</v>
      </c>
      <c r="AA29" s="1721">
        <v>29</v>
      </c>
    </row>
    <row r="30" spans="1:27" ht="13.35" customHeight="1">
      <c r="A30" s="17" t="s">
        <v>711</v>
      </c>
      <c r="B30" s="138"/>
      <c r="C30" s="138"/>
      <c r="D30" s="138"/>
      <c r="E30" s="138"/>
      <c r="F30" s="138"/>
      <c r="G30" s="138"/>
      <c r="H30" s="138"/>
      <c r="I30" s="138"/>
      <c r="J30" s="138"/>
      <c r="K30" s="138"/>
      <c r="N30" s="3559"/>
      <c r="O30" s="3561"/>
      <c r="Q30" s="92">
        <v>10</v>
      </c>
      <c r="R30" s="869">
        <f>-SUM(B32:K32)</f>
        <v>547879</v>
      </c>
      <c r="S30" s="869">
        <f>SUM(B33:K33)+R30</f>
        <v>3511140.0995375696</v>
      </c>
      <c r="Z30" s="1719" t="s">
        <v>6462</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9"/>
      <c r="O31" s="3561"/>
      <c r="Q31" s="92">
        <v>11</v>
      </c>
      <c r="R31" s="869">
        <f>-SUM(B32:K32)-B64</f>
        <v>547879</v>
      </c>
      <c r="S31" s="869">
        <f>SUM(B33:K33)+B65+R31</f>
        <v>3940676.8124016356</v>
      </c>
      <c r="Z31" s="1719" t="s">
        <v>6462</v>
      </c>
      <c r="AA31" s="1721">
        <v>31</v>
      </c>
    </row>
    <row r="32" spans="1:27" ht="13.35" customHeight="1">
      <c r="A32" s="341" t="s">
        <v>3363</v>
      </c>
      <c r="B32" s="179"/>
      <c r="C32" s="179">
        <v>-78929</v>
      </c>
      <c r="D32" s="179">
        <v>-171741</v>
      </c>
      <c r="E32" s="179">
        <v>-182953</v>
      </c>
      <c r="F32" s="179">
        <v>-114256</v>
      </c>
      <c r="G32" s="179"/>
      <c r="H32" s="179"/>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547879</v>
      </c>
      <c r="S32" s="869">
        <f>SUM(B33:K33) + SUM(B65:C65)+R32</f>
        <v>4383714.1284688748</v>
      </c>
      <c r="Z32" s="1719" t="s">
        <v>6462</v>
      </c>
      <c r="AA32" s="1721">
        <v>32</v>
      </c>
    </row>
    <row r="33" spans="1:27" ht="13.35" customHeight="1">
      <c r="A33" s="17" t="s">
        <v>1096</v>
      </c>
      <c r="B33" s="18">
        <f t="shared" ref="B33:K33" si="9">SUM(B25:B32)</f>
        <v>284789.44683002424</v>
      </c>
      <c r="C33" s="18">
        <f t="shared" si="9"/>
        <v>220892.5433802926</v>
      </c>
      <c r="D33" s="18">
        <f t="shared" si="9"/>
        <v>143027.07265106821</v>
      </c>
      <c r="E33" s="18">
        <f t="shared" si="9"/>
        <v>146663.51942044753</v>
      </c>
      <c r="F33" s="18">
        <f t="shared" si="9"/>
        <v>230095.77064579795</v>
      </c>
      <c r="G33" s="18">
        <f t="shared" si="9"/>
        <v>358960.09308185591</v>
      </c>
      <c r="H33" s="18">
        <f t="shared" si="9"/>
        <v>373426.11013842304</v>
      </c>
      <c r="I33" s="18">
        <f t="shared" si="9"/>
        <v>387733.77795305988</v>
      </c>
      <c r="J33" s="18">
        <f t="shared" si="9"/>
        <v>401866.36065344024</v>
      </c>
      <c r="K33" s="19">
        <f t="shared" si="9"/>
        <v>415806.40478315996</v>
      </c>
      <c r="N33" s="3559"/>
      <c r="O33" s="3561"/>
      <c r="Q33" s="92">
        <v>13</v>
      </c>
      <c r="R33" s="869">
        <f>-SUM(B32:K32) - SUM(B64:D64)</f>
        <v>547879</v>
      </c>
      <c r="S33" s="869">
        <f>SUM(B33:K33) + SUM(B65:D65)+R33</f>
        <v>4840003.5744328219</v>
      </c>
      <c r="Z33" s="1719" t="s">
        <v>6462</v>
      </c>
      <c r="AA33" s="1721">
        <v>33</v>
      </c>
    </row>
    <row r="34" spans="1:27" ht="13.35" customHeight="1">
      <c r="A34" s="17" t="str">
        <f>IF('Part II-Sources of Funds'!$E$40 = "Neither", "", "DCR Mortgage A")</f>
        <v>DCR Mortgage A</v>
      </c>
      <c r="B34" s="20">
        <f t="shared" ref="B34:K34" si="10">IF(B26=0,"",-B25/B26)</f>
        <v>1.2650237828634161</v>
      </c>
      <c r="C34" s="20">
        <f t="shared" si="10"/>
        <v>1.2786536389369985</v>
      </c>
      <c r="D34" s="20">
        <f t="shared" si="10"/>
        <v>1.2922059097116712</v>
      </c>
      <c r="E34" s="20">
        <f t="shared" si="10"/>
        <v>1.3056692474241525</v>
      </c>
      <c r="F34" s="20">
        <f t="shared" si="10"/>
        <v>1.3190299488231878</v>
      </c>
      <c r="G34" s="20">
        <f t="shared" si="10"/>
        <v>1.3322755617431232</v>
      </c>
      <c r="H34" s="20">
        <f t="shared" si="10"/>
        <v>1.3453921439696708</v>
      </c>
      <c r="I34" s="20">
        <f t="shared" si="10"/>
        <v>1.3583651482615202</v>
      </c>
      <c r="J34" s="20">
        <f t="shared" si="10"/>
        <v>1.3711793999202981</v>
      </c>
      <c r="K34" s="21">
        <f t="shared" si="10"/>
        <v>1.3838190736020157</v>
      </c>
      <c r="N34" s="3559"/>
      <c r="O34" s="3561"/>
      <c r="Q34" s="92">
        <v>14</v>
      </c>
      <c r="R34" s="869">
        <f>-SUM(B32:K32) - SUM(B64:E64)</f>
        <v>547879</v>
      </c>
      <c r="S34" s="869">
        <f>SUM(B33:K33) + SUM(B65:E65)+R34</f>
        <v>5309275.0797597626</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547879</v>
      </c>
      <c r="S35" s="869">
        <f>SUM(B33:K33) + SUM(B65:F65)+R35</f>
        <v>5791238.1177113634</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547879</v>
      </c>
      <c r="S36" s="869">
        <f>SUM(B33:K33) + SUM(B65:G65)+R36</f>
        <v>6285579.8151767515</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547879</v>
      </c>
      <c r="S37" s="869">
        <f>SUM(B33:K33) + SUM(B65:H65)+R37</f>
        <v>6791964.0302699385</v>
      </c>
      <c r="Z37" s="1719" t="s">
        <v>6462</v>
      </c>
      <c r="AA37" s="1721">
        <v>37</v>
      </c>
    </row>
    <row r="38" spans="1:27" ht="13.35" customHeight="1">
      <c r="A38" s="341" t="s">
        <v>3214</v>
      </c>
      <c r="B38" s="20">
        <f t="shared" ref="B38:K38" si="14">IF(AND(B26=0,B27=0,B28=0,B29=0),"",-B25/(B26+B27+B28+B29))</f>
        <v>1.2650237828634161</v>
      </c>
      <c r="C38" s="20">
        <f t="shared" si="14"/>
        <v>1.2786536389369985</v>
      </c>
      <c r="D38" s="20">
        <f t="shared" si="14"/>
        <v>1.2922059097116712</v>
      </c>
      <c r="E38" s="20">
        <f t="shared" si="14"/>
        <v>1.3056692474241525</v>
      </c>
      <c r="F38" s="20">
        <f t="shared" si="14"/>
        <v>1.3190299488231878</v>
      </c>
      <c r="G38" s="20">
        <f t="shared" si="14"/>
        <v>1.3322755617431232</v>
      </c>
      <c r="H38" s="20">
        <f t="shared" si="14"/>
        <v>1.3453921439696708</v>
      </c>
      <c r="I38" s="20">
        <f t="shared" si="14"/>
        <v>1.3583651482615202</v>
      </c>
      <c r="J38" s="20">
        <f t="shared" si="14"/>
        <v>1.3711793999202981</v>
      </c>
      <c r="K38" s="21">
        <f t="shared" si="14"/>
        <v>1.3838190736020157</v>
      </c>
      <c r="N38" s="3559"/>
      <c r="O38" s="3561"/>
      <c r="Q38" s="47">
        <v>18</v>
      </c>
      <c r="R38" s="869">
        <f>-SUM(B32:K32) - SUM(B64:I64)</f>
        <v>547879</v>
      </c>
      <c r="S38" s="869">
        <f>SUM(B33:K33) + SUM(B65:I65)+R38</f>
        <v>7310029.3966149297</v>
      </c>
      <c r="Z38" s="1719" t="s">
        <v>6462</v>
      </c>
      <c r="AA38" s="1721">
        <v>38</v>
      </c>
    </row>
    <row r="39" spans="1:27" ht="13.35" customHeight="1">
      <c r="A39" s="17" t="s">
        <v>718</v>
      </c>
      <c r="B39" s="220">
        <f t="shared" ref="B39:K39" si="15">IF(OR(B22="Choose mgt fee",B22="Choose One!"),"",(B15+B16+B17+B18+B19) / -(B21+B22+B23))</f>
        <v>2.0077927539318572</v>
      </c>
      <c r="C39" s="220">
        <f t="shared" si="15"/>
        <v>1.9896566324510783</v>
      </c>
      <c r="D39" s="220">
        <f t="shared" si="15"/>
        <v>1.9716720822740028</v>
      </c>
      <c r="E39" s="220">
        <f t="shared" si="15"/>
        <v>1.9538390726491099</v>
      </c>
      <c r="F39" s="220">
        <f t="shared" si="15"/>
        <v>1.9361549525306572</v>
      </c>
      <c r="G39" s="220">
        <f t="shared" si="15"/>
        <v>1.9186197239321703</v>
      </c>
      <c r="H39" s="220">
        <f t="shared" si="15"/>
        <v>1.9012321059400905</v>
      </c>
      <c r="I39" s="220">
        <f t="shared" si="15"/>
        <v>1.8839908724812895</v>
      </c>
      <c r="J39" s="220">
        <f t="shared" si="15"/>
        <v>1.8668948463555406</v>
      </c>
      <c r="K39" s="221">
        <f t="shared" si="15"/>
        <v>1.8499428937881481</v>
      </c>
      <c r="N39" s="3559"/>
      <c r="O39" s="3561"/>
      <c r="Q39" s="92">
        <v>19</v>
      </c>
      <c r="R39" s="869">
        <f>-SUM(B32:K32) - SUM(B64:J64)</f>
        <v>547879</v>
      </c>
      <c r="S39" s="869">
        <f>SUM(B33:K33) + SUM(B65:J65)+R39</f>
        <v>7839389.3332063481</v>
      </c>
      <c r="Z39" s="1719" t="s">
        <v>6462</v>
      </c>
      <c r="AA39" s="1721">
        <v>39</v>
      </c>
    </row>
    <row r="40" spans="1:27" ht="13.35" customHeight="1">
      <c r="A40" s="341" t="s">
        <v>2405</v>
      </c>
      <c r="B40" s="177">
        <f>IF('Part II-Sources of Funds'!$I$40="","",-FV('Part II-Sources of Funds'!$K$40/12,12,B26/12,'Part II-Sources of Funds'!$I$40))</f>
        <v>18906637.028557263</v>
      </c>
      <c r="C40" s="177">
        <f>IF('Part II-Sources of Funds'!$I$40="","",-FV('Part II-Sources of Funds'!$K$40/12,12,C26/12,B40))</f>
        <v>18745427.716430735</v>
      </c>
      <c r="D40" s="177">
        <f>IF('Part II-Sources of Funds'!$I$40="","",-FV('Part II-Sources of Funds'!$K$40/12,12,D26/12,C40))</f>
        <v>18575970.629939605</v>
      </c>
      <c r="E40" s="177">
        <f>IF('Part II-Sources of Funds'!$I$40="","",-FV('Part II-Sources of Funds'!$K$40/12,12,E26/12,D40))</f>
        <v>18397843.797294077</v>
      </c>
      <c r="F40" s="177">
        <f>IF('Part II-Sources of Funds'!$I$40="","",-FV('Part II-Sources of Funds'!$K$40/12,12,F26/12,E40))</f>
        <v>18210603.657826744</v>
      </c>
      <c r="G40" s="177">
        <f>IF('Part II-Sources of Funds'!$I$40="","",-FV('Part II-Sources of Funds'!$K$40/12,12,G26/12,F40))</f>
        <v>18013783.95746462</v>
      </c>
      <c r="H40" s="177">
        <f>IF('Part II-Sources of Funds'!$I$40="","",-FV('Part II-Sources of Funds'!$K$40/12,12,H26/12,G40))</f>
        <v>17806894.587691456</v>
      </c>
      <c r="I40" s="177">
        <f>IF('Part II-Sources of Funds'!$I$40="","",-FV('Part II-Sources of Funds'!$K$40/12,12,I26/12,H40))</f>
        <v>17589420.365109142</v>
      </c>
      <c r="J40" s="177">
        <f>IF('Part II-Sources of Funds'!$I$40="","",-FV('Part II-Sources of Funds'!$K$40/12,12,J26/12,I40))</f>
        <v>17360819.748559162</v>
      </c>
      <c r="K40" s="177">
        <f>IF('Part II-Sources of Funds'!$I$40="","",-FV('Part II-Sources of Funds'!$K$40/12,12,K26/12,J40))</f>
        <v>17120523.490609549</v>
      </c>
      <c r="N40" s="3559"/>
      <c r="O40" s="3561"/>
      <c r="Q40" s="92">
        <v>20</v>
      </c>
      <c r="R40" s="869">
        <f>-SUM(B32:K32) - SUM(B64:K64)</f>
        <v>547879</v>
      </c>
      <c r="S40" s="869">
        <f>SUM(B33:K33) + SUM(B65:K65)+R40</f>
        <v>8379632.0186978038</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6462</v>
      </c>
      <c r="AA43" s="1721">
        <v>43</v>
      </c>
    </row>
    <row r="44" spans="1:27" ht="13.35" customHeight="1">
      <c r="A44" s="341" t="s">
        <v>3364</v>
      </c>
      <c r="B44" s="179">
        <f>IF('Part II-Sources of Funds'!$I$45="","",-FV('Part II-Sources of Funds'!$K$45/12,12,B32/12,'Part II-Sources of Funds'!$I$45))</f>
        <v>547879.11845102161</v>
      </c>
      <c r="C44" s="179">
        <f>IF('Part II-Sources of Funds'!$I$45="","",IF(-FV('Part II-Sources of Funds'!$K$45/12,12,C32/12,B44)&gt;0,-FV('Part II-Sources of Funds'!$K$45/12,12,C32/12,B44),0))</f>
        <v>468950.11845102161</v>
      </c>
      <c r="D44" s="179">
        <f>IF('Part II-Sources of Funds'!$I$45="","",IF(-FV('Part II-Sources of Funds'!$K$45/12,12,D32/12,C44)&gt;0,-FV('Part II-Sources of Funds'!$K$45/12,12,D32/12,C44),0))</f>
        <v>297209.11845102161</v>
      </c>
      <c r="E44" s="179">
        <f>IF('Part II-Sources of Funds'!$I$45="","",IF(-FV('Part II-Sources of Funds'!$K$45/12,12,E32/12,D44)&gt;0,-FV('Part II-Sources of Funds'!$K$45/12,12,E32/12,D44),0))</f>
        <v>114256.11845102161</v>
      </c>
      <c r="F44" s="179">
        <f>IF('Part II-Sources of Funds'!$I$45="","",IF(-FV('Part II-Sources of Funds'!$K$45/12,12,F32/12,E44)&gt;0,-FV('Part II-Sources of Funds'!$K$45/12,12,F32/12,E44),0))</f>
        <v>0.11845102161169052</v>
      </c>
      <c r="G44" s="179">
        <f>IF('Part II-Sources of Funds'!$I$45="","",IF(-FV('Part II-Sources of Funds'!$K$45/12,12,G32/12,F44)&gt;0,-FV('Part II-Sources of Funds'!$K$45/12,12,G32/12,F44),0))</f>
        <v>0.11845102161169052</v>
      </c>
      <c r="H44" s="179">
        <f>IF('Part II-Sources of Funds'!$I$45="","",IF(-FV('Part II-Sources of Funds'!$K$45/12,12,H32/12,G44)&gt;0,-FV('Part II-Sources of Funds'!$K$45/12,12,H32/12,G44),0))</f>
        <v>0.11845102161169052</v>
      </c>
      <c r="I44" s="179">
        <f>IF('Part II-Sources of Funds'!$I$45="","",IF(-FV('Part II-Sources of Funds'!$K$45/12,12,I32/12,H44)&gt;0,-FV('Part II-Sources of Funds'!$K$45/12,12,I32/12,H44),0))</f>
        <v>0.11845102161169052</v>
      </c>
      <c r="J44" s="179">
        <f>IF('Part II-Sources of Funds'!$I$45="","",IF(-FV('Part II-Sources of Funds'!$K$45/12,12,J32/12,I44)&gt;0,-FV('Part II-Sources of Funds'!$K$45/12,12,J32/12,I44),0))</f>
        <v>0.11845102161169052</v>
      </c>
      <c r="K44" s="179">
        <f>IF('Part II-Sources of Funds'!$I$45="","",IF(-FV('Part II-Sources of Funds'!$K$45/12,12,K32/12,J44)&gt;0,-FV('Part II-Sources of Funds'!$K$45/12,12,K32/12,J44),0))</f>
        <v>0.11845102161169052</v>
      </c>
      <c r="N44" s="3572"/>
      <c r="O44" s="3574"/>
      <c r="Z44" s="1719" t="s">
        <v>6462</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3363839.4818639322</v>
      </c>
      <c r="C47" s="15">
        <f t="shared" si="17"/>
        <v>3431116.2715012101</v>
      </c>
      <c r="D47" s="15">
        <f t="shared" si="17"/>
        <v>3499738.5969312349</v>
      </c>
      <c r="E47" s="15">
        <f t="shared" si="17"/>
        <v>3569733.3688698593</v>
      </c>
      <c r="F47" s="15">
        <f t="shared" si="17"/>
        <v>3641128.0362472571</v>
      </c>
      <c r="G47" s="15">
        <f t="shared" si="17"/>
        <v>3713950.596972201</v>
      </c>
      <c r="H47" s="15">
        <f t="shared" si="17"/>
        <v>3788229.6089116456</v>
      </c>
      <c r="I47" s="15">
        <f t="shared" si="17"/>
        <v>3863994.201089879</v>
      </c>
      <c r="J47" s="15">
        <f t="shared" si="17"/>
        <v>3941274.0851116762</v>
      </c>
      <c r="K47" s="16">
        <f t="shared" si="17"/>
        <v>4020099.5668139094</v>
      </c>
      <c r="N47" s="3562"/>
      <c r="O47" s="3564"/>
      <c r="Z47" s="1719" t="s">
        <v>6463</v>
      </c>
      <c r="AA47" s="1721">
        <v>47</v>
      </c>
    </row>
    <row r="48" spans="1:27" ht="13.35" customHeight="1">
      <c r="A48" s="17" t="s">
        <v>952</v>
      </c>
      <c r="B48" s="18">
        <f t="shared" ref="B48:K48" si="18">$B$16*(1+$B$6)^(B46-1)</f>
        <v>67276.789637278649</v>
      </c>
      <c r="C48" s="18">
        <f t="shared" si="18"/>
        <v>68622.325430024212</v>
      </c>
      <c r="D48" s="18">
        <f t="shared" si="18"/>
        <v>69994.771938624704</v>
      </c>
      <c r="E48" s="18">
        <f t="shared" si="18"/>
        <v>71394.667377397185</v>
      </c>
      <c r="F48" s="18">
        <f t="shared" si="18"/>
        <v>72822.560724945142</v>
      </c>
      <c r="G48" s="18">
        <f t="shared" si="18"/>
        <v>74279.011939444026</v>
      </c>
      <c r="H48" s="18">
        <f t="shared" si="18"/>
        <v>75764.59217823291</v>
      </c>
      <c r="I48" s="18">
        <f t="shared" si="18"/>
        <v>77279.884021797581</v>
      </c>
      <c r="J48" s="18">
        <f t="shared" si="18"/>
        <v>78825.481702233519</v>
      </c>
      <c r="K48" s="19">
        <f t="shared" si="18"/>
        <v>80401.991336278195</v>
      </c>
      <c r="N48" s="3559"/>
      <c r="O48" s="3561"/>
      <c r="Z48" s="1719" t="s">
        <v>6463</v>
      </c>
      <c r="AA48" s="1721">
        <v>48</v>
      </c>
    </row>
    <row r="49" spans="1:27" ht="13.35" customHeight="1">
      <c r="A49" s="17" t="s">
        <v>2216</v>
      </c>
      <c r="B49" s="18">
        <f t="shared" ref="B49:K49" si="19">-(B47+B48)*$B$9</f>
        <v>-171555.81357506057</v>
      </c>
      <c r="C49" s="18">
        <f t="shared" si="19"/>
        <v>-174986.92984656175</v>
      </c>
      <c r="D49" s="18">
        <f t="shared" si="19"/>
        <v>-178486.66844349299</v>
      </c>
      <c r="E49" s="18">
        <f t="shared" si="19"/>
        <v>-182056.40181236283</v>
      </c>
      <c r="F49" s="18">
        <f t="shared" si="19"/>
        <v>-185697.52984861014</v>
      </c>
      <c r="G49" s="18">
        <f t="shared" si="19"/>
        <v>-189411.48044558227</v>
      </c>
      <c r="H49" s="18">
        <f t="shared" si="19"/>
        <v>-193199.71005449395</v>
      </c>
      <c r="I49" s="18">
        <f t="shared" si="19"/>
        <v>-197063.70425558384</v>
      </c>
      <c r="J49" s="18">
        <f t="shared" si="19"/>
        <v>-201004.9783406955</v>
      </c>
      <c r="K49" s="19">
        <f t="shared" si="19"/>
        <v>-205025.0779075094</v>
      </c>
      <c r="N49" s="3559"/>
      <c r="O49" s="3561"/>
      <c r="Z49" s="1719" t="s">
        <v>6463</v>
      </c>
      <c r="AA49" s="1721">
        <v>49</v>
      </c>
    </row>
    <row r="50" spans="1:27" ht="13.35" customHeight="1">
      <c r="A50" s="17" t="s">
        <v>47</v>
      </c>
      <c r="B50" s="18">
        <f>'Part V-Revenues &amp; Expenses'!H194</f>
        <v>128696.55488536648</v>
      </c>
      <c r="C50" s="18">
        <f>'Part V-Revenues &amp; Expenses'!I194</f>
        <v>131270.4859830738</v>
      </c>
      <c r="D50" s="18">
        <f>'Part V-Revenues &amp; Expenses'!J194</f>
        <v>133895.89570273529</v>
      </c>
      <c r="E50" s="18">
        <f>'Part V-Revenues &amp; Expenses'!K194</f>
        <v>136573.81361678999</v>
      </c>
      <c r="F50" s="18">
        <f>'Part V-Revenues &amp; Expenses'!L194</f>
        <v>139305.28988912579</v>
      </c>
      <c r="G50" s="18">
        <f>'Part V-Revenues &amp; Expenses'!M194</f>
        <v>142091.3956869083</v>
      </c>
      <c r="H50" s="18">
        <f>'Part V-Revenues &amp; Expenses'!N194</f>
        <v>144933.22360064648</v>
      </c>
      <c r="I50" s="18">
        <f>'Part V-Revenues &amp; Expenses'!O194</f>
        <v>147831.88807265941</v>
      </c>
      <c r="J50" s="18">
        <f>'Part V-Revenues &amp; Expenses'!P194</f>
        <v>150788.5258341126</v>
      </c>
      <c r="K50" s="19">
        <f>'Part V-Revenues &amp; Expenses'!Q194</f>
        <v>153804.29635079484</v>
      </c>
      <c r="N50" s="3559"/>
      <c r="O50" s="3561"/>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6463</v>
      </c>
      <c r="AA51" s="1721">
        <v>51</v>
      </c>
    </row>
    <row r="52" spans="1:27" ht="13.35" customHeight="1">
      <c r="A52" s="341" t="s">
        <v>3839</v>
      </c>
      <c r="B52" s="18">
        <f t="shared" ref="B52:K52" si="20">SUM(B47:B51)</f>
        <v>3388257.0128115169</v>
      </c>
      <c r="C52" s="18">
        <f t="shared" si="20"/>
        <v>3456022.1530677462</v>
      </c>
      <c r="D52" s="18">
        <f t="shared" si="20"/>
        <v>3525142.5961291017</v>
      </c>
      <c r="E52" s="18">
        <f t="shared" si="20"/>
        <v>3595645.4480516831</v>
      </c>
      <c r="F52" s="18">
        <f t="shared" si="20"/>
        <v>3667558.357012718</v>
      </c>
      <c r="G52" s="18">
        <f t="shared" si="20"/>
        <v>3740909.5241529709</v>
      </c>
      <c r="H52" s="18">
        <f t="shared" si="20"/>
        <v>3815727.7146360311</v>
      </c>
      <c r="I52" s="18">
        <f t="shared" si="20"/>
        <v>3892042.2689287523</v>
      </c>
      <c r="J52" s="18">
        <f t="shared" si="20"/>
        <v>3969883.1143073267</v>
      </c>
      <c r="K52" s="19">
        <f t="shared" si="20"/>
        <v>4049280.7765934728</v>
      </c>
      <c r="N52" s="3559"/>
      <c r="O52" s="3561"/>
      <c r="Z52" s="1719" t="s">
        <v>6463</v>
      </c>
      <c r="AA52" s="1721">
        <v>52</v>
      </c>
    </row>
    <row r="53" spans="1:27" ht="13.35" customHeight="1">
      <c r="A53" s="17" t="s">
        <v>572</v>
      </c>
      <c r="B53" s="18">
        <f t="shared" ref="B53:K53" si="21">$B$21*(1+$B$7)^(B46-1)</f>
        <v>-1615168.9245989954</v>
      </c>
      <c r="C53" s="18">
        <f t="shared" si="21"/>
        <v>-1663623.9923369652</v>
      </c>
      <c r="D53" s="18">
        <f t="shared" si="21"/>
        <v>-1713532.712107074</v>
      </c>
      <c r="E53" s="18">
        <f t="shared" si="21"/>
        <v>-1764938.693470286</v>
      </c>
      <c r="F53" s="18">
        <f t="shared" si="21"/>
        <v>-1817886.8542743947</v>
      </c>
      <c r="G53" s="18">
        <f t="shared" si="21"/>
        <v>-1872423.4599026267</v>
      </c>
      <c r="H53" s="18">
        <f t="shared" si="21"/>
        <v>-1928596.1636997052</v>
      </c>
      <c r="I53" s="18">
        <f t="shared" si="21"/>
        <v>-1986454.0486106963</v>
      </c>
      <c r="J53" s="18">
        <f t="shared" si="21"/>
        <v>-2046047.6700690172</v>
      </c>
      <c r="K53" s="19">
        <f t="shared" si="21"/>
        <v>-2107429.1001710878</v>
      </c>
      <c r="N53" s="3559"/>
      <c r="O53" s="3561"/>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-118589</v>
      </c>
      <c r="C54" s="18">
        <f>IF(AND('Part VI-Pro Forma'!$G$9="Yes",'Part VI-Pro Forma'!$G$10="Yes"),"Choose One!",IF('Part VI-Pro Forma'!$G$9="Yes",ROUND((-$K$9*(1+'Part VI-Pro Forma'!$B$7)^('Part VI-Pro Forma'!C46-1)),),IF('Part VI-Pro Forma'!$G$10="Yes",ROUND((-(SUM(C47:C50)*'Part VI-Pro Forma'!$K$10)),),"Choose mgt fee")))</f>
        <v>-120961</v>
      </c>
      <c r="D54" s="18">
        <f>IF(AND('Part VI-Pro Forma'!$G$9="Yes",'Part VI-Pro Forma'!$G$10="Yes"),"Choose One!",IF('Part VI-Pro Forma'!$G$9="Yes",ROUND((-$K$9*(1+'Part VI-Pro Forma'!$B$7)^('Part VI-Pro Forma'!D46-1)),),IF('Part VI-Pro Forma'!$G$10="Yes",ROUND((-(SUM(D47:D50)*'Part VI-Pro Forma'!$K$10)),),"Choose mgt fee")))</f>
        <v>-123380</v>
      </c>
      <c r="E54" s="18">
        <f>IF(AND('Part VI-Pro Forma'!$G$9="Yes",'Part VI-Pro Forma'!$G$10="Yes"),"Choose One!",IF('Part VI-Pro Forma'!$G$9="Yes",ROUND((-$K$9*(1+'Part VI-Pro Forma'!$B$7)^('Part VI-Pro Forma'!E46-1)),),IF('Part VI-Pro Forma'!$G$10="Yes",ROUND((-(SUM(E47:E50)*'Part VI-Pro Forma'!$K$10)),),"Choose mgt fee")))</f>
        <v>-125848</v>
      </c>
      <c r="F54" s="18">
        <f>IF(AND('Part VI-Pro Forma'!$G$9="Yes",'Part VI-Pro Forma'!$G$10="Yes"),"Choose One!",IF('Part VI-Pro Forma'!$G$9="Yes",ROUND((-$K$9*(1+'Part VI-Pro Forma'!$B$7)^('Part VI-Pro Forma'!F46-1)),),IF('Part VI-Pro Forma'!$G$10="Yes",ROUND((-(SUM(F47:F50)*'Part VI-Pro Forma'!$K$10)),),"Choose mgt fee")))</f>
        <v>-128365</v>
      </c>
      <c r="G54" s="18">
        <f>IF(AND('Part VI-Pro Forma'!$G$9="Yes",'Part VI-Pro Forma'!$G$10="Yes"),"Choose One!",IF('Part VI-Pro Forma'!$G$9="Yes",ROUND((-$K$9*(1+'Part VI-Pro Forma'!$B$7)^('Part VI-Pro Forma'!G46-1)),),IF('Part VI-Pro Forma'!$G$10="Yes",ROUND((-(SUM(G47:G50)*'Part VI-Pro Forma'!$K$10)),),"Choose mgt fee")))</f>
        <v>-130932</v>
      </c>
      <c r="H54" s="18">
        <f>IF(AND('Part VI-Pro Forma'!$G$9="Yes",'Part VI-Pro Forma'!$G$10="Yes"),"Choose One!",IF('Part VI-Pro Forma'!$G$9="Yes",ROUND((-$K$9*(1+'Part VI-Pro Forma'!$B$7)^('Part VI-Pro Forma'!H46-1)),),IF('Part VI-Pro Forma'!$G$10="Yes",ROUND((-(SUM(H47:H50)*'Part VI-Pro Forma'!$K$10)),),"Choose mgt fee")))</f>
        <v>-133550</v>
      </c>
      <c r="I54" s="18">
        <f>IF(AND('Part VI-Pro Forma'!$G$9="Yes",'Part VI-Pro Forma'!$G$10="Yes"),"Choose One!",IF('Part VI-Pro Forma'!$G$9="Yes",ROUND((-$K$9*(1+'Part VI-Pro Forma'!$B$7)^('Part VI-Pro Forma'!I46-1)),),IF('Part VI-Pro Forma'!$G$10="Yes",ROUND((-(SUM(I47:I50)*'Part VI-Pro Forma'!$K$10)),),"Choose mgt fee")))</f>
        <v>-136221</v>
      </c>
      <c r="J54" s="18">
        <f>IF(AND('Part VI-Pro Forma'!$G$9="Yes",'Part VI-Pro Forma'!$G$10="Yes"),"Choose One!",IF('Part VI-Pro Forma'!$G$9="Yes",ROUND((-$K$9*(1+'Part VI-Pro Forma'!$B$7)^('Part VI-Pro Forma'!J46-1)),),IF('Part VI-Pro Forma'!$G$10="Yes",ROUND((-(SUM(J47:J50)*'Part VI-Pro Forma'!$K$10)),),"Choose mgt fee")))</f>
        <v>-138946</v>
      </c>
      <c r="K54" s="19">
        <f>IF(AND('Part VI-Pro Forma'!$G$9="Yes",'Part VI-Pro Forma'!$G$10="Yes"),"Choose One!",IF('Part VI-Pro Forma'!$G$9="Yes",ROUND((-$K$9*(1+'Part VI-Pro Forma'!$B$7)^('Part VI-Pro Forma'!K46-1)),),IF('Part VI-Pro Forma'!$G$10="Yes",ROUND((-(SUM(K47:K50)*'Part VI-Pro Forma'!$K$10)),),"Choose mgt fee")))</f>
        <v>-141725</v>
      </c>
      <c r="N54" s="3559"/>
      <c r="O54" s="3561"/>
      <c r="Z54" s="1719" t="s">
        <v>6463</v>
      </c>
      <c r="AA54" s="1721">
        <v>54</v>
      </c>
    </row>
    <row r="55" spans="1:27" ht="13.35" customHeight="1">
      <c r="A55" s="17" t="s">
        <v>1128</v>
      </c>
      <c r="B55" s="18">
        <f t="shared" ref="B55:K55" si="22">$B$23*(1+$B$8)^(B46-1)</f>
        <v>-114582.31050287982</v>
      </c>
      <c r="C55" s="18">
        <f t="shared" si="22"/>
        <v>-118019.77981796622</v>
      </c>
      <c r="D55" s="18">
        <f t="shared" si="22"/>
        <v>-121560.37321250519</v>
      </c>
      <c r="E55" s="18">
        <f t="shared" si="22"/>
        <v>-125207.18440888033</v>
      </c>
      <c r="F55" s="18">
        <f t="shared" si="22"/>
        <v>-128963.39994114677</v>
      </c>
      <c r="G55" s="18">
        <f t="shared" si="22"/>
        <v>-132832.30193938117</v>
      </c>
      <c r="H55" s="18">
        <f t="shared" si="22"/>
        <v>-136817.27099756259</v>
      </c>
      <c r="I55" s="18">
        <f t="shared" si="22"/>
        <v>-140921.78912748946</v>
      </c>
      <c r="J55" s="18">
        <f t="shared" si="22"/>
        <v>-145149.44280131414</v>
      </c>
      <c r="K55" s="19">
        <f t="shared" si="22"/>
        <v>-149503.92608535357</v>
      </c>
      <c r="N55" s="3559"/>
      <c r="O55" s="3561"/>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6463</v>
      </c>
      <c r="AA56" s="1721">
        <v>56</v>
      </c>
    </row>
    <row r="57" spans="1:27" ht="13.35" customHeight="1">
      <c r="A57" s="17" t="s">
        <v>1129</v>
      </c>
      <c r="B57" s="18">
        <f t="shared" ref="B57:K57" si="23">SUM(B52:B56)</f>
        <v>1539916.7777096417</v>
      </c>
      <c r="C57" s="18">
        <f t="shared" si="23"/>
        <v>1553417.3809128148</v>
      </c>
      <c r="D57" s="18">
        <f t="shared" si="23"/>
        <v>1566669.5108095226</v>
      </c>
      <c r="E57" s="18">
        <f t="shared" si="23"/>
        <v>1579651.5701725169</v>
      </c>
      <c r="F57" s="18">
        <f t="shared" si="23"/>
        <v>1592343.1027971765</v>
      </c>
      <c r="G57" s="18">
        <f t="shared" si="23"/>
        <v>1604721.7623109631</v>
      </c>
      <c r="H57" s="18">
        <f t="shared" si="23"/>
        <v>1616764.2799387632</v>
      </c>
      <c r="I57" s="18">
        <f t="shared" si="23"/>
        <v>1628445.4311905664</v>
      </c>
      <c r="J57" s="18">
        <f t="shared" si="23"/>
        <v>1639740.0014369953</v>
      </c>
      <c r="K57" s="1215">
        <f t="shared" si="23"/>
        <v>1650622.7503370314</v>
      </c>
      <c r="N57" s="3559"/>
      <c r="O57" s="3561"/>
      <c r="Z57" s="1719" t="s">
        <v>6463</v>
      </c>
      <c r="AA57" s="1721">
        <v>57</v>
      </c>
    </row>
    <row r="58" spans="1:27" ht="13.35" customHeight="1">
      <c r="A58" s="17" t="str">
        <f>$A26</f>
        <v>Mortgage A</v>
      </c>
      <c r="B58" s="342">
        <f>IF('Part II-Sources of Funds'!$P$40="", 0,-'Part II-Sources of Funds'!$P$40)</f>
        <v>-1102880.0648455757</v>
      </c>
      <c r="C58" s="342">
        <f>IF('Part II-Sources of Funds'!$P$40="", 0,-'Part II-Sources of Funds'!$P$40)</f>
        <v>-1102880.0648455757</v>
      </c>
      <c r="D58" s="342">
        <f>IF('Part II-Sources of Funds'!$P$40="", 0,-'Part II-Sources of Funds'!$P$40)</f>
        <v>-1102880.0648455757</v>
      </c>
      <c r="E58" s="342">
        <f>IF('Part II-Sources of Funds'!$P$40="", 0,-'Part II-Sources of Funds'!$P$40)</f>
        <v>-1102880.0648455757</v>
      </c>
      <c r="F58" s="342">
        <f>IF('Part II-Sources of Funds'!$P$40="", 0,-'Part II-Sources of Funds'!$P$40)</f>
        <v>-1102880.0648455757</v>
      </c>
      <c r="G58" s="342">
        <f>IF('Part II-Sources of Funds'!$P$40="", 0,-'Part II-Sources of Funds'!$P$40)</f>
        <v>-1102880.0648455757</v>
      </c>
      <c r="H58" s="342">
        <f>IF('Part II-Sources of Funds'!$P$40="", 0,-'Part II-Sources of Funds'!$P$40)</f>
        <v>-1102880.0648455757</v>
      </c>
      <c r="I58" s="342">
        <f>IF('Part II-Sources of Funds'!$P$40="", 0,-'Part II-Sources of Funds'!$P$40)</f>
        <v>-1102880.0648455757</v>
      </c>
      <c r="J58" s="342">
        <f>IF('Part II-Sources of Funds'!$P$40="", 0,-'Part II-Sources of Funds'!$P$40)</f>
        <v>-1102880.0648455757</v>
      </c>
      <c r="K58" s="342">
        <f>IF('Part II-Sources of Funds'!$P$40="", 0,-'Part II-Sources of Funds'!$P$40)</f>
        <v>-1102880.0648455757</v>
      </c>
      <c r="N58" s="3559"/>
      <c r="O58" s="3561"/>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6463</v>
      </c>
      <c r="AA61" s="1721">
        <v>61</v>
      </c>
    </row>
    <row r="62" spans="1:27" ht="13.35" customHeight="1">
      <c r="A62" s="17" t="s">
        <v>711</v>
      </c>
      <c r="B62" s="138"/>
      <c r="C62" s="138"/>
      <c r="D62" s="138"/>
      <c r="E62" s="138"/>
      <c r="F62" s="138"/>
      <c r="G62" s="138"/>
      <c r="H62" s="138"/>
      <c r="I62" s="138"/>
      <c r="J62" s="138"/>
      <c r="K62" s="138"/>
      <c r="N62" s="3559"/>
      <c r="O62" s="3561"/>
      <c r="Q62" s="92"/>
      <c r="R62" s="869"/>
      <c r="Z62" s="1719" t="s">
        <v>6463</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9"/>
      <c r="O63" s="3561"/>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6463</v>
      </c>
      <c r="AA64" s="1721">
        <v>64</v>
      </c>
    </row>
    <row r="65" spans="1:27" ht="13.35" customHeight="1">
      <c r="A65" s="17" t="s">
        <v>1096</v>
      </c>
      <c r="B65" s="18">
        <f t="shared" ref="B65:K65" si="25">SUM(B57:B64)</f>
        <v>429536.71286406601</v>
      </c>
      <c r="C65" s="18">
        <f t="shared" si="25"/>
        <v>443037.31606723904</v>
      </c>
      <c r="D65" s="18">
        <f t="shared" si="25"/>
        <v>456289.44596394687</v>
      </c>
      <c r="E65" s="18">
        <f t="shared" si="25"/>
        <v>469271.50532694114</v>
      </c>
      <c r="F65" s="18">
        <f t="shared" si="25"/>
        <v>481963.03795160074</v>
      </c>
      <c r="G65" s="18">
        <f t="shared" si="25"/>
        <v>494341.69746538741</v>
      </c>
      <c r="H65" s="18">
        <f t="shared" si="25"/>
        <v>506384.21509318752</v>
      </c>
      <c r="I65" s="18">
        <f t="shared" si="25"/>
        <v>518065.36634499067</v>
      </c>
      <c r="J65" s="18">
        <f t="shared" si="25"/>
        <v>529359.93659141962</v>
      </c>
      <c r="K65" s="497">
        <f t="shared" si="25"/>
        <v>540242.68549145572</v>
      </c>
      <c r="N65" s="3559"/>
      <c r="O65" s="3561"/>
      <c r="Z65" s="1719" t="s">
        <v>6463</v>
      </c>
      <c r="AA65" s="1721">
        <v>65</v>
      </c>
    </row>
    <row r="66" spans="1:27" ht="13.35" customHeight="1">
      <c r="A66" s="17" t="str">
        <f>$A34</f>
        <v>DCR Mortgage A</v>
      </c>
      <c r="B66" s="20">
        <f t="shared" ref="B66:K66" si="26">IF(B58=0,"",-B57/B58)</f>
        <v>1.3962685760624929</v>
      </c>
      <c r="C66" s="20">
        <f t="shared" si="26"/>
        <v>1.4085098012269566</v>
      </c>
      <c r="D66" s="20">
        <f t="shared" si="26"/>
        <v>1.4205257314437778</v>
      </c>
      <c r="E66" s="20">
        <f t="shared" si="26"/>
        <v>1.4322967841418897</v>
      </c>
      <c r="F66" s="20">
        <f t="shared" si="26"/>
        <v>1.443804411334731</v>
      </c>
      <c r="G66" s="20">
        <f t="shared" si="26"/>
        <v>1.4550283511885356</v>
      </c>
      <c r="H66" s="20">
        <f t="shared" si="26"/>
        <v>1.4659475055115274</v>
      </c>
      <c r="I66" s="20">
        <f t="shared" si="26"/>
        <v>1.476539002832171</v>
      </c>
      <c r="J66" s="20">
        <f t="shared" si="26"/>
        <v>1.4867799806197333</v>
      </c>
      <c r="K66" s="21">
        <f t="shared" si="26"/>
        <v>1.4966475530303018</v>
      </c>
      <c r="N66" s="3559"/>
      <c r="O66" s="3561"/>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6463</v>
      </c>
      <c r="AA69" s="1721">
        <v>69</v>
      </c>
    </row>
    <row r="70" spans="1:27" ht="13.35" customHeight="1">
      <c r="A70" s="341" t="s">
        <v>3214</v>
      </c>
      <c r="B70" s="20">
        <f t="shared" ref="B70:K70" si="30">IF(AND(B58=0,B59=0,B60=0,B61=0),"",-B57/(B58+B59+B60+B61))</f>
        <v>1.3962685760624929</v>
      </c>
      <c r="C70" s="20">
        <f t="shared" si="30"/>
        <v>1.4085098012269566</v>
      </c>
      <c r="D70" s="20">
        <f t="shared" si="30"/>
        <v>1.4205257314437778</v>
      </c>
      <c r="E70" s="20">
        <f t="shared" si="30"/>
        <v>1.4322967841418897</v>
      </c>
      <c r="F70" s="20">
        <f t="shared" si="30"/>
        <v>1.443804411334731</v>
      </c>
      <c r="G70" s="20">
        <f t="shared" si="30"/>
        <v>1.4550283511885356</v>
      </c>
      <c r="H70" s="20">
        <f t="shared" si="30"/>
        <v>1.4659475055115274</v>
      </c>
      <c r="I70" s="20">
        <f t="shared" si="30"/>
        <v>1.476539002832171</v>
      </c>
      <c r="J70" s="20">
        <f t="shared" si="30"/>
        <v>1.4867799806197333</v>
      </c>
      <c r="K70" s="21">
        <f t="shared" si="30"/>
        <v>1.4966475530303018</v>
      </c>
      <c r="N70" s="3559"/>
      <c r="O70" s="3561"/>
      <c r="Z70" s="1719" t="s">
        <v>6463</v>
      </c>
      <c r="AA70" s="1721">
        <v>70</v>
      </c>
    </row>
    <row r="71" spans="1:27" ht="13.35" customHeight="1">
      <c r="A71" s="17" t="s">
        <v>718</v>
      </c>
      <c r="B71" s="220">
        <f t="shared" ref="B71:K71" si="31">IF(OR(B54="Choose mgt fee",B54="Choose One!"),"",(B47+B48+B49+B50+B51) / -(B53+B54+B55))</f>
        <v>1.8331349112382256</v>
      </c>
      <c r="C71" s="220">
        <f t="shared" si="31"/>
        <v>1.8164687714692214</v>
      </c>
      <c r="D71" s="220">
        <f t="shared" si="31"/>
        <v>1.7999443661253467</v>
      </c>
      <c r="E71" s="220">
        <f t="shared" si="31"/>
        <v>1.7835597059621613</v>
      </c>
      <c r="F71" s="220">
        <f t="shared" si="31"/>
        <v>1.7673146675086016</v>
      </c>
      <c r="G71" s="220">
        <f t="shared" si="31"/>
        <v>1.7512081994736417</v>
      </c>
      <c r="H71" s="220">
        <f t="shared" si="31"/>
        <v>1.7352392742998677</v>
      </c>
      <c r="I71" s="220">
        <f t="shared" si="31"/>
        <v>1.7194061257029007</v>
      </c>
      <c r="J71" s="220">
        <f t="shared" si="31"/>
        <v>1.703707850552201</v>
      </c>
      <c r="K71" s="221">
        <f t="shared" si="31"/>
        <v>1.6881442591102243</v>
      </c>
      <c r="N71" s="3559"/>
      <c r="O71" s="3561"/>
      <c r="Z71" s="1719" t="s">
        <v>6463</v>
      </c>
      <c r="AA71" s="1721">
        <v>71</v>
      </c>
    </row>
    <row r="72" spans="1:27" ht="13.35" customHeight="1">
      <c r="A72" s="341" t="s">
        <v>2405</v>
      </c>
      <c r="B72" s="177">
        <f>IF('Part II-Sources of Funds'!$I$40="","",-FV('Part II-Sources of Funds'!$K$40/12,12,B58/12,K40))</f>
        <v>16867933.220049355</v>
      </c>
      <c r="C72" s="177">
        <f>IF('Part II-Sources of Funds'!$I$40="","",-FV('Part II-Sources of Funds'!$K$40/12,12,C58/12,B72))</f>
        <v>16602419.95186084</v>
      </c>
      <c r="D72" s="177">
        <f>IF('Part II-Sources of Funds'!$I$40="","",-FV('Part II-Sources of Funds'!$K$40/12,12,D58/12,C72))</f>
        <v>16323322.520959018</v>
      </c>
      <c r="E72" s="177">
        <f>IF('Part II-Sources of Funds'!$I$40="","",-FV('Part II-Sources of Funds'!$K$40/12,12,E58/12,D72))</f>
        <v>16029945.935798345</v>
      </c>
      <c r="F72" s="177">
        <f>IF('Part II-Sources of Funds'!$I$40="","",-FV('Part II-Sources of Funds'!$K$40/12,12,F58/12,E72))</f>
        <v>15721559.647746788</v>
      </c>
      <c r="G72" s="177">
        <f>IF('Part II-Sources of Funds'!$I$40="","",-FV('Part II-Sources of Funds'!$K$40/12,12,G58/12,F72))</f>
        <v>15397395.731917812</v>
      </c>
      <c r="H72" s="177">
        <f>IF('Part II-Sources of Funds'!$I$40="","",-FV('Part II-Sources of Funds'!$K$40/12,12,H58/12,G72))</f>
        <v>15056646.974930251</v>
      </c>
      <c r="I72" s="177">
        <f>IF('Part II-Sources of Funds'!$I$40="","",-FV('Part II-Sources of Funds'!$K$40/12,12,I58/12,H72))</f>
        <v>14698464.864834365</v>
      </c>
      <c r="J72" s="177">
        <f>IF('Part II-Sources of Funds'!$I$40="","",-FV('Part II-Sources of Funds'!$K$40/12,12,J58/12,I72))</f>
        <v>14321957.478198688</v>
      </c>
      <c r="K72" s="177">
        <f>IF('Part II-Sources of Funds'!$I$40="","",-FV('Part II-Sources of Funds'!$K$40/12,12,K58/12,J72))</f>
        <v>13926187.259096241</v>
      </c>
      <c r="N72" s="3559"/>
      <c r="O72" s="3561"/>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6463</v>
      </c>
      <c r="AA75" s="1721">
        <v>75</v>
      </c>
    </row>
    <row r="76" spans="1:27" ht="13.35" customHeight="1">
      <c r="A76" s="341" t="s">
        <v>3364</v>
      </c>
      <c r="B76" s="179">
        <f>IF('Part II-Sources of Funds'!$I$45="","",IF(-FV('Part II-Sources of Funds'!$K$45/12,12,B64/12,K44)&gt;0,-FV('Part II-Sources of Funds'!$K$45/12,12,B64/12,K44),0))</f>
        <v>0.11845102161169052</v>
      </c>
      <c r="C76" s="179">
        <f>IF('Part II-Sources of Funds'!$I$45="","",IF(-FV('Part II-Sources of Funds'!$K$45/12,12,C64/12,B76)&gt;0,-FV('Part II-Sources of Funds'!$K$45/12,12,C64/12,B76),0))</f>
        <v>0.11845102161169052</v>
      </c>
      <c r="D76" s="179">
        <f>IF('Part II-Sources of Funds'!$I$45="","",IF(-FV('Part II-Sources of Funds'!$K$45/12,12,D64/12,C76)&gt;0,-FV('Part II-Sources of Funds'!$K$45/12,12,D64/12,C76),0))</f>
        <v>0.11845102161169052</v>
      </c>
      <c r="E76" s="179">
        <f>IF('Part II-Sources of Funds'!$I$45="","",IF(-FV('Part II-Sources of Funds'!$K$45/12,12,E64/12,D76)&gt;0,-FV('Part II-Sources of Funds'!$K$45/12,12,E64/12,D76),0))</f>
        <v>0.11845102161169052</v>
      </c>
      <c r="F76" s="179">
        <f>IF('Part II-Sources of Funds'!$I$45="","",IF(-FV('Part II-Sources of Funds'!$K$45/12,12,F64/12,E76)&gt;0,-FV('Part II-Sources of Funds'!$K$45/12,12,F64/12,E76),0))</f>
        <v>0.11845102161169052</v>
      </c>
      <c r="G76" s="179">
        <f>IF('Part II-Sources of Funds'!$I$45="","",IF(-FV('Part II-Sources of Funds'!$K$45/12,12,G64/12,F76)&gt;0,-FV('Part II-Sources of Funds'!$K$45/12,12,G64/12,F76),0))</f>
        <v>0.11845102161169052</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6463</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4100501.5581501881</v>
      </c>
      <c r="C79" s="15">
        <f t="shared" si="33"/>
        <v>4182511.5893131914</v>
      </c>
      <c r="D79" s="15">
        <f t="shared" si="33"/>
        <v>4266161.8210994555</v>
      </c>
      <c r="E79" s="15">
        <f t="shared" si="33"/>
        <v>4351485.0575214438</v>
      </c>
      <c r="F79" s="15">
        <f t="shared" si="33"/>
        <v>4438514.7586718732</v>
      </c>
      <c r="G79" s="15">
        <f t="shared" si="33"/>
        <v>4527285.0538453106</v>
      </c>
      <c r="H79" s="15">
        <f t="shared" si="33"/>
        <v>4617830.7549222168</v>
      </c>
      <c r="I79" s="15">
        <f t="shared" si="33"/>
        <v>4710187.3700206606</v>
      </c>
      <c r="J79" s="15">
        <f t="shared" si="33"/>
        <v>4804391.1174210748</v>
      </c>
      <c r="K79" s="16">
        <f t="shared" si="33"/>
        <v>4900478.9397694953</v>
      </c>
      <c r="N79" s="3562"/>
      <c r="O79" s="3564"/>
      <c r="Z79" s="1719" t="s">
        <v>6464</v>
      </c>
      <c r="AA79" s="1721">
        <v>79</v>
      </c>
    </row>
    <row r="80" spans="1:27" ht="13.35" customHeight="1">
      <c r="A80" s="17" t="s">
        <v>952</v>
      </c>
      <c r="B80" s="18">
        <f t="shared" ref="B80:K80" si="34">$B$16*(1+$B$6)^(B78-1)</f>
        <v>82010.031163003761</v>
      </c>
      <c r="C80" s="18">
        <f t="shared" si="34"/>
        <v>83650.23178626383</v>
      </c>
      <c r="D80" s="18">
        <f t="shared" si="34"/>
        <v>85323.236421989117</v>
      </c>
      <c r="E80" s="18">
        <f t="shared" si="34"/>
        <v>87029.701150428882</v>
      </c>
      <c r="F80" s="18">
        <f t="shared" si="34"/>
        <v>88770.295173437466</v>
      </c>
      <c r="G80" s="18">
        <f t="shared" si="34"/>
        <v>90545.701076906218</v>
      </c>
      <c r="H80" s="18">
        <f t="shared" si="34"/>
        <v>92356.615098444352</v>
      </c>
      <c r="I80" s="18">
        <f t="shared" si="34"/>
        <v>94203.747400413209</v>
      </c>
      <c r="J80" s="18">
        <f t="shared" si="34"/>
        <v>96087.822348421498</v>
      </c>
      <c r="K80" s="19">
        <f t="shared" si="34"/>
        <v>98009.578795389913</v>
      </c>
      <c r="N80" s="3559"/>
      <c r="O80" s="3561"/>
      <c r="Z80" s="1719" t="s">
        <v>6464</v>
      </c>
      <c r="AA80" s="1721">
        <v>80</v>
      </c>
    </row>
    <row r="81" spans="1:27" ht="13.35" customHeight="1">
      <c r="A81" s="17" t="s">
        <v>2216</v>
      </c>
      <c r="B81" s="18">
        <f t="shared" ref="B81:K81" si="35">-(B79+B80)*$B$9</f>
        <v>-209125.5794656596</v>
      </c>
      <c r="C81" s="18">
        <f t="shared" si="35"/>
        <v>-213308.09105497279</v>
      </c>
      <c r="D81" s="18">
        <f t="shared" si="35"/>
        <v>-217574.25287607225</v>
      </c>
      <c r="E81" s="18">
        <f t="shared" si="35"/>
        <v>-221925.73793359363</v>
      </c>
      <c r="F81" s="18">
        <f t="shared" si="35"/>
        <v>-226364.25269226555</v>
      </c>
      <c r="G81" s="18">
        <f t="shared" si="35"/>
        <v>-230891.53774611084</v>
      </c>
      <c r="H81" s="18">
        <f t="shared" si="35"/>
        <v>-235509.36850103308</v>
      </c>
      <c r="I81" s="18">
        <f t="shared" si="35"/>
        <v>-240219.55587105372</v>
      </c>
      <c r="J81" s="18">
        <f t="shared" si="35"/>
        <v>-245023.94698847481</v>
      </c>
      <c r="K81" s="19">
        <f t="shared" si="35"/>
        <v>-249924.42592824428</v>
      </c>
      <c r="N81" s="3559"/>
      <c r="O81" s="3561"/>
      <c r="Z81" s="1719" t="s">
        <v>6464</v>
      </c>
      <c r="AA81" s="1721">
        <v>81</v>
      </c>
    </row>
    <row r="82" spans="1:27" ht="13.35" customHeight="1">
      <c r="A82" s="17" t="s">
        <v>47</v>
      </c>
      <c r="B82" s="18">
        <f>'Part V-Revenues &amp; Expenses'!H203</f>
        <v>156880.38227781074</v>
      </c>
      <c r="C82" s="18">
        <f>'Part V-Revenues &amp; Expenses'!I203</f>
        <v>160017.98992336696</v>
      </c>
      <c r="D82" s="18">
        <f>'Part V-Revenues &amp; Expenses'!J203</f>
        <v>163218.3497218343</v>
      </c>
      <c r="E82" s="18">
        <f>'Part V-Revenues &amp; Expenses'!K203</f>
        <v>166482.71671627098</v>
      </c>
      <c r="F82" s="18">
        <f>'Part V-Revenues &amp; Expenses'!L203</f>
        <v>169812.37105059641</v>
      </c>
      <c r="G82" s="18">
        <f>'Part V-Revenues &amp; Expenses'!M203</f>
        <v>173208.61847160835</v>
      </c>
      <c r="H82" s="18">
        <f>'Part V-Revenues &amp; Expenses'!N203</f>
        <v>176672.79084104052</v>
      </c>
      <c r="I82" s="18">
        <f>'Part V-Revenues &amp; Expenses'!O203</f>
        <v>180206.24665786134</v>
      </c>
      <c r="J82" s="18">
        <f>'Part V-Revenues &amp; Expenses'!P203</f>
        <v>183810.37159101857</v>
      </c>
      <c r="K82" s="19">
        <f>'Part V-Revenues &amp; Expenses'!Q203</f>
        <v>187486.57902283894</v>
      </c>
      <c r="N82" s="3559"/>
      <c r="O82" s="3561"/>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6464</v>
      </c>
      <c r="AA83" s="1721">
        <v>83</v>
      </c>
    </row>
    <row r="84" spans="1:27" ht="13.35" customHeight="1">
      <c r="A84" s="341" t="s">
        <v>3839</v>
      </c>
      <c r="B84" s="18">
        <f t="shared" ref="B84:K84" si="36">SUM(B79:B83)</f>
        <v>4130266.392125343</v>
      </c>
      <c r="C84" s="18">
        <f t="shared" si="36"/>
        <v>4212871.7199678496</v>
      </c>
      <c r="D84" s="18">
        <f t="shared" si="36"/>
        <v>4297129.1543672066</v>
      </c>
      <c r="E84" s="18">
        <f t="shared" si="36"/>
        <v>4383071.7374545494</v>
      </c>
      <c r="F84" s="18">
        <f t="shared" si="36"/>
        <v>4470733.1722036414</v>
      </c>
      <c r="G84" s="18">
        <f t="shared" si="36"/>
        <v>4560147.8356477143</v>
      </c>
      <c r="H84" s="18">
        <f t="shared" si="36"/>
        <v>4651350.792360669</v>
      </c>
      <c r="I84" s="18">
        <f t="shared" si="36"/>
        <v>4744377.8082078816</v>
      </c>
      <c r="J84" s="18">
        <f t="shared" si="36"/>
        <v>4839265.3643720401</v>
      </c>
      <c r="K84" s="19">
        <f t="shared" si="36"/>
        <v>4936050.6716594798</v>
      </c>
      <c r="N84" s="3559"/>
      <c r="O84" s="3561"/>
      <c r="Z84" s="1719" t="s">
        <v>6464</v>
      </c>
      <c r="AA84" s="1721">
        <v>84</v>
      </c>
    </row>
    <row r="85" spans="1:27" ht="13.35" customHeight="1">
      <c r="A85" s="17" t="s">
        <v>572</v>
      </c>
      <c r="B85" s="18">
        <f t="shared" ref="B85:K85" si="37">$B$21*(1+$B$7)^(B78-1)</f>
        <v>-2170651.9731762204</v>
      </c>
      <c r="C85" s="18">
        <f t="shared" si="37"/>
        <v>-2235771.5323715066</v>
      </c>
      <c r="D85" s="18">
        <f t="shared" si="37"/>
        <v>-2302844.678342652</v>
      </c>
      <c r="E85" s="18">
        <f t="shared" si="37"/>
        <v>-2371930.0186929316</v>
      </c>
      <c r="F85" s="18">
        <f t="shared" si="37"/>
        <v>-2443087.9192537195</v>
      </c>
      <c r="G85" s="18">
        <f t="shared" si="37"/>
        <v>-2516380.556831331</v>
      </c>
      <c r="H85" s="18">
        <f t="shared" si="37"/>
        <v>-2591871.9735362711</v>
      </c>
      <c r="I85" s="18">
        <f t="shared" si="37"/>
        <v>-2669628.1327423588</v>
      </c>
      <c r="J85" s="18">
        <f t="shared" si="37"/>
        <v>-2749716.9767246298</v>
      </c>
      <c r="K85" s="19">
        <f t="shared" si="37"/>
        <v>-2832208.4860263686</v>
      </c>
      <c r="N85" s="3559"/>
      <c r="O85" s="3561"/>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-144559</v>
      </c>
      <c r="C86" s="18">
        <f>IF(AND('Part VI-Pro Forma'!$G$9="Yes",'Part VI-Pro Forma'!$G$10="Yes"),"Choose One!",IF('Part VI-Pro Forma'!$G$9="Yes",ROUND((-$K$9*(1+'Part VI-Pro Forma'!$B$7)^('Part VI-Pro Forma'!C78-1)),),IF('Part VI-Pro Forma'!$G$10="Yes",ROUND((-(SUM(C79:C82)*'Part VI-Pro Forma'!$K$10)),),"Choose mgt fee")))</f>
        <v>-147451</v>
      </c>
      <c r="D86" s="18">
        <f>IF(AND('Part VI-Pro Forma'!$G$9="Yes",'Part VI-Pro Forma'!$G$10="Yes"),"Choose One!",IF('Part VI-Pro Forma'!$G$9="Yes",ROUND((-$K$9*(1+'Part VI-Pro Forma'!$B$7)^('Part VI-Pro Forma'!D78-1)),),IF('Part VI-Pro Forma'!$G$10="Yes",ROUND((-(SUM(D79:D82)*'Part VI-Pro Forma'!$K$10)),),"Choose mgt fee")))</f>
        <v>-150400</v>
      </c>
      <c r="E86" s="18">
        <f>IF(AND('Part VI-Pro Forma'!$G$9="Yes",'Part VI-Pro Forma'!$G$10="Yes"),"Choose One!",IF('Part VI-Pro Forma'!$G$9="Yes",ROUND((-$K$9*(1+'Part VI-Pro Forma'!$B$7)^('Part VI-Pro Forma'!E78-1)),),IF('Part VI-Pro Forma'!$G$10="Yes",ROUND((-(SUM(E79:E82)*'Part VI-Pro Forma'!$K$10)),),"Choose mgt fee")))</f>
        <v>-153408</v>
      </c>
      <c r="F86" s="18">
        <f>IF(AND('Part VI-Pro Forma'!$G$9="Yes",'Part VI-Pro Forma'!$G$10="Yes"),"Choose One!",IF('Part VI-Pro Forma'!$G$9="Yes",ROUND((-$K$9*(1+'Part VI-Pro Forma'!$B$7)^('Part VI-Pro Forma'!F78-1)),),IF('Part VI-Pro Forma'!$G$10="Yes",ROUND((-(SUM(F79:F82)*'Part VI-Pro Forma'!$K$10)),),"Choose mgt fee")))</f>
        <v>-156476</v>
      </c>
      <c r="G86" s="18">
        <f>IF(AND('Part VI-Pro Forma'!$G$9="Yes",'Part VI-Pro Forma'!$G$10="Yes"),"Choose One!",IF('Part VI-Pro Forma'!$G$9="Yes",ROUND((-$K$9*(1+'Part VI-Pro Forma'!$B$7)^('Part VI-Pro Forma'!G78-1)),),IF('Part VI-Pro Forma'!$G$10="Yes",ROUND((-(SUM(G79:G82)*'Part VI-Pro Forma'!$K$10)),),"Choose mgt fee")))</f>
        <v>-159605</v>
      </c>
      <c r="H86" s="18">
        <f>IF(AND('Part VI-Pro Forma'!$G$9="Yes",'Part VI-Pro Forma'!$G$10="Yes"),"Choose One!",IF('Part VI-Pro Forma'!$G$9="Yes",ROUND((-$K$9*(1+'Part VI-Pro Forma'!$B$7)^('Part VI-Pro Forma'!H78-1)),),IF('Part VI-Pro Forma'!$G$10="Yes",ROUND((-(SUM(H79:H82)*'Part VI-Pro Forma'!$K$10)),),"Choose mgt fee")))</f>
        <v>-162797</v>
      </c>
      <c r="I86" s="18">
        <f>IF(AND('Part VI-Pro Forma'!$G$9="Yes",'Part VI-Pro Forma'!$G$10="Yes"),"Choose One!",IF('Part VI-Pro Forma'!$G$9="Yes",ROUND((-$K$9*(1+'Part VI-Pro Forma'!$B$7)^('Part VI-Pro Forma'!I78-1)),),IF('Part VI-Pro Forma'!$G$10="Yes",ROUND((-(SUM(I79:I82)*'Part VI-Pro Forma'!$K$10)),),"Choose mgt fee")))</f>
        <v>-166053</v>
      </c>
      <c r="J86" s="18">
        <f>IF(AND('Part VI-Pro Forma'!$G$9="Yes",'Part VI-Pro Forma'!$G$10="Yes"),"Choose One!",IF('Part VI-Pro Forma'!$G$9="Yes",ROUND((-$K$9*(1+'Part VI-Pro Forma'!$B$7)^('Part VI-Pro Forma'!J78-1)),),IF('Part VI-Pro Forma'!$G$10="Yes",ROUND((-(SUM(J79:J82)*'Part VI-Pro Forma'!$K$10)),),"Choose mgt fee")))</f>
        <v>-169374</v>
      </c>
      <c r="K86" s="19">
        <f>IF(AND('Part VI-Pro Forma'!$G$9="Yes",'Part VI-Pro Forma'!$G$10="Yes"),"Choose One!",IF('Part VI-Pro Forma'!$G$9="Yes",ROUND((-$K$9*(1+'Part VI-Pro Forma'!$B$7)^('Part VI-Pro Forma'!K78-1)),),IF('Part VI-Pro Forma'!$G$10="Yes",ROUND((-(SUM(K79:K82)*'Part VI-Pro Forma'!$K$10)),),"Choose mgt fee")))</f>
        <v>-172762</v>
      </c>
      <c r="N86" s="3559"/>
      <c r="O86" s="3561"/>
      <c r="Z86" s="1719" t="s">
        <v>6464</v>
      </c>
      <c r="AA86" s="1721">
        <v>86</v>
      </c>
    </row>
    <row r="87" spans="1:27" ht="13.35" customHeight="1">
      <c r="A87" s="17" t="s">
        <v>1128</v>
      </c>
      <c r="B87" s="18">
        <f t="shared" ref="B87:K87" si="38">$B$23*(1+$B$8)^(B78-1)</f>
        <v>-153989.04386791418</v>
      </c>
      <c r="C87" s="18">
        <f t="shared" si="38"/>
        <v>-158608.71518395157</v>
      </c>
      <c r="D87" s="18">
        <f t="shared" si="38"/>
        <v>-163366.97663947014</v>
      </c>
      <c r="E87" s="18">
        <f t="shared" si="38"/>
        <v>-168267.98593865425</v>
      </c>
      <c r="F87" s="18">
        <f t="shared" si="38"/>
        <v>-173316.02551681385</v>
      </c>
      <c r="G87" s="18">
        <f t="shared" si="38"/>
        <v>-178515.50628231827</v>
      </c>
      <c r="H87" s="18">
        <f t="shared" si="38"/>
        <v>-183870.97147078786</v>
      </c>
      <c r="I87" s="18">
        <f t="shared" si="38"/>
        <v>-189387.10061491147</v>
      </c>
      <c r="J87" s="18">
        <f t="shared" si="38"/>
        <v>-195068.7136333588</v>
      </c>
      <c r="K87" s="19">
        <f t="shared" si="38"/>
        <v>-200920.77504235954</v>
      </c>
      <c r="N87" s="3559"/>
      <c r="O87" s="3561"/>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6464</v>
      </c>
      <c r="AA88" s="1721">
        <v>88</v>
      </c>
    </row>
    <row r="89" spans="1:27" ht="13.35" customHeight="1">
      <c r="A89" s="17" t="s">
        <v>1129</v>
      </c>
      <c r="B89" s="18">
        <f t="shared" ref="B89:K89" si="39">SUM(B84:B88)</f>
        <v>1661066.3750812083</v>
      </c>
      <c r="C89" s="18">
        <f t="shared" si="39"/>
        <v>1671040.4724123913</v>
      </c>
      <c r="D89" s="18">
        <f t="shared" si="39"/>
        <v>1680517.4993850845</v>
      </c>
      <c r="E89" s="18">
        <f t="shared" si="39"/>
        <v>1689465.7328229635</v>
      </c>
      <c r="F89" s="18">
        <f t="shared" si="39"/>
        <v>1697853.227433108</v>
      </c>
      <c r="G89" s="18">
        <f t="shared" si="39"/>
        <v>1705646.7725340649</v>
      </c>
      <c r="H89" s="18">
        <f t="shared" si="39"/>
        <v>1712810.84735361</v>
      </c>
      <c r="I89" s="18">
        <f t="shared" si="39"/>
        <v>1719309.5748506114</v>
      </c>
      <c r="J89" s="18">
        <f t="shared" si="39"/>
        <v>1725105.6740140517</v>
      </c>
      <c r="K89" s="1215">
        <f t="shared" si="39"/>
        <v>1730159.4105907518</v>
      </c>
      <c r="N89" s="3559"/>
      <c r="O89" s="3561"/>
      <c r="Z89" s="1719" t="s">
        <v>6464</v>
      </c>
      <c r="AA89" s="1721">
        <v>89</v>
      </c>
    </row>
    <row r="90" spans="1:27" ht="13.35" customHeight="1">
      <c r="A90" s="17" t="str">
        <f>$A58</f>
        <v>Mortgage A</v>
      </c>
      <c r="B90" s="342">
        <f>IF('Part II-Sources of Funds'!$P$40="", 0,-'Part II-Sources of Funds'!$P$40)</f>
        <v>-1102880.0648455757</v>
      </c>
      <c r="C90" s="342">
        <f>IF('Part II-Sources of Funds'!$P$40="", 0,-'Part II-Sources of Funds'!$P$40)</f>
        <v>-1102880.0648455757</v>
      </c>
      <c r="D90" s="342">
        <f>IF('Part II-Sources of Funds'!$P$40="", 0,-'Part II-Sources of Funds'!$P$40)</f>
        <v>-1102880.0648455757</v>
      </c>
      <c r="E90" s="342">
        <f>IF('Part II-Sources of Funds'!$P$40="", 0,-'Part II-Sources of Funds'!$P$40)</f>
        <v>-1102880.0648455757</v>
      </c>
      <c r="F90" s="342">
        <f>IF('Part II-Sources of Funds'!$P$40="", 0,-'Part II-Sources of Funds'!$P$40)</f>
        <v>-1102880.0648455757</v>
      </c>
      <c r="G90" s="342">
        <f>IF('Part II-Sources of Funds'!$P$40="", 0,-'Part II-Sources of Funds'!$P$40)</f>
        <v>-1102880.0648455757</v>
      </c>
      <c r="H90" s="342">
        <f>IF('Part II-Sources of Funds'!$P$40="", 0,-'Part II-Sources of Funds'!$P$40)</f>
        <v>-1102880.0648455757</v>
      </c>
      <c r="I90" s="342">
        <f>IF('Part II-Sources of Funds'!$P$40="", 0,-'Part II-Sources of Funds'!$P$40)</f>
        <v>-1102880.0648455757</v>
      </c>
      <c r="J90" s="342">
        <f>IF('Part II-Sources of Funds'!$P$40="", 0,-'Part II-Sources of Funds'!$P$40)</f>
        <v>-1102880.0648455757</v>
      </c>
      <c r="K90" s="342">
        <f>IF('Part II-Sources of Funds'!$P$40="", 0,-'Part II-Sources of Funds'!$P$40)</f>
        <v>-1102880.0648455757</v>
      </c>
      <c r="N90" s="3559"/>
      <c r="O90" s="3561"/>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6464</v>
      </c>
      <c r="AA93" s="1721">
        <v>93</v>
      </c>
    </row>
    <row r="94" spans="1:27" ht="13.35" customHeight="1">
      <c r="A94" s="17" t="s">
        <v>711</v>
      </c>
      <c r="B94" s="138"/>
      <c r="C94" s="138"/>
      <c r="D94" s="138"/>
      <c r="E94" s="138"/>
      <c r="F94" s="138"/>
      <c r="G94" s="138"/>
      <c r="H94" s="138"/>
      <c r="I94" s="138"/>
      <c r="J94" s="138"/>
      <c r="K94" s="138"/>
      <c r="N94" s="3559"/>
      <c r="O94" s="3561"/>
      <c r="Z94" s="1719" t="s">
        <v>6464</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9"/>
      <c r="O95" s="3561"/>
      <c r="Z95" s="1719" t="s">
        <v>6464</v>
      </c>
      <c r="AA95" s="1721">
        <v>95</v>
      </c>
    </row>
    <row r="96" spans="1:27" ht="13.35" customHeight="1">
      <c r="A96" s="17" t="s">
        <v>1096</v>
      </c>
      <c r="B96" s="18">
        <f t="shared" ref="B96:K96" si="41">SUM(B89:B95)</f>
        <v>550686.31023563258</v>
      </c>
      <c r="C96" s="18">
        <f t="shared" si="41"/>
        <v>560660.40756681561</v>
      </c>
      <c r="D96" s="18">
        <f t="shared" si="41"/>
        <v>570137.43453950877</v>
      </c>
      <c r="E96" s="18">
        <f t="shared" si="41"/>
        <v>579085.66797738778</v>
      </c>
      <c r="F96" s="18">
        <f t="shared" si="41"/>
        <v>587473.16258753231</v>
      </c>
      <c r="G96" s="18">
        <f t="shared" si="41"/>
        <v>595266.70768848923</v>
      </c>
      <c r="H96" s="18">
        <f t="shared" si="41"/>
        <v>602430.78250803426</v>
      </c>
      <c r="I96" s="18">
        <f t="shared" si="41"/>
        <v>608929.51000503567</v>
      </c>
      <c r="J96" s="18">
        <f t="shared" si="41"/>
        <v>614725.60916847596</v>
      </c>
      <c r="K96" s="19">
        <f t="shared" si="41"/>
        <v>619779.34574517608</v>
      </c>
      <c r="N96" s="3559"/>
      <c r="O96" s="3561"/>
      <c r="Z96" s="1719" t="s">
        <v>6464</v>
      </c>
      <c r="AA96" s="1721">
        <v>96</v>
      </c>
    </row>
    <row r="97" spans="1:27" ht="13.35" customHeight="1">
      <c r="A97" s="17" t="str">
        <f>$A66</f>
        <v>DCR Mortgage A</v>
      </c>
      <c r="B97" s="20">
        <f t="shared" ref="B97:K97" si="42">IF(B90=0,"",-B89/B90)</f>
        <v>1.5061169641449539</v>
      </c>
      <c r="C97" s="20">
        <f t="shared" si="42"/>
        <v>1.5151606468164505</v>
      </c>
      <c r="D97" s="20">
        <f t="shared" si="42"/>
        <v>1.5237536273904715</v>
      </c>
      <c r="E97" s="20">
        <f t="shared" si="42"/>
        <v>1.5318671419267342</v>
      </c>
      <c r="F97" s="20">
        <f t="shared" si="42"/>
        <v>1.5394722250880832</v>
      </c>
      <c r="G97" s="20">
        <f t="shared" si="42"/>
        <v>1.5465387641881876</v>
      </c>
      <c r="H97" s="20">
        <f t="shared" si="42"/>
        <v>1.5530345519423603</v>
      </c>
      <c r="I97" s="20">
        <f t="shared" si="42"/>
        <v>1.5589270580308727</v>
      </c>
      <c r="J97" s="20">
        <f t="shared" si="42"/>
        <v>1.5641824791307652</v>
      </c>
      <c r="K97" s="21">
        <f t="shared" si="42"/>
        <v>1.5687647875229362</v>
      </c>
      <c r="N97" s="3559"/>
      <c r="O97" s="3561"/>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6464</v>
      </c>
      <c r="AA100" s="1721">
        <v>100</v>
      </c>
    </row>
    <row r="101" spans="1:27" ht="13.35" customHeight="1">
      <c r="A101" s="341" t="s">
        <v>3214</v>
      </c>
      <c r="B101" s="20">
        <f t="shared" ref="B101:K101" si="46">IF(AND(B90=0,B91=0,B92=0,B93=0),"",-B89/(B90+B91+B92+B93))</f>
        <v>1.5061169641449539</v>
      </c>
      <c r="C101" s="20">
        <f t="shared" si="46"/>
        <v>1.5151606468164505</v>
      </c>
      <c r="D101" s="20">
        <f t="shared" si="46"/>
        <v>1.5237536273904715</v>
      </c>
      <c r="E101" s="20">
        <f t="shared" si="46"/>
        <v>1.5318671419267342</v>
      </c>
      <c r="F101" s="20">
        <f t="shared" si="46"/>
        <v>1.5394722250880832</v>
      </c>
      <c r="G101" s="20">
        <f t="shared" si="46"/>
        <v>1.5465387641881876</v>
      </c>
      <c r="H101" s="20">
        <f t="shared" si="46"/>
        <v>1.5530345519423603</v>
      </c>
      <c r="I101" s="20">
        <f t="shared" si="46"/>
        <v>1.5589270580308727</v>
      </c>
      <c r="J101" s="20">
        <f t="shared" si="46"/>
        <v>1.5641824791307652</v>
      </c>
      <c r="K101" s="21">
        <f t="shared" si="46"/>
        <v>1.5687647875229362</v>
      </c>
      <c r="N101" s="3559"/>
      <c r="O101" s="3561"/>
      <c r="Z101" s="1719" t="s">
        <v>6464</v>
      </c>
      <c r="AA101" s="1721">
        <v>101</v>
      </c>
    </row>
    <row r="102" spans="1:27" ht="13.35" customHeight="1">
      <c r="A102" s="17" t="s">
        <v>718</v>
      </c>
      <c r="B102" s="220">
        <f>IF(OR(B86="Choose mgt fee",B86="Choose One!"),"",(B79+B80+B81+B82+B83) / -(B85+B86+B87))</f>
        <v>1.6727143866901726</v>
      </c>
      <c r="C102" s="220">
        <f t="shared" ref="C102:K102" si="47">IF(OR(C86="Choose mgt fee",C86="Choose One!"),"",(C79+C80+C81+C82+C83) / -(C85+C86+C87))</f>
        <v>1.6574159767763783</v>
      </c>
      <c r="D102" s="220">
        <f t="shared" si="47"/>
        <v>1.6422494894056285</v>
      </c>
      <c r="E102" s="220">
        <f t="shared" si="47"/>
        <v>1.6272133823276198</v>
      </c>
      <c r="F102" s="220">
        <f t="shared" si="47"/>
        <v>1.6123067933882769</v>
      </c>
      <c r="G102" s="220">
        <f t="shared" si="47"/>
        <v>1.5975288622501229</v>
      </c>
      <c r="H102" s="220">
        <f t="shared" si="47"/>
        <v>1.5828781910090712</v>
      </c>
      <c r="I102" s="220">
        <f t="shared" si="47"/>
        <v>1.5683539815373002</v>
      </c>
      <c r="J102" s="220">
        <f t="shared" si="47"/>
        <v>1.5539554311730692</v>
      </c>
      <c r="K102" s="221">
        <f t="shared" si="47"/>
        <v>1.5396812523248149</v>
      </c>
      <c r="N102" s="3559"/>
      <c r="O102" s="3561"/>
      <c r="Z102" s="1719" t="s">
        <v>6464</v>
      </c>
      <c r="AA102" s="1721">
        <v>102</v>
      </c>
    </row>
    <row r="103" spans="1:27" ht="13.35" customHeight="1">
      <c r="A103" s="341" t="s">
        <v>2405</v>
      </c>
      <c r="B103" s="177">
        <f>IF('Part II-Sources of Funds'!$I$40="","",-FV('Part II-Sources of Funds'!$K$40/12,12,B90/12,K72))</f>
        <v>13510168.684459442</v>
      </c>
      <c r="C103" s="177">
        <f>IF('Part II-Sources of Funds'!$I$40="","",-FV('Part II-Sources of Funds'!$K$40/12,12,C90/12,B103))</f>
        <v>13072865.809990171</v>
      </c>
      <c r="D103" s="177">
        <f>IF('Part II-Sources of Funds'!$I$40="","",-FV('Part II-Sources of Funds'!$K$40/12,12,D90/12,C103))</f>
        <v>12613189.690513914</v>
      </c>
      <c r="E103" s="177">
        <f>IF('Part II-Sources of Funds'!$I$40="","",-FV('Part II-Sources of Funds'!$K$40/12,12,E90/12,D103))</f>
        <v>12129995.668354342</v>
      </c>
      <c r="F103" s="177">
        <f>IF('Part II-Sources of Funds'!$I$40="","",-FV('Part II-Sources of Funds'!$K$40/12,12,F90/12,E103))</f>
        <v>11622080.522975978</v>
      </c>
      <c r="G103" s="177">
        <f>IF('Part II-Sources of Funds'!$I$40="","",-FV('Part II-Sources of Funds'!$K$40/12,12,G90/12,F103))</f>
        <v>11088179.47479718</v>
      </c>
      <c r="H103" s="177">
        <f>IF('Part II-Sources of Funds'!$I$40="","",-FV('Part II-Sources of Funds'!$K$40/12,12,H90/12,G103))</f>
        <v>10526963.035712508</v>
      </c>
      <c r="I103" s="177">
        <f>IF('Part II-Sources of Funds'!$I$40="","",-FV('Part II-Sources of Funds'!$K$40/12,12,I90/12,H103))</f>
        <v>9937033.6984818354</v>
      </c>
      <c r="J103" s="177">
        <f>IF('Part II-Sources of Funds'!$I$40="","",-FV('Part II-Sources of Funds'!$K$40/12,12,J90/12,I103))</f>
        <v>9316922.4567423295</v>
      </c>
      <c r="K103" s="177">
        <f>IF('Part II-Sources of Funds'!$I$40="","",-FV('Part II-Sources of Funds'!$K$40/12,12,K90/12,J103))</f>
        <v>8665085.1469776314</v>
      </c>
      <c r="N103" s="3559"/>
      <c r="O103" s="3561"/>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6464</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4998488.5185648855</v>
      </c>
      <c r="C109" s="15">
        <f>$B$15*(1+$B$6)^(C108-1)</f>
        <v>5098458.2889361829</v>
      </c>
      <c r="D109" s="15">
        <f>$B$15*(1+$B$6)^(D108-1)</f>
        <v>5200427.4547149073</v>
      </c>
      <c r="E109" s="15">
        <f>$B$15*(1+$B$6)^(E108-1)</f>
        <v>5304436.0038092062</v>
      </c>
      <c r="F109" s="497">
        <f>$B$15*(1+$B$6)^(F108-1)</f>
        <v>5410524.723885389</v>
      </c>
      <c r="G109" s="13"/>
      <c r="H109" s="13"/>
      <c r="I109" s="13"/>
      <c r="J109" s="13"/>
      <c r="K109" s="13"/>
      <c r="N109" s="3562"/>
      <c r="O109" s="3564"/>
      <c r="Z109" s="1719" t="s">
        <v>6465</v>
      </c>
      <c r="AA109" s="1721">
        <v>109</v>
      </c>
    </row>
    <row r="110" spans="1:27" ht="13.35" customHeight="1">
      <c r="A110" s="17" t="s">
        <v>952</v>
      </c>
      <c r="B110" s="18">
        <f>$B$16*(1+$B$6)^(B108-1)</f>
        <v>99969.770371297724</v>
      </c>
      <c r="C110" s="18">
        <f>$B$16*(1+$B$6)^(C108-1)</f>
        <v>101969.16577872365</v>
      </c>
      <c r="D110" s="18">
        <f>$B$16*(1+$B$6)^(D108-1)</f>
        <v>104008.54909429814</v>
      </c>
      <c r="E110" s="18">
        <f>$B$16*(1+$B$6)^(E108-1)</f>
        <v>106088.72007618412</v>
      </c>
      <c r="F110" s="19">
        <f>$B$16*(1+$B$6)^(F108-1)</f>
        <v>108210.49447770779</v>
      </c>
      <c r="G110" s="13"/>
      <c r="H110" s="13"/>
      <c r="I110" s="13"/>
      <c r="J110" s="13"/>
      <c r="K110" s="13"/>
      <c r="N110" s="3559"/>
      <c r="O110" s="3561"/>
      <c r="Z110" s="1719" t="s">
        <v>6465</v>
      </c>
      <c r="AA110" s="1721">
        <v>110</v>
      </c>
    </row>
    <row r="111" spans="1:27" ht="13.35" customHeight="1">
      <c r="A111" s="17" t="s">
        <v>2216</v>
      </c>
      <c r="B111" s="18">
        <f>-(B109+B110)*$B$9</f>
        <v>-254922.91444680915</v>
      </c>
      <c r="C111" s="18">
        <f>-(C109+C110)*$B$9</f>
        <v>-260021.37273574533</v>
      </c>
      <c r="D111" s="18">
        <f>-(D109+D110)*$B$9</f>
        <v>-265221.80019046029</v>
      </c>
      <c r="E111" s="18">
        <f>-(E109+E110)*$B$9</f>
        <v>-270526.2361942695</v>
      </c>
      <c r="F111" s="19">
        <f>-(F109+F110)*$B$9</f>
        <v>-275936.76091815485</v>
      </c>
      <c r="G111" s="13"/>
      <c r="H111" s="13"/>
      <c r="I111" s="13"/>
      <c r="J111" s="13"/>
      <c r="K111" s="13"/>
      <c r="N111" s="3559"/>
      <c r="O111" s="3561"/>
      <c r="Z111" s="1719" t="s">
        <v>6465</v>
      </c>
      <c r="AA111" s="1721">
        <v>111</v>
      </c>
    </row>
    <row r="112" spans="1:27" ht="13.35" customHeight="1">
      <c r="A112" s="17" t="s">
        <v>47</v>
      </c>
      <c r="B112" s="18">
        <f>'Part V-Revenues &amp; Expenses'!H212</f>
        <v>191236.31060329571</v>
      </c>
      <c r="C112" s="18">
        <f>'Part V-Revenues &amp; Expenses'!I212</f>
        <v>195061.03681536164</v>
      </c>
      <c r="D112" s="18">
        <f>'Part V-Revenues &amp; Expenses'!J212</f>
        <v>198962.25755166888</v>
      </c>
      <c r="E112" s="18">
        <f>'Part V-Revenues &amp; Expenses'!K212</f>
        <v>202941.50270270227</v>
      </c>
      <c r="F112" s="19">
        <f>'Part V-Revenues &amp; Expenses'!L212</f>
        <v>207000.33275675631</v>
      </c>
      <c r="G112" s="13"/>
      <c r="H112" s="13"/>
      <c r="I112" s="13"/>
      <c r="J112" s="13"/>
      <c r="K112" s="13"/>
      <c r="N112" s="3559"/>
      <c r="O112" s="3561"/>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6465</v>
      </c>
      <c r="AA113" s="1721">
        <v>113</v>
      </c>
    </row>
    <row r="114" spans="1:27" ht="13.35" customHeight="1">
      <c r="A114" s="341" t="s">
        <v>3839</v>
      </c>
      <c r="B114" s="18">
        <f>SUM(B109:B113)</f>
        <v>5034771.685092669</v>
      </c>
      <c r="C114" s="18">
        <f>SUM(C109:C113)</f>
        <v>5135467.1187945232</v>
      </c>
      <c r="D114" s="18">
        <f>SUM(D109:D113)</f>
        <v>5238176.4611704145</v>
      </c>
      <c r="E114" s="18">
        <f>SUM(E109:E113)</f>
        <v>5342939.9903938221</v>
      </c>
      <c r="F114" s="19">
        <f>SUM(F109:F113)</f>
        <v>5449798.7902016975</v>
      </c>
      <c r="G114" s="13"/>
      <c r="H114" s="13"/>
      <c r="I114" s="13"/>
      <c r="J114" s="13"/>
      <c r="K114" s="13"/>
      <c r="N114" s="3559"/>
      <c r="O114" s="3561"/>
      <c r="Z114" s="1719" t="s">
        <v>6465</v>
      </c>
      <c r="AA114" s="1721">
        <v>114</v>
      </c>
    </row>
    <row r="115" spans="1:27" ht="13.35" customHeight="1">
      <c r="A115" s="17" t="s">
        <v>572</v>
      </c>
      <c r="B115" s="18">
        <f>$B$21*(1+$B$7)^(B108-1)</f>
        <v>-2917174.7406071597</v>
      </c>
      <c r="C115" s="18">
        <f>$B$21*(1+$B$7)^(C108-1)</f>
        <v>-3004689.9828253747</v>
      </c>
      <c r="D115" s="18">
        <f>$B$21*(1+$B$7)^(D108-1)</f>
        <v>-3094830.6823101356</v>
      </c>
      <c r="E115" s="18">
        <f>$B$21*(1+$B$7)^(E108-1)</f>
        <v>-3187675.6027794397</v>
      </c>
      <c r="F115" s="19">
        <f>$B$21*(1+$B$7)^(F108-1)</f>
        <v>-3283305.870862822</v>
      </c>
      <c r="G115" s="13"/>
      <c r="H115" s="13"/>
      <c r="I115" s="13"/>
      <c r="J115" s="13"/>
      <c r="K115" s="13"/>
      <c r="N115" s="3559"/>
      <c r="O115" s="3561"/>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-176217</v>
      </c>
      <c r="C116" s="18">
        <f>IF(AND('Part VI-Pro Forma'!$G$9="Yes",'Part VI-Pro Forma'!$G$10="Yes"),"Choose One!",IF('Part VI-Pro Forma'!$G$9="Yes",ROUND((-$K$9*(1+'Part VI-Pro Forma'!$B$7)^('Part VI-Pro Forma'!C108-1)),),IF('Part VI-Pro Forma'!$G$10="Yes",ROUND((-(SUM(C109:C112)*'Part VI-Pro Forma'!$K$10)),),"Choose mgt fee")))</f>
        <v>-179741</v>
      </c>
      <c r="D116" s="18">
        <f>IF(AND('Part VI-Pro Forma'!$G$9="Yes",'Part VI-Pro Forma'!$G$10="Yes"),"Choose One!",IF('Part VI-Pro Forma'!$G$9="Yes",ROUND((-$K$9*(1+'Part VI-Pro Forma'!$B$7)^('Part VI-Pro Forma'!D108-1)),),IF('Part VI-Pro Forma'!$G$10="Yes",ROUND((-(SUM(D109:D112)*'Part VI-Pro Forma'!$K$10)),),"Choose mgt fee")))</f>
        <v>-183336</v>
      </c>
      <c r="E116" s="18">
        <f>IF(AND('Part VI-Pro Forma'!$G$9="Yes",'Part VI-Pro Forma'!$G$10="Yes"),"Choose One!",IF('Part VI-Pro Forma'!$G$9="Yes",ROUND((-$K$9*(1+'Part VI-Pro Forma'!$B$7)^('Part VI-Pro Forma'!E108-1)),),IF('Part VI-Pro Forma'!$G$10="Yes",ROUND((-(SUM(E109:E112)*'Part VI-Pro Forma'!$K$10)),),"Choose mgt fee")))</f>
        <v>-187003</v>
      </c>
      <c r="F116" s="19">
        <f>IF(AND('Part VI-Pro Forma'!$G$9="Yes",'Part VI-Pro Forma'!$G$10="Yes"),"Choose One!",IF('Part VI-Pro Forma'!$G$9="Yes",ROUND((-$K$9*(1+'Part VI-Pro Forma'!$B$7)^('Part VI-Pro Forma'!F108-1)),),IF('Part VI-Pro Forma'!$G$10="Yes",ROUND((-(SUM(F109:F112)*'Part VI-Pro Forma'!$K$10)),),"Choose mgt fee")))</f>
        <v>-190743</v>
      </c>
      <c r="G116" s="13"/>
      <c r="H116" s="13"/>
      <c r="I116" s="13"/>
      <c r="J116" s="13"/>
      <c r="K116" s="13"/>
      <c r="N116" s="3559"/>
      <c r="O116" s="3561"/>
      <c r="Z116" s="1719" t="s">
        <v>6465</v>
      </c>
      <c r="AA116" s="1721">
        <v>116</v>
      </c>
    </row>
    <row r="117" spans="1:27" ht="13.35" customHeight="1">
      <c r="A117" s="17" t="s">
        <v>1128</v>
      </c>
      <c r="B117" s="18">
        <f>$B$23*(1+$B$8)^(B108-1)</f>
        <v>-206948.39829363034</v>
      </c>
      <c r="C117" s="18">
        <f>$B$23*(1+$B$8)^(C108-1)</f>
        <v>-213156.85024243928</v>
      </c>
      <c r="D117" s="18">
        <f>$B$23*(1+$B$8)^(D108-1)</f>
        <v>-219551.55574971242</v>
      </c>
      <c r="E117" s="18">
        <f>$B$23*(1+$B$8)^(E108-1)</f>
        <v>-226138.10242220381</v>
      </c>
      <c r="F117" s="19">
        <f>$B$23*(1+$B$8)^(F108-1)</f>
        <v>-232922.24549486989</v>
      </c>
      <c r="G117" s="13"/>
      <c r="H117" s="13"/>
      <c r="I117" s="13"/>
      <c r="J117" s="13"/>
      <c r="K117" s="13"/>
      <c r="N117" s="3559"/>
      <c r="O117" s="3561"/>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6465</v>
      </c>
      <c r="AA118" s="1721">
        <v>118</v>
      </c>
    </row>
    <row r="119" spans="1:27" ht="13.35" customHeight="1">
      <c r="A119" s="17" t="s">
        <v>1129</v>
      </c>
      <c r="B119" s="18">
        <f>SUM(B114:B118)</f>
        <v>1734431.5461918791</v>
      </c>
      <c r="C119" s="18">
        <f>SUM(C114:C118)</f>
        <v>1737879.2857267093</v>
      </c>
      <c r="D119" s="18">
        <f>SUM(D114:D118)</f>
        <v>1740458.2231105664</v>
      </c>
      <c r="E119" s="18">
        <f>SUM(E114:E118)</f>
        <v>1742123.2851921786</v>
      </c>
      <c r="F119" s="1215">
        <f>SUM(F114:F118)</f>
        <v>1742827.6738440054</v>
      </c>
      <c r="G119" s="13"/>
      <c r="H119" s="13"/>
      <c r="I119" s="13"/>
      <c r="J119" s="13"/>
      <c r="K119" s="13"/>
      <c r="N119" s="3559"/>
      <c r="O119" s="3561"/>
      <c r="Z119" s="1719" t="s">
        <v>6465</v>
      </c>
      <c r="AA119" s="1721">
        <v>119</v>
      </c>
    </row>
    <row r="120" spans="1:27" ht="13.35" customHeight="1">
      <c r="A120" s="17" t="str">
        <f>$A90</f>
        <v>Mortgage A</v>
      </c>
      <c r="B120" s="342">
        <f>IF('Part II-Sources of Funds'!$P$40="", 0,-'Part II-Sources of Funds'!$P$40)</f>
        <v>-1102880.0648455757</v>
      </c>
      <c r="C120" s="342">
        <f>IF('Part II-Sources of Funds'!$P$40="", 0,-'Part II-Sources of Funds'!$P$40)</f>
        <v>-1102880.0648455757</v>
      </c>
      <c r="D120" s="342">
        <f>IF('Part II-Sources of Funds'!$P$40="", 0,-'Part II-Sources of Funds'!$P$40)</f>
        <v>-1102880.0648455757</v>
      </c>
      <c r="E120" s="342">
        <f>IF('Part II-Sources of Funds'!$P$40="", 0,-'Part II-Sources of Funds'!$P$40)</f>
        <v>-1102880.0648455757</v>
      </c>
      <c r="F120" s="342">
        <f>IF('Part II-Sources of Funds'!$P$40="", 0,-'Part II-Sources of Funds'!$P$40)</f>
        <v>-1102880.0648455757</v>
      </c>
      <c r="G120" s="13"/>
      <c r="H120" s="13"/>
      <c r="I120" s="13"/>
      <c r="J120" s="13"/>
      <c r="K120" s="13"/>
      <c r="N120" s="3559"/>
      <c r="O120" s="3561"/>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6465</v>
      </c>
      <c r="AA123" s="1721">
        <v>123</v>
      </c>
    </row>
    <row r="124" spans="1:27" ht="13.35" customHeight="1">
      <c r="A124" s="17" t="s">
        <v>711</v>
      </c>
      <c r="B124" s="138"/>
      <c r="C124" s="138"/>
      <c r="D124" s="138"/>
      <c r="E124" s="138"/>
      <c r="F124" s="138"/>
      <c r="G124" s="13"/>
      <c r="H124" s="13"/>
      <c r="I124" s="13"/>
      <c r="J124" s="13"/>
      <c r="K124" s="13"/>
      <c r="N124" s="3559"/>
      <c r="O124" s="3561"/>
      <c r="Z124" s="1719" t="s">
        <v>6465</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9"/>
      <c r="O125" s="3561"/>
      <c r="Z125" s="1719" t="s">
        <v>6465</v>
      </c>
      <c r="AA125" s="1721">
        <v>125</v>
      </c>
    </row>
    <row r="126" spans="1:27" ht="13.35" customHeight="1">
      <c r="A126" s="17" t="s">
        <v>1096</v>
      </c>
      <c r="B126" s="18">
        <f>SUM(B119:B125)</f>
        <v>624051.48134630336</v>
      </c>
      <c r="C126" s="18">
        <f>SUM(C119:C125)</f>
        <v>627499.22088113357</v>
      </c>
      <c r="D126" s="18">
        <f>SUM(D119:D125)</f>
        <v>630078.15826499066</v>
      </c>
      <c r="E126" s="18">
        <f>SUM(E119:E125)</f>
        <v>631743.22034660284</v>
      </c>
      <c r="F126" s="19">
        <f>SUM(F119:F125)</f>
        <v>632447.60899842973</v>
      </c>
      <c r="G126" s="13"/>
      <c r="H126" s="13"/>
      <c r="I126" s="13"/>
      <c r="J126" s="13"/>
      <c r="K126" s="13"/>
      <c r="N126" s="3559"/>
      <c r="O126" s="3561"/>
      <c r="Z126" s="1719" t="s">
        <v>6465</v>
      </c>
      <c r="AA126" s="1721">
        <v>126</v>
      </c>
    </row>
    <row r="127" spans="1:27" ht="13.35" customHeight="1">
      <c r="A127" s="17" t="str">
        <f>$A97</f>
        <v>DCR Mortgage A</v>
      </c>
      <c r="B127" s="20">
        <f>IF(B120=0,"",-B119/B120)</f>
        <v>1.5726384050968703</v>
      </c>
      <c r="C127" s="20">
        <f>IF(C120=0,"",-C119/C120)</f>
        <v>1.575764528820317</v>
      </c>
      <c r="D127" s="20">
        <f>IF(D120=0,"",-D119/D120)</f>
        <v>1.5781028949455749</v>
      </c>
      <c r="E127" s="20">
        <f>IF(E120=0,"",-E119/E120)</f>
        <v>1.5796126348843826</v>
      </c>
      <c r="F127" s="21">
        <f>IF(F120=0,"",-F119/F120)</f>
        <v>1.5802513159833338</v>
      </c>
      <c r="G127" s="13"/>
      <c r="H127" s="13"/>
      <c r="I127" s="13"/>
      <c r="J127" s="13"/>
      <c r="K127" s="13"/>
      <c r="N127" s="3559"/>
      <c r="O127" s="3561"/>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6465</v>
      </c>
      <c r="AA130" s="1721">
        <v>130</v>
      </c>
    </row>
    <row r="131" spans="1:27" ht="13.35" customHeight="1">
      <c r="A131" s="341" t="s">
        <v>3214</v>
      </c>
      <c r="B131" s="20">
        <f>IF(AND(B120=0,B121=0,B122=0,B123=0),"",-B119/(B120+B121+B122+B123))</f>
        <v>1.5726384050968703</v>
      </c>
      <c r="C131" s="20">
        <f>IF(AND(C120=0,C121=0,C122=0,C123=0),"",-C119/(C120+C121+C122+C123))</f>
        <v>1.575764528820317</v>
      </c>
      <c r="D131" s="20">
        <f>IF(AND(D120=0,D121=0,D122=0,D123=0),"",-D119/(D120+D121+D122+D123))</f>
        <v>1.5781028949455749</v>
      </c>
      <c r="E131" s="20">
        <f>IF(AND(E120=0,E121=0,E122=0,E123=0),"",-E119/(E120+E121+E122+E123))</f>
        <v>1.5796126348843826</v>
      </c>
      <c r="F131" s="21">
        <f>IF(AND(F120=0,F121=0,F122=0,F123=0),"",-F119/(F120+F121+F122+F123))</f>
        <v>1.5802513159833338</v>
      </c>
      <c r="G131" s="13"/>
      <c r="H131" s="13"/>
      <c r="I131" s="13"/>
      <c r="J131" s="13"/>
      <c r="K131" s="13"/>
      <c r="N131" s="3559"/>
      <c r="O131" s="3561"/>
      <c r="Z131" s="1719" t="s">
        <v>6465</v>
      </c>
      <c r="AA131" s="1721">
        <v>131</v>
      </c>
    </row>
    <row r="132" spans="1:27" ht="13.35" customHeight="1">
      <c r="A132" s="17" t="s">
        <v>718</v>
      </c>
      <c r="B132" s="220">
        <f>IF(OR(B116="Choose mgt fee",B116="Choose One!"),"",(B109+B110+B111+B112+B113) / -(B115+B116+B117))</f>
        <v>1.5255311492740709</v>
      </c>
      <c r="C132" s="220">
        <f>IF(OR(C116="Choose mgt fee",C116="Choose One!"),"",(C109+C110+C111+C112+C113) / -(C115+C116+C117))</f>
        <v>1.5115038583586846</v>
      </c>
      <c r="D132" s="220">
        <f>IF(OR(D116="Choose mgt fee",D116="Choose One!"),"",(D109+D110+D111+D112+D113) / -(D115+D116+D117))</f>
        <v>1.4975981781985912</v>
      </c>
      <c r="E132" s="220">
        <f>IF(OR(E116="Choose mgt fee",E116="Choose One!"),"",(E109+E110+E111+E112+E113) / -(E115+E116+E117))</f>
        <v>1.4838133756365754</v>
      </c>
      <c r="F132" s="498">
        <f>IF(OR(F116="Choose mgt fee",F116="Choose One!"),"",(F109+F110+F111+F112+F113) / -(F115+F116+F117))</f>
        <v>1.4701487060833729</v>
      </c>
      <c r="G132" s="13"/>
      <c r="H132" s="13"/>
      <c r="I132" s="13"/>
      <c r="J132" s="13"/>
      <c r="K132" s="13"/>
      <c r="N132" s="3559"/>
      <c r="O132" s="3561"/>
      <c r="Z132" s="1719" t="s">
        <v>6465</v>
      </c>
      <c r="AA132" s="1721">
        <v>132</v>
      </c>
    </row>
    <row r="133" spans="1:27" ht="13.35" customHeight="1">
      <c r="A133" s="341" t="s">
        <v>2405</v>
      </c>
      <c r="B133" s="177">
        <f>IF('Part II-Sources of Funds'!$I$40="","",-FV('Part II-Sources of Funds'!$K$40/12,12,B120/12,K103))</f>
        <v>7979898.6033352483</v>
      </c>
      <c r="C133" s="177">
        <f>IF('Part II-Sources of Funds'!$I$40="","",-FV('Part II-Sources of Funds'!$K$40/12,12,C120/12,B133))</f>
        <v>7259656.6157170963</v>
      </c>
      <c r="D133" s="177">
        <f>IF('Part II-Sources of Funds'!$I$40="","",-FV('Part II-Sources of Funds'!$K$40/12,12,D120/12,C133))</f>
        <v>6502565.6810782868</v>
      </c>
      <c r="E133" s="177">
        <f>IF('Part II-Sources of Funds'!$I$40="","",-FV('Part II-Sources of Funds'!$K$40/12,12,E120/12,D133))</f>
        <v>5706740.5373543017</v>
      </c>
      <c r="F133" s="177">
        <f>IF('Part II-Sources of Funds'!$I$40="","",-FV('Part II-Sources of Funds'!$K$40/12,12,F120/12,E133))</f>
        <v>4870199.4688953925</v>
      </c>
      <c r="G133" s="13"/>
      <c r="H133" s="13"/>
      <c r="I133" s="13"/>
      <c r="J133" s="13"/>
      <c r="K133" s="13"/>
      <c r="N133" s="3559"/>
      <c r="O133" s="3561"/>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53" zoomScaleNormal="100" workbookViewId="0">
      <selection activeCell="G297" sqref="G297"/>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Bon Air, Augusta, Richmond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6772</v>
      </c>
      <c r="Q3" s="3685" t="s">
        <v>6532</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6773</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701"/>
      <c r="Q31" s="3702"/>
    </row>
    <row r="32" spans="1:17" ht="20.25" customHeight="1">
      <c r="B32" s="2034" t="s">
        <v>6775</v>
      </c>
      <c r="C32" s="2034"/>
      <c r="D32" s="2034"/>
      <c r="E32" s="2034"/>
      <c r="F32" s="2034"/>
      <c r="G32" s="2031"/>
      <c r="H32" s="2031"/>
      <c r="I32" s="2031"/>
      <c r="J32" s="2031"/>
      <c r="K32" s="2026"/>
      <c r="L32" s="2026"/>
      <c r="M32" s="2026"/>
      <c r="N32" s="2026"/>
      <c r="O32" s="2026"/>
      <c r="P32" s="2026"/>
    </row>
    <row r="33" spans="1:17" ht="89.45" customHeight="1">
      <c r="A33" s="3703" t="s">
        <v>7110</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6776</v>
      </c>
      <c r="C39" s="3719"/>
      <c r="D39" s="3719"/>
      <c r="E39" s="3719"/>
      <c r="F39" s="3719"/>
      <c r="G39" s="3719"/>
      <c r="H39" s="3719"/>
      <c r="I39" s="3719"/>
      <c r="J39" s="3719"/>
      <c r="K39" s="3719"/>
      <c r="L39" s="3719"/>
      <c r="M39" s="3719"/>
      <c r="N39" s="3719"/>
      <c r="O39" s="3719"/>
      <c r="P39" s="3720" t="s">
        <v>2649</v>
      </c>
      <c r="Q39" s="3721"/>
    </row>
    <row r="40" spans="1:17" ht="20.25" customHeight="1">
      <c r="B40" s="2045" t="s">
        <v>3241</v>
      </c>
      <c r="D40" s="2045"/>
      <c r="E40" s="2045"/>
      <c r="F40" s="2045"/>
      <c r="G40" s="2045"/>
      <c r="H40" s="2043"/>
      <c r="I40" s="2031"/>
      <c r="J40" s="2031"/>
    </row>
    <row r="41" spans="1:17" ht="20.25" customHeight="1">
      <c r="A41" s="3722" t="s">
        <v>7065</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6777</v>
      </c>
      <c r="C47" s="2042"/>
      <c r="D47" s="2036"/>
      <c r="E47" s="2036"/>
      <c r="F47" s="2036"/>
      <c r="G47" s="2036"/>
      <c r="H47" s="2036"/>
      <c r="I47" s="2036"/>
      <c r="J47" s="2036"/>
      <c r="L47" s="2051"/>
      <c r="M47" s="2052"/>
      <c r="O47" s="2032"/>
      <c r="P47" s="3720" t="s">
        <v>2649</v>
      </c>
      <c r="Q47" s="3721"/>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88.5" customHeight="1">
      <c r="A49" s="3703" t="s">
        <v>7111</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7066</v>
      </c>
      <c r="J53" s="3714"/>
      <c r="K53" s="3714"/>
      <c r="L53" s="3714"/>
      <c r="M53" s="3714"/>
      <c r="N53" s="3714"/>
      <c r="O53" s="3714"/>
      <c r="P53" s="3714"/>
      <c r="Q53" s="3715"/>
    </row>
    <row r="54" spans="1:17" ht="20.25" customHeight="1">
      <c r="A54" s="2053"/>
      <c r="B54" s="2030" t="s">
        <v>6778</v>
      </c>
      <c r="D54" s="2056"/>
      <c r="E54" s="2056"/>
      <c r="F54" s="2056"/>
      <c r="I54" s="3716">
        <v>0.98</v>
      </c>
      <c r="J54" s="3717"/>
      <c r="K54" s="3718"/>
      <c r="L54" s="2044"/>
      <c r="M54" s="2057"/>
      <c r="N54" s="2057"/>
      <c r="O54" s="2057"/>
      <c r="P54" s="2057"/>
      <c r="Q54" s="2026"/>
    </row>
    <row r="55" spans="1:17" ht="20.25" customHeight="1">
      <c r="A55" s="2053"/>
      <c r="B55" s="2030" t="s">
        <v>6779</v>
      </c>
      <c r="D55" s="2056"/>
      <c r="E55" s="2056"/>
      <c r="F55" s="2056"/>
      <c r="H55" s="2044" t="s">
        <v>6780</v>
      </c>
      <c r="I55" s="3716">
        <v>0.16300000000000001</v>
      </c>
      <c r="J55" s="3717"/>
      <c r="K55" s="3718"/>
      <c r="L55" s="2058"/>
      <c r="M55" s="2059" t="s">
        <v>6781</v>
      </c>
      <c r="N55" s="3716">
        <v>0.47499999999999998</v>
      </c>
      <c r="O55" s="3718"/>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44.1" customHeight="1">
      <c r="A57" s="3703" t="s">
        <v>7112</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6782</v>
      </c>
      <c r="I63" s="2062"/>
      <c r="J63" s="3736" t="s">
        <v>7067</v>
      </c>
      <c r="K63" s="3736"/>
      <c r="L63" s="3736"/>
      <c r="M63" s="3736"/>
      <c r="N63" s="3736"/>
      <c r="O63" s="3736"/>
      <c r="P63" s="3736"/>
      <c r="Q63" s="3737"/>
    </row>
    <row r="64" spans="1:17" ht="20.25" customHeight="1">
      <c r="A64" s="2053"/>
      <c r="B64" s="2030" t="s">
        <v>3949</v>
      </c>
      <c r="O64" s="2044"/>
      <c r="P64" s="2065" t="s">
        <v>2652</v>
      </c>
      <c r="Q64" s="2066"/>
    </row>
    <row r="65" spans="1:17" ht="33" customHeight="1">
      <c r="B65" s="2042"/>
      <c r="C65" s="3711" t="s">
        <v>6783</v>
      </c>
      <c r="D65" s="3711"/>
      <c r="E65" s="3711"/>
      <c r="F65" s="3711"/>
      <c r="G65" s="3711"/>
      <c r="H65" s="3711"/>
      <c r="I65" s="3711"/>
      <c r="J65" s="3711"/>
      <c r="K65" s="3711"/>
      <c r="L65" s="3711"/>
      <c r="M65" s="3711"/>
      <c r="N65" s="3711"/>
      <c r="O65" s="3711"/>
      <c r="P65" s="2065"/>
      <c r="Q65" s="2066"/>
    </row>
    <row r="66" spans="1:17" ht="33" customHeight="1">
      <c r="A66" s="2053"/>
      <c r="B66" s="2042"/>
      <c r="C66" s="3711" t="s">
        <v>6784</v>
      </c>
      <c r="D66" s="3711"/>
      <c r="E66" s="3711"/>
      <c r="F66" s="3711"/>
      <c r="G66" s="3711"/>
      <c r="H66" s="3711"/>
      <c r="I66" s="3711"/>
      <c r="J66" s="3711"/>
      <c r="K66" s="3711"/>
      <c r="L66" s="3711"/>
      <c r="M66" s="3711"/>
      <c r="N66" s="3711"/>
      <c r="O66" s="3711"/>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22" t="s">
        <v>7068</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6785</v>
      </c>
      <c r="C74" s="3711"/>
      <c r="D74" s="3711"/>
      <c r="E74" s="3711"/>
      <c r="F74" s="3711"/>
      <c r="G74" s="3711"/>
      <c r="H74" s="3711"/>
      <c r="I74" s="3711"/>
      <c r="J74" s="3711"/>
      <c r="K74" s="3712"/>
      <c r="L74" s="3730" t="s">
        <v>7069</v>
      </c>
      <c r="M74" s="3731"/>
      <c r="N74" s="3731"/>
      <c r="O74" s="3731"/>
      <c r="P74" s="3732"/>
      <c r="Q74" s="3733"/>
    </row>
    <row r="75" spans="1:17" ht="20.25" customHeight="1">
      <c r="B75" s="2030" t="s">
        <v>6786</v>
      </c>
      <c r="C75" s="2033"/>
      <c r="O75" s="2044"/>
      <c r="P75" s="2070" t="s">
        <v>2652</v>
      </c>
      <c r="Q75" s="2061"/>
    </row>
    <row r="76" spans="1:17" ht="20.25" customHeight="1">
      <c r="A76" s="2053"/>
      <c r="B76" s="2030" t="s">
        <v>6632</v>
      </c>
      <c r="D76" s="2056"/>
      <c r="E76" s="2056"/>
      <c r="F76" s="2056"/>
      <c r="G76" s="2056"/>
      <c r="H76" s="2056"/>
      <c r="K76" s="2056"/>
      <c r="L76" s="2036"/>
      <c r="O76" s="2044"/>
      <c r="P76" s="2067" t="s">
        <v>2652</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2652</v>
      </c>
      <c r="Q78" s="2061"/>
    </row>
    <row r="79" spans="1:17" ht="20.25" customHeight="1">
      <c r="A79" s="2053"/>
      <c r="B79" s="2042"/>
      <c r="C79" s="2030" t="s">
        <v>6789</v>
      </c>
      <c r="E79" s="2056"/>
      <c r="F79" s="2056"/>
      <c r="G79" s="2056"/>
      <c r="K79" s="2056"/>
      <c r="L79" s="2036"/>
      <c r="M79" s="2036"/>
      <c r="O79" s="2044"/>
      <c r="P79" s="2063" t="s">
        <v>2652</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t="s">
        <v>2652</v>
      </c>
      <c r="Q80" s="2080"/>
    </row>
    <row r="81" spans="1:23" ht="20.25" customHeight="1">
      <c r="A81" s="2053"/>
      <c r="B81" s="2042"/>
      <c r="C81" s="2030" t="s">
        <v>6791</v>
      </c>
      <c r="E81" s="2056"/>
      <c r="F81" s="2056"/>
      <c r="G81" s="2056"/>
      <c r="K81" s="2056"/>
      <c r="L81" s="2036"/>
      <c r="M81" s="2036"/>
      <c r="O81" s="2044"/>
      <c r="P81" s="2067" t="s">
        <v>2652</v>
      </c>
      <c r="Q81" s="2068"/>
    </row>
    <row r="82" spans="1:23" ht="32.25" customHeight="1">
      <c r="A82" s="2053"/>
      <c r="B82" s="3739" t="s">
        <v>6792</v>
      </c>
      <c r="C82" s="3739"/>
      <c r="D82" s="3739"/>
      <c r="E82" s="3739"/>
      <c r="F82" s="3739"/>
      <c r="G82" s="3739"/>
      <c r="H82" s="3739"/>
      <c r="I82" s="3739"/>
      <c r="J82" s="3739"/>
      <c r="K82" s="3739"/>
      <c r="L82" s="3739"/>
      <c r="M82" s="3739"/>
      <c r="N82" s="3739"/>
      <c r="O82" s="3739"/>
      <c r="P82" s="3739"/>
      <c r="Q82" s="3739"/>
    </row>
    <row r="83" spans="1:23" ht="67.5" customHeight="1">
      <c r="B83" s="3736" t="s">
        <v>7113</v>
      </c>
      <c r="C83" s="3736"/>
      <c r="D83" s="3736"/>
      <c r="E83" s="3736"/>
      <c r="F83" s="3736"/>
      <c r="G83" s="3736"/>
      <c r="H83" s="3736"/>
      <c r="I83" s="3736"/>
      <c r="J83" s="3736"/>
      <c r="K83" s="3736"/>
      <c r="L83" s="3736"/>
      <c r="M83" s="3736"/>
      <c r="N83" s="3736"/>
      <c r="O83" s="3736"/>
      <c r="P83" s="3736"/>
      <c r="Q83" s="3737"/>
    </row>
    <row r="84" spans="1:23" ht="20.25" customHeight="1">
      <c r="B84" s="2060" t="s">
        <v>3241</v>
      </c>
      <c r="D84" s="2060"/>
      <c r="E84" s="2060"/>
      <c r="F84" s="2060"/>
      <c r="G84" s="2060"/>
      <c r="H84" s="2043"/>
      <c r="I84" s="2031"/>
      <c r="J84" s="2031"/>
      <c r="K84" s="2031"/>
      <c r="L84" s="2026"/>
      <c r="M84" s="2026"/>
      <c r="N84" s="2026"/>
      <c r="O84" s="2026"/>
      <c r="P84" s="2026"/>
      <c r="Q84" s="2026"/>
    </row>
    <row r="85" spans="1:23" ht="35.1" customHeight="1">
      <c r="A85" s="3703" t="s">
        <v>7071</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7072</v>
      </c>
      <c r="M91" s="3741"/>
      <c r="N91" s="3742"/>
      <c r="O91" s="3706" t="s">
        <v>1646</v>
      </c>
      <c r="P91" s="3743"/>
      <c r="Q91" s="3744"/>
    </row>
    <row r="92" spans="1:23" ht="20.25" customHeight="1">
      <c r="A92" s="2053"/>
      <c r="B92" s="2030" t="s">
        <v>636</v>
      </c>
      <c r="G92" s="3736" t="s">
        <v>7037</v>
      </c>
      <c r="H92" s="3736"/>
      <c r="I92" s="3736"/>
      <c r="J92" s="3736"/>
      <c r="K92" s="3736"/>
      <c r="L92" s="3736"/>
      <c r="M92" s="3736"/>
      <c r="N92" s="3736"/>
      <c r="O92" s="3736"/>
      <c r="P92" s="3736"/>
      <c r="Q92" s="3737"/>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20.25" customHeight="1">
      <c r="A94" s="3703" t="s">
        <v>7073</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20.25" customHeight="1">
      <c r="A101" s="3703" t="s">
        <v>7074</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20.25" customHeight="1">
      <c r="A108" s="3703" t="s">
        <v>7075</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6793</v>
      </c>
      <c r="H114" s="2030" t="s">
        <v>6794</v>
      </c>
      <c r="J114" s="3749" t="s">
        <v>1710</v>
      </c>
      <c r="K114" s="3750"/>
      <c r="L114" s="3750"/>
      <c r="M114" s="3750"/>
      <c r="N114" s="3750"/>
      <c r="O114" s="3750"/>
      <c r="P114" s="3750"/>
      <c r="Q114" s="3751"/>
    </row>
    <row r="115" spans="1:21" ht="20.25" customHeight="1">
      <c r="A115" s="2053"/>
      <c r="B115" s="2053"/>
      <c r="H115" s="2030" t="s">
        <v>6795</v>
      </c>
      <c r="J115" s="3746" t="s">
        <v>1710</v>
      </c>
      <c r="K115" s="3747"/>
      <c r="L115" s="3747"/>
      <c r="M115" s="3747"/>
      <c r="N115" s="3747"/>
      <c r="O115" s="3747"/>
      <c r="P115" s="3747"/>
      <c r="Q115" s="3748"/>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703" t="s">
        <v>7075</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6797</v>
      </c>
      <c r="H123" s="2030" t="s">
        <v>6798</v>
      </c>
      <c r="J123" s="3749" t="s">
        <v>1710</v>
      </c>
      <c r="K123" s="3750"/>
      <c r="L123" s="3750"/>
      <c r="M123" s="3750"/>
      <c r="N123" s="3750"/>
      <c r="O123" s="3750"/>
      <c r="P123" s="3750"/>
      <c r="Q123" s="3751"/>
      <c r="R123" s="2084"/>
    </row>
    <row r="124" spans="1:21" ht="20.25" customHeight="1">
      <c r="A124" s="2083"/>
      <c r="B124" s="2053"/>
      <c r="H124" s="2030" t="s">
        <v>6799</v>
      </c>
      <c r="J124" s="3746" t="s">
        <v>1710</v>
      </c>
      <c r="K124" s="3747"/>
      <c r="L124" s="3747"/>
      <c r="M124" s="3747"/>
      <c r="N124" s="3747"/>
      <c r="O124" s="3747"/>
      <c r="P124" s="3747"/>
      <c r="Q124" s="3748"/>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20.25" customHeight="1">
      <c r="A126" s="3703" t="s">
        <v>7075</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6800</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52" t="s">
        <v>7076</v>
      </c>
      <c r="N134" s="3753"/>
      <c r="O134" s="3753"/>
      <c r="P134" s="3753"/>
      <c r="Q134" s="3754"/>
    </row>
    <row r="135" spans="1:17" ht="20.25" customHeight="1">
      <c r="A135" s="2053"/>
      <c r="B135" s="2043"/>
      <c r="C135" s="2043" t="s">
        <v>6719</v>
      </c>
      <c r="E135" s="2043"/>
      <c r="F135" s="2043"/>
      <c r="G135" s="2043"/>
      <c r="H135" s="2043"/>
      <c r="J135" s="2044"/>
      <c r="K135" s="2033"/>
      <c r="L135" s="2033"/>
      <c r="M135" s="3755" t="s">
        <v>7077</v>
      </c>
      <c r="N135" s="3756"/>
      <c r="O135" s="3756"/>
      <c r="P135" s="3756"/>
      <c r="Q135" s="3757"/>
    </row>
    <row r="136" spans="1:17" ht="20.25" customHeight="1">
      <c r="A136" s="2053"/>
      <c r="B136" s="2043"/>
      <c r="C136" s="3758" t="s">
        <v>6194</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3787</v>
      </c>
      <c r="E137" s="2043"/>
      <c r="F137" s="2043"/>
      <c r="G137" s="2043"/>
      <c r="H137" s="2043"/>
      <c r="J137" s="2044"/>
      <c r="K137" s="2033"/>
      <c r="L137" s="2033"/>
      <c r="M137" s="3746" t="s">
        <v>7078</v>
      </c>
      <c r="N137" s="3747"/>
      <c r="O137" s="3747"/>
      <c r="P137" s="3747"/>
      <c r="Q137" s="3748"/>
    </row>
    <row r="138" spans="1:17" ht="20.25" customHeight="1">
      <c r="A138" s="2053" t="s">
        <v>1843</v>
      </c>
      <c r="B138" s="3711" t="s">
        <v>6802</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6803</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3850</v>
      </c>
      <c r="D140" s="3768"/>
      <c r="E140" s="3768"/>
      <c r="F140" s="3768"/>
      <c r="G140" s="3768"/>
      <c r="H140" s="3769"/>
      <c r="I140" s="2033"/>
      <c r="J140" s="3779"/>
      <c r="K140" s="3780"/>
      <c r="L140" s="3780"/>
      <c r="M140" s="3780"/>
      <c r="N140" s="3780"/>
      <c r="O140" s="3780"/>
      <c r="P140" s="3780"/>
      <c r="Q140" s="3781"/>
    </row>
    <row r="141" spans="1:17" ht="15.75" customHeight="1">
      <c r="A141" s="2026"/>
      <c r="B141" s="2078" t="s">
        <v>1615</v>
      </c>
      <c r="C141" s="3770" t="s">
        <v>3900</v>
      </c>
      <c r="D141" s="3771"/>
      <c r="E141" s="3771"/>
      <c r="F141" s="3771"/>
      <c r="G141" s="3771"/>
      <c r="H141" s="3772"/>
      <c r="I141" s="2033"/>
      <c r="J141" s="3776"/>
      <c r="K141" s="3777"/>
      <c r="L141" s="3777"/>
      <c r="M141" s="3777"/>
      <c r="N141" s="3777"/>
      <c r="O141" s="3777"/>
      <c r="P141" s="3777"/>
      <c r="Q141" s="3778"/>
    </row>
    <row r="142" spans="1:17" ht="15.75" customHeight="1">
      <c r="A142" s="2026"/>
      <c r="B142" s="2078" t="s">
        <v>1616</v>
      </c>
      <c r="C142" s="3770" t="s">
        <v>3901</v>
      </c>
      <c r="D142" s="3771"/>
      <c r="E142" s="3771"/>
      <c r="F142" s="3771"/>
      <c r="G142" s="3771"/>
      <c r="H142" s="3772"/>
      <c r="I142" s="2033"/>
      <c r="J142" s="3776"/>
      <c r="K142" s="3777"/>
      <c r="L142" s="3777"/>
      <c r="M142" s="3777"/>
      <c r="N142" s="3777"/>
      <c r="O142" s="3777"/>
      <c r="P142" s="3777"/>
      <c r="Q142" s="3778"/>
    </row>
    <row r="143" spans="1:17" ht="15.75" customHeight="1">
      <c r="A143" s="2026"/>
      <c r="B143" s="2078" t="s">
        <v>2182</v>
      </c>
      <c r="C143" s="3762" t="s">
        <v>3852</v>
      </c>
      <c r="D143" s="3763"/>
      <c r="E143" s="3763"/>
      <c r="F143" s="3763"/>
      <c r="G143" s="3763"/>
      <c r="H143" s="3764"/>
      <c r="I143" s="2033"/>
      <c r="J143" s="3773"/>
      <c r="K143" s="3774"/>
      <c r="L143" s="3774"/>
      <c r="M143" s="3774"/>
      <c r="N143" s="3774"/>
      <c r="O143" s="3774"/>
      <c r="P143" s="3774"/>
      <c r="Q143" s="3775"/>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20.25" customHeight="1">
      <c r="A145" s="3703" t="s">
        <v>7079</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3952</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6804</v>
      </c>
      <c r="C151" s="2033"/>
      <c r="D151" s="2033"/>
      <c r="E151" s="2033"/>
      <c r="F151" s="2033"/>
      <c r="G151" s="2033"/>
      <c r="H151" s="2033"/>
      <c r="I151" s="2033"/>
      <c r="J151" s="2033"/>
      <c r="K151" s="2033"/>
      <c r="L151" s="2033"/>
      <c r="M151" s="2033"/>
      <c r="N151" s="2031"/>
      <c r="O151" s="2033"/>
      <c r="P151" s="3765" t="s">
        <v>2649</v>
      </c>
      <c r="Q151" s="3766"/>
    </row>
    <row r="152" spans="1:18" ht="20.25" customHeight="1">
      <c r="A152" s="2053"/>
      <c r="B152" s="2030" t="s">
        <v>1192</v>
      </c>
      <c r="G152" s="2033"/>
      <c r="H152" s="3789" t="s">
        <v>7070</v>
      </c>
      <c r="I152" s="3790"/>
      <c r="J152" s="3790"/>
      <c r="K152" s="3790"/>
      <c r="L152" s="3790"/>
      <c r="M152" s="3790"/>
      <c r="N152" s="3790"/>
      <c r="O152" s="3790"/>
      <c r="P152" s="3791"/>
      <c r="Q152" s="3792"/>
      <c r="R152" s="2062"/>
    </row>
    <row r="153" spans="1:18" ht="20.25" customHeight="1">
      <c r="A153" s="2053"/>
      <c r="B153" s="2030" t="s">
        <v>1806</v>
      </c>
      <c r="G153" s="2033"/>
      <c r="H153" s="3793" t="s">
        <v>7080</v>
      </c>
      <c r="I153" s="3794"/>
      <c r="J153" s="3794"/>
      <c r="K153" s="3794"/>
      <c r="L153" s="3794"/>
      <c r="M153" s="3794"/>
      <c r="N153" s="3794"/>
      <c r="O153" s="3794"/>
      <c r="P153" s="3794"/>
      <c r="Q153" s="3795"/>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20.25" customHeight="1">
      <c r="A155" s="3703" t="s">
        <v>7103</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20.25" customHeight="1">
      <c r="A162" s="3703" t="s">
        <v>7081</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6199</v>
      </c>
      <c r="G168" s="2033"/>
      <c r="J168" s="2033"/>
      <c r="K168" s="2033"/>
      <c r="L168" s="2033"/>
      <c r="M168" s="2033"/>
      <c r="N168" s="2033"/>
      <c r="O168" s="2044"/>
      <c r="P168" s="2033"/>
      <c r="Q168" s="2033"/>
    </row>
    <row r="169" spans="1:17" ht="33" customHeight="1">
      <c r="B169" s="3786" t="s">
        <v>6805</v>
      </c>
      <c r="C169" s="3786"/>
      <c r="D169" s="3786"/>
      <c r="E169" s="3786"/>
      <c r="F169" s="3786"/>
      <c r="G169" s="3786"/>
      <c r="H169" s="3786"/>
      <c r="I169" s="3786"/>
      <c r="J169" s="3786"/>
      <c r="K169" s="3786"/>
      <c r="L169" s="3786"/>
      <c r="M169" s="3786"/>
      <c r="N169" s="3786"/>
      <c r="O169" s="3796"/>
      <c r="P169" s="3782" t="s">
        <v>7082</v>
      </c>
      <c r="Q169" s="3783"/>
    </row>
    <row r="170" spans="1:17" ht="20.25" customHeight="1">
      <c r="A170" s="2053" t="s">
        <v>1843</v>
      </c>
      <c r="B170" s="2029" t="s">
        <v>297</v>
      </c>
      <c r="G170" s="2033"/>
      <c r="H170" s="3784" t="s">
        <v>3335</v>
      </c>
      <c r="I170" s="3784"/>
      <c r="J170" s="3784"/>
      <c r="K170" s="3784"/>
      <c r="L170" s="3784"/>
      <c r="M170" s="3784"/>
      <c r="N170" s="3784"/>
      <c r="O170" s="3784"/>
      <c r="P170" s="3785"/>
      <c r="Q170" s="3785"/>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786" t="s">
        <v>6200</v>
      </c>
      <c r="C172" s="3786"/>
      <c r="D172" s="3786"/>
      <c r="E172" s="3786"/>
      <c r="F172" s="3786"/>
      <c r="G172" s="3786"/>
      <c r="H172" s="3786"/>
      <c r="I172" s="3786"/>
      <c r="J172" s="3786"/>
      <c r="K172" s="3786"/>
      <c r="L172" s="3786"/>
      <c r="M172" s="3786"/>
      <c r="N172" s="2439" t="s">
        <v>6201</v>
      </c>
      <c r="O172" s="2078" t="s">
        <v>698</v>
      </c>
      <c r="P172" s="3787" t="s">
        <v>7082</v>
      </c>
      <c r="Q172" s="3788"/>
    </row>
    <row r="173" spans="1:17" ht="20.25" customHeight="1">
      <c r="B173" s="2060" t="s">
        <v>3241</v>
      </c>
      <c r="M173" s="2031"/>
      <c r="N173" s="2031"/>
      <c r="O173" s="2088"/>
      <c r="P173" s="2026"/>
    </row>
    <row r="174" spans="1:17" ht="20.25" customHeight="1">
      <c r="A174" s="3703" t="s">
        <v>7083</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34"/>
      <c r="Q179" s="3803"/>
    </row>
    <row r="180" spans="1:17" ht="20.25" customHeight="1">
      <c r="A180" s="2033"/>
      <c r="B180" s="2030" t="s">
        <v>6804</v>
      </c>
      <c r="C180" s="2033"/>
      <c r="D180" s="2033"/>
      <c r="E180" s="2033"/>
      <c r="F180" s="2033"/>
      <c r="G180" s="2033"/>
      <c r="H180" s="2033"/>
      <c r="I180" s="2033"/>
      <c r="J180" s="2033"/>
      <c r="K180" s="2033"/>
      <c r="L180" s="2033"/>
      <c r="M180" s="2033"/>
      <c r="N180" s="2031"/>
      <c r="O180" s="2033"/>
      <c r="P180" s="3765" t="s">
        <v>2649</v>
      </c>
      <c r="Q180" s="3798"/>
    </row>
    <row r="181" spans="1:17" ht="33.75" customHeight="1">
      <c r="A181" s="2033"/>
      <c r="B181" s="3711" t="s">
        <v>6806</v>
      </c>
      <c r="C181" s="3711"/>
      <c r="D181" s="3711"/>
      <c r="E181" s="3711"/>
      <c r="F181" s="3711"/>
      <c r="G181" s="3711"/>
      <c r="H181" s="3711"/>
      <c r="I181" s="3711"/>
      <c r="J181" s="3711"/>
      <c r="K181" s="3711"/>
      <c r="L181" s="3711"/>
      <c r="M181" s="3711"/>
      <c r="N181" s="3711"/>
      <c r="O181" s="3711"/>
      <c r="P181" s="3801" t="s">
        <v>7082</v>
      </c>
      <c r="Q181" s="3804"/>
    </row>
    <row r="182" spans="1:17" ht="12" customHeight="1">
      <c r="A182" s="2033"/>
      <c r="C182" s="2033"/>
      <c r="D182" s="2033"/>
      <c r="E182" s="2033"/>
      <c r="F182" s="2033"/>
      <c r="G182" s="2033"/>
      <c r="H182" s="2033"/>
      <c r="I182" s="2033"/>
      <c r="J182" s="2033"/>
      <c r="K182" s="2033"/>
      <c r="L182" s="3797" t="s">
        <v>6807</v>
      </c>
      <c r="M182" s="3797"/>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11</v>
      </c>
      <c r="M184" s="2095">
        <f>'DCA Underwriting Assumptions'!$Q$122</f>
        <v>0.05</v>
      </c>
      <c r="N184" s="2033"/>
      <c r="O184" s="2044"/>
      <c r="P184" s="3765">
        <v>11</v>
      </c>
      <c r="Q184" s="3798"/>
    </row>
    <row r="185" spans="1:17" ht="20.25" customHeight="1">
      <c r="A185" s="2053"/>
      <c r="B185" s="2043"/>
      <c r="D185" s="3711" t="s">
        <v>6811</v>
      </c>
      <c r="E185" s="3711"/>
      <c r="F185" s="3711"/>
      <c r="G185" s="3711"/>
      <c r="H185" s="3711"/>
      <c r="I185" s="3711"/>
      <c r="J185" s="3711"/>
      <c r="K185" s="2093"/>
      <c r="L185" s="2096">
        <f>ROUNDUP(L184*M185,0)</f>
        <v>5</v>
      </c>
      <c r="M185" s="2095">
        <f>'DCA Underwriting Assumptions'!$Q$123</f>
        <v>0.4</v>
      </c>
      <c r="N185" s="2033"/>
      <c r="O185" s="2044"/>
      <c r="P185" s="3799">
        <v>5</v>
      </c>
      <c r="Q185" s="3800"/>
    </row>
    <row r="186" spans="1:17" ht="20.25" customHeight="1">
      <c r="A186" s="2053"/>
      <c r="B186" s="3711" t="s">
        <v>6812</v>
      </c>
      <c r="C186" s="3711"/>
      <c r="D186" s="3711"/>
      <c r="E186" s="3711"/>
      <c r="F186" s="3711"/>
      <c r="G186" s="3711"/>
      <c r="H186" s="3711"/>
      <c r="I186" s="3711"/>
      <c r="J186" s="3711"/>
      <c r="K186" s="2033"/>
      <c r="L186" s="2097">
        <f>ROUNDUP('Part V-Revenues &amp; Expenses'!$P$67*M186,0)</f>
        <v>5</v>
      </c>
      <c r="M186" s="2095">
        <f>'DCA Underwriting Assumptions'!$Q$124</f>
        <v>0.02</v>
      </c>
      <c r="N186" s="2033"/>
      <c r="O186" s="2044"/>
      <c r="P186" s="3801">
        <v>5</v>
      </c>
      <c r="Q186" s="3802"/>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36.6" customHeight="1">
      <c r="A188" s="3703" t="s">
        <v>7104</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6804</v>
      </c>
      <c r="P194" s="3765" t="s">
        <v>2649</v>
      </c>
      <c r="Q194" s="3798"/>
    </row>
    <row r="195" spans="1:17" ht="36" customHeight="1">
      <c r="B195" s="3711" t="s">
        <v>6813</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6913</v>
      </c>
      <c r="D197" s="3786"/>
      <c r="E197" s="3786"/>
      <c r="F197" s="3713" t="s">
        <v>6305</v>
      </c>
      <c r="G197" s="3714"/>
      <c r="H197" s="3714"/>
      <c r="I197" s="3714"/>
      <c r="J197" s="3714"/>
      <c r="K197" s="3714"/>
      <c r="L197" s="3714"/>
      <c r="M197" s="3714"/>
      <c r="N197" s="3714"/>
      <c r="O197" s="3714"/>
      <c r="P197" s="3714"/>
      <c r="Q197" s="3715"/>
    </row>
    <row r="198" spans="1:17" ht="30" customHeight="1">
      <c r="B198" s="2078" t="s">
        <v>1615</v>
      </c>
      <c r="C198" s="3786" t="s">
        <v>6914</v>
      </c>
      <c r="D198" s="3786"/>
      <c r="E198" s="3786"/>
      <c r="F198" s="3786"/>
      <c r="G198" s="3796"/>
      <c r="H198" s="3713" t="s">
        <v>3250</v>
      </c>
      <c r="I198" s="3714"/>
      <c r="J198" s="3714"/>
      <c r="K198" s="3714"/>
      <c r="L198" s="3714"/>
      <c r="M198" s="3714"/>
      <c r="N198" s="3714"/>
      <c r="O198" s="3714"/>
      <c r="P198" s="3714"/>
      <c r="Q198" s="3715"/>
    </row>
    <row r="199" spans="1:17" ht="20.25" customHeight="1">
      <c r="A199" s="2053"/>
      <c r="B199" s="2078" t="s">
        <v>1616</v>
      </c>
      <c r="C199" s="3711" t="s">
        <v>6814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32.1" customHeight="1">
      <c r="A203" s="3703" t="s">
        <v>7084</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34"/>
      <c r="Q208" s="3803"/>
    </row>
    <row r="209" spans="1:17" ht="20.25" customHeight="1">
      <c r="A209" s="2053"/>
      <c r="B209" s="2030" t="s">
        <v>6815</v>
      </c>
      <c r="O209" s="2044"/>
      <c r="P209" s="3811" t="s">
        <v>7085</v>
      </c>
      <c r="Q209" s="3812"/>
    </row>
    <row r="210" spans="1:17" ht="20.25" customHeight="1">
      <c r="A210" s="2053"/>
      <c r="B210" s="2030" t="s">
        <v>6816</v>
      </c>
      <c r="O210" s="2044"/>
      <c r="P210" s="3806" t="s">
        <v>7085</v>
      </c>
      <c r="Q210" s="3807"/>
    </row>
    <row r="211" spans="1:17" ht="22.5" customHeight="1">
      <c r="A211" s="2053"/>
      <c r="B211" s="2030" t="s">
        <v>6817</v>
      </c>
      <c r="C211" s="2033"/>
      <c r="K211" s="2031"/>
      <c r="M211" s="2044"/>
      <c r="O211" s="2100"/>
      <c r="P211" s="3806" t="s">
        <v>2652</v>
      </c>
      <c r="Q211" s="3807"/>
    </row>
    <row r="212" spans="1:17" ht="31.5" customHeight="1">
      <c r="A212" s="2053"/>
      <c r="B212" s="3711" t="s">
        <v>6818</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6819</v>
      </c>
      <c r="M213" s="2033"/>
      <c r="N213" s="2033"/>
      <c r="O213" s="3813" t="s">
        <v>4049</v>
      </c>
      <c r="P213" s="3814"/>
      <c r="Q213" s="3815"/>
    </row>
    <row r="214" spans="1:17" ht="20.25" customHeight="1">
      <c r="A214" s="2053"/>
      <c r="B214" s="2029" t="s">
        <v>6820</v>
      </c>
      <c r="G214" s="3706"/>
      <c r="H214" s="3743"/>
      <c r="I214" s="3743"/>
      <c r="J214" s="3743"/>
      <c r="K214" s="3743"/>
      <c r="L214" s="3744"/>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43.5" customHeight="1">
      <c r="A216" s="3722" t="s">
        <v>7105</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6821</v>
      </c>
      <c r="C222" s="3711"/>
      <c r="D222" s="3711"/>
      <c r="E222" s="3711"/>
      <c r="F222" s="3711"/>
      <c r="G222" s="3711"/>
      <c r="H222" s="3711"/>
      <c r="I222" s="3711"/>
      <c r="J222" s="3711"/>
      <c r="K222" s="3711"/>
      <c r="L222" s="3711"/>
      <c r="M222" s="3711"/>
      <c r="N222" s="3711"/>
      <c r="O222" s="3712"/>
      <c r="P222" s="3823" t="s">
        <v>7082</v>
      </c>
      <c r="Q222" s="3824"/>
    </row>
    <row r="223" spans="1:17" s="2102" customFormat="1" ht="33.75" customHeight="1">
      <c r="A223" s="2071" t="s">
        <v>1841</v>
      </c>
      <c r="B223" s="3825" t="s">
        <v>6822</v>
      </c>
      <c r="C223" s="3825"/>
      <c r="D223" s="3825"/>
      <c r="E223" s="3825"/>
      <c r="F223" s="3825"/>
      <c r="G223" s="3825"/>
      <c r="H223" s="3825"/>
      <c r="I223" s="3825"/>
      <c r="J223" s="3825"/>
      <c r="K223" s="3825"/>
      <c r="L223" s="3825"/>
      <c r="M223" s="3825"/>
      <c r="N223" s="3825"/>
      <c r="O223" s="3825"/>
      <c r="P223" s="2063" t="s">
        <v>7086</v>
      </c>
      <c r="Q223" s="2440"/>
    </row>
    <row r="224" spans="1:17" ht="47.25" customHeight="1">
      <c r="A224" s="2071" t="s">
        <v>1843</v>
      </c>
      <c r="B224" s="3786" t="s">
        <v>6823</v>
      </c>
      <c r="C224" s="3786"/>
      <c r="D224" s="3786"/>
      <c r="E224" s="3786"/>
      <c r="F224" s="3786"/>
      <c r="G224" s="3786"/>
      <c r="H224" s="3786"/>
      <c r="I224" s="3786"/>
      <c r="J224" s="3786"/>
      <c r="K224" s="3786"/>
      <c r="L224" s="3786"/>
      <c r="M224" s="3786"/>
      <c r="N224" s="3786"/>
      <c r="O224" s="3786"/>
      <c r="P224" s="2063" t="s">
        <v>7086</v>
      </c>
      <c r="Q224" s="2064"/>
    </row>
    <row r="225" spans="1:17" ht="20.25" customHeight="1">
      <c r="A225" s="2053" t="s">
        <v>698</v>
      </c>
      <c r="B225" s="3816" t="s">
        <v>6824</v>
      </c>
      <c r="C225" s="3816"/>
      <c r="D225" s="3816"/>
      <c r="E225" s="3816"/>
      <c r="F225" s="3816"/>
      <c r="G225" s="3816"/>
      <c r="H225" s="3816"/>
      <c r="I225" s="3816"/>
      <c r="J225" s="3816"/>
      <c r="K225" s="3816"/>
      <c r="L225" s="3816"/>
      <c r="M225" s="3816"/>
      <c r="N225" s="3816"/>
      <c r="O225" s="3816"/>
      <c r="P225" s="2063" t="s">
        <v>7082</v>
      </c>
      <c r="Q225" s="2064"/>
    </row>
    <row r="226" spans="1:17" ht="33.75" customHeight="1">
      <c r="A226" s="2071" t="s">
        <v>1962</v>
      </c>
      <c r="B226" s="3786" t="s">
        <v>6825</v>
      </c>
      <c r="C226" s="3786"/>
      <c r="D226" s="3786"/>
      <c r="E226" s="3786"/>
      <c r="F226" s="3786"/>
      <c r="G226" s="3786"/>
      <c r="H226" s="3786"/>
      <c r="I226" s="3786"/>
      <c r="J226" s="3786"/>
      <c r="K226" s="3786"/>
      <c r="L226" s="3786"/>
      <c r="M226" s="3786"/>
      <c r="N226" s="3786"/>
      <c r="O226" s="3786"/>
      <c r="P226" s="2067" t="s">
        <v>7082</v>
      </c>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22" t="s">
        <v>7087</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3360</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3361</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6826</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6827</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6828</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6829</v>
      </c>
      <c r="D239" s="3786"/>
      <c r="E239" s="3786"/>
      <c r="F239" s="3786"/>
      <c r="G239" s="3786"/>
      <c r="H239" s="3786"/>
      <c r="I239" s="3786"/>
      <c r="J239" s="3786"/>
      <c r="K239" s="3786"/>
      <c r="L239" s="3786"/>
      <c r="M239" s="3786"/>
      <c r="N239" s="3786"/>
      <c r="O239" s="3786"/>
      <c r="P239" s="3786"/>
      <c r="Q239" s="3786"/>
    </row>
    <row r="240" spans="1:17" ht="29.25" customHeight="1">
      <c r="A240" s="2053"/>
      <c r="B240" s="2104" t="s">
        <v>3866</v>
      </c>
      <c r="C240" s="3786" t="s">
        <v>6830</v>
      </c>
      <c r="D240" s="3786"/>
      <c r="E240" s="3786"/>
      <c r="F240" s="3786"/>
      <c r="G240" s="3786"/>
      <c r="H240" s="3786"/>
      <c r="I240" s="3786"/>
      <c r="J240" s="3786"/>
      <c r="K240" s="3786"/>
      <c r="L240" s="3786"/>
      <c r="M240" s="3786"/>
      <c r="N240" s="3786"/>
      <c r="O240" s="3786"/>
      <c r="P240" s="3786"/>
      <c r="Q240" s="3786"/>
    </row>
    <row r="241" spans="1:17" ht="15.75" customHeight="1">
      <c r="A241" s="2053"/>
      <c r="B241" s="2104" t="s">
        <v>6831</v>
      </c>
      <c r="C241" s="3786" t="s">
        <v>6832</v>
      </c>
      <c r="D241" s="3786"/>
      <c r="E241" s="3786"/>
      <c r="F241" s="3786"/>
      <c r="G241" s="3786"/>
      <c r="H241" s="3786"/>
      <c r="I241" s="3786"/>
      <c r="J241" s="3786"/>
      <c r="K241" s="3786"/>
      <c r="L241" s="3786"/>
      <c r="M241" s="3786"/>
      <c r="N241" s="3786"/>
      <c r="O241" s="3786"/>
      <c r="P241" s="3786"/>
      <c r="Q241" s="3786"/>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20.25" customHeight="1">
      <c r="A244" s="3703" t="s">
        <v>7114</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2652</v>
      </c>
      <c r="Q250" s="3766"/>
    </row>
    <row r="251" spans="1:17" ht="20.25" customHeight="1">
      <c r="A251" s="2053"/>
      <c r="B251" s="2030" t="s">
        <v>3143</v>
      </c>
      <c r="D251" s="2056"/>
      <c r="E251" s="2056"/>
      <c r="O251" s="2044"/>
      <c r="P251" s="3799" t="s">
        <v>2652</v>
      </c>
      <c r="Q251" s="3837"/>
    </row>
    <row r="252" spans="1:17" ht="20.25" customHeight="1">
      <c r="A252" s="2053"/>
      <c r="B252" s="2030" t="s">
        <v>4032</v>
      </c>
      <c r="D252" s="2056"/>
      <c r="E252" s="2056"/>
      <c r="O252" s="2044"/>
      <c r="P252" s="3838" t="s">
        <v>2652</v>
      </c>
      <c r="Q252" s="3839"/>
    </row>
    <row r="253" spans="1:17" ht="20.25" customHeight="1">
      <c r="A253" s="2053"/>
      <c r="B253" s="2030" t="s">
        <v>3144</v>
      </c>
      <c r="O253" s="2044"/>
      <c r="P253" s="3799" t="s">
        <v>2652</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703" t="s">
        <v>7115</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706"/>
      <c r="Q261" s="3744"/>
    </row>
    <row r="262" spans="1:17" ht="20.25" customHeight="1">
      <c r="B262" s="2030" t="s">
        <v>6252</v>
      </c>
      <c r="O262" s="2044"/>
      <c r="P262" s="3720" t="s">
        <v>2652</v>
      </c>
      <c r="Q262" s="3721"/>
    </row>
    <row r="263" spans="1:17" ht="20.25" customHeight="1">
      <c r="A263" s="2053" t="s">
        <v>1841</v>
      </c>
      <c r="B263" s="2029" t="s">
        <v>3939</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2649</v>
      </c>
      <c r="Q264" s="3766"/>
    </row>
    <row r="265" spans="1:17" ht="20.25" customHeight="1">
      <c r="B265" s="3836" t="s">
        <v>4034</v>
      </c>
      <c r="C265" s="3836"/>
      <c r="D265" s="3836"/>
      <c r="E265" s="3836"/>
      <c r="F265" s="3836"/>
      <c r="G265" s="3836"/>
      <c r="H265" s="3836"/>
      <c r="I265" s="3836"/>
      <c r="J265" s="3836"/>
      <c r="K265" s="3836"/>
      <c r="L265" s="3836"/>
      <c r="M265" s="3836"/>
      <c r="N265" s="3836"/>
      <c r="O265" s="3836"/>
      <c r="P265" s="3799" t="s">
        <v>2649</v>
      </c>
      <c r="Q265" s="3837"/>
    </row>
    <row r="266" spans="1:17" ht="32.25" customHeight="1">
      <c r="A266" s="2053"/>
      <c r="B266" s="3844" t="s">
        <v>6835</v>
      </c>
      <c r="C266" s="3844"/>
      <c r="D266" s="3844"/>
      <c r="E266" s="3844"/>
      <c r="F266" s="3844"/>
      <c r="G266" s="3844"/>
      <c r="H266" s="3844"/>
      <c r="I266" s="3844"/>
      <c r="J266" s="3844"/>
      <c r="K266" s="3844"/>
      <c r="L266" s="3844"/>
      <c r="M266" s="3844"/>
      <c r="N266" s="3844"/>
      <c r="O266" s="3844"/>
      <c r="P266" s="3801" t="s">
        <v>2649</v>
      </c>
      <c r="Q266" s="3804"/>
    </row>
    <row r="267" spans="1:17" ht="20.25" customHeight="1">
      <c r="B267" s="2060" t="s">
        <v>3241</v>
      </c>
      <c r="D267" s="2060"/>
      <c r="E267" s="2060"/>
      <c r="F267" s="2060"/>
      <c r="G267" s="2060"/>
      <c r="H267" s="2043"/>
      <c r="I267" s="2031"/>
      <c r="J267" s="2031"/>
      <c r="K267" s="2031"/>
    </row>
    <row r="268" spans="1:17" ht="41.1" customHeight="1">
      <c r="A268" s="3703" t="s">
        <v>7088</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2508</v>
      </c>
      <c r="C273" s="2029"/>
      <c r="D273" s="2029"/>
      <c r="E273" s="2036"/>
      <c r="F273" s="2036"/>
      <c r="G273" s="2036"/>
      <c r="H273" s="2036"/>
      <c r="O273" s="2032" t="s">
        <v>1731</v>
      </c>
      <c r="P273" s="3710"/>
      <c r="Q273" s="3710"/>
    </row>
    <row r="274" spans="1:17" ht="33" customHeight="1">
      <c r="A274" s="2033"/>
      <c r="B274" s="3711" t="s">
        <v>6836</v>
      </c>
      <c r="C274" s="3711"/>
      <c r="D274" s="3711"/>
      <c r="E274" s="3711"/>
      <c r="F274" s="3711"/>
      <c r="G274" s="3711"/>
      <c r="H274" s="3711"/>
      <c r="I274" s="3711"/>
      <c r="J274" s="3711"/>
      <c r="K274" s="3711"/>
      <c r="L274" s="3711"/>
      <c r="M274" s="3711"/>
      <c r="N274" s="3711"/>
      <c r="O274" s="2105"/>
      <c r="P274" s="3720" t="s">
        <v>7082</v>
      </c>
      <c r="Q274" s="3721"/>
    </row>
    <row r="275" spans="1:17" ht="34.5" customHeight="1">
      <c r="A275" s="2033"/>
      <c r="B275" s="2078" t="s">
        <v>1841</v>
      </c>
      <c r="C275" s="3786" t="s">
        <v>3313</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6837</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3868</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3869</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3870</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3871</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3314</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3919</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3920</v>
      </c>
      <c r="D283" s="3786"/>
      <c r="E283" s="3786"/>
      <c r="F283" s="3786"/>
      <c r="G283" s="3786"/>
      <c r="H283" s="3786"/>
      <c r="I283" s="3786"/>
      <c r="J283" s="3786"/>
      <c r="K283" s="3786"/>
      <c r="L283" s="3786"/>
      <c r="M283" s="3786"/>
      <c r="N283" s="3786"/>
      <c r="O283" s="3786"/>
      <c r="P283" s="2076"/>
      <c r="Q283" s="2026"/>
    </row>
    <row r="284" spans="1:17" ht="47.25" customHeight="1">
      <c r="A284" s="2071"/>
      <c r="B284" s="3786" t="s">
        <v>6838</v>
      </c>
      <c r="C284" s="3786"/>
      <c r="D284" s="3786"/>
      <c r="E284" s="3786"/>
      <c r="F284" s="3786"/>
      <c r="G284" s="3786"/>
      <c r="H284" s="3786"/>
      <c r="I284" s="3786"/>
      <c r="J284" s="3786"/>
      <c r="K284" s="3786"/>
      <c r="L284" s="3786"/>
      <c r="M284" s="3786"/>
      <c r="N284" s="3786"/>
      <c r="O284" s="3796"/>
      <c r="P284" s="3784" t="s">
        <v>7082</v>
      </c>
      <c r="Q284" s="3784"/>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3.950000000000003" customHeight="1">
      <c r="A286" s="3703" t="s">
        <v>7089</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33.6" customHeight="1">
      <c r="A293" s="3703" t="s">
        <v>7116</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36" zoomScale="80" zoomScaleNormal="80" workbookViewId="0">
      <selection activeCell="O367" sqref="O36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Bon Air, Augusta, Richmond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6842</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43</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3393</v>
      </c>
      <c r="B12" s="2146" t="s">
        <v>3394</v>
      </c>
      <c r="C12" s="2147"/>
      <c r="D12" s="2147"/>
      <c r="E12" s="2120" t="s">
        <v>3401</v>
      </c>
      <c r="F12" s="4054" t="s">
        <v>6497</v>
      </c>
      <c r="G12" s="4054"/>
      <c r="H12" s="4054"/>
      <c r="I12" s="4054"/>
      <c r="J12" s="4054"/>
      <c r="K12" s="4054"/>
      <c r="L12" s="4054"/>
      <c r="M12" s="4054"/>
      <c r="N12" s="4054"/>
      <c r="O12" s="2148" t="s">
        <v>3811</v>
      </c>
      <c r="P12" s="2149">
        <f>SUM(P13:P31)</f>
        <v>0</v>
      </c>
      <c r="Q12" s="4055"/>
      <c r="R12" s="4055"/>
      <c r="S12" s="4055"/>
      <c r="T12" s="4055"/>
      <c r="U12" s="4055"/>
      <c r="V12" s="2150"/>
    </row>
    <row r="13" spans="1:25" s="2121" customFormat="1" ht="14.45" customHeight="1">
      <c r="A13" s="2151" t="s">
        <v>1668</v>
      </c>
      <c r="B13" s="2152" t="s">
        <v>3395</v>
      </c>
      <c r="C13" s="2153"/>
      <c r="D13" s="2154"/>
      <c r="E13" s="2155">
        <f>$O$77</f>
        <v>0</v>
      </c>
      <c r="F13" s="4056" t="str">
        <f>$A$81</f>
        <v>N/A to preservation application.</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4039</v>
      </c>
      <c r="C14" s="2158"/>
      <c r="D14" s="2159"/>
      <c r="E14" s="2160">
        <f>$O$86</f>
        <v>0</v>
      </c>
      <c r="F14" s="4037" t="str">
        <f>$A$102</f>
        <v>N/A to preservation application.</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3340</v>
      </c>
      <c r="C15" s="2158"/>
      <c r="D15" s="2159"/>
      <c r="E15" s="2160">
        <f>$O$106</f>
        <v>0</v>
      </c>
      <c r="F15" s="4037" t="str">
        <f>$A$117</f>
        <v>N/A to preservation application.</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3396</v>
      </c>
      <c r="C16" s="2158"/>
      <c r="D16" s="2159"/>
      <c r="E16" s="2457">
        <f>$O$122</f>
        <v>0</v>
      </c>
      <c r="F16" s="4037" t="str">
        <f>$A$137</f>
        <v>N/A to preservation application.</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3397</v>
      </c>
      <c r="C17" s="2167"/>
      <c r="D17" s="2168"/>
      <c r="E17" s="2169" t="s">
        <v>1610</v>
      </c>
      <c r="F17" s="4061" t="str">
        <f>$A$147</f>
        <v>N/A to preservation application.</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4040</v>
      </c>
      <c r="C18" s="2158"/>
      <c r="D18" s="2159"/>
      <c r="E18" s="2170">
        <f>$O$152</f>
        <v>0</v>
      </c>
      <c r="F18" s="4037" t="str">
        <f>$A$165</f>
        <v>N/A to preservation application.</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4042</v>
      </c>
      <c r="B19" s="2157" t="s">
        <v>3263</v>
      </c>
      <c r="C19" s="2158"/>
      <c r="D19" s="2159"/>
      <c r="E19" s="2170">
        <f>$O$179</f>
        <v>0</v>
      </c>
      <c r="F19" s="4037" t="str">
        <f>$A$184</f>
        <v>N/A to preservation application.</v>
      </c>
      <c r="G19" s="3876"/>
      <c r="H19" s="3876"/>
      <c r="I19" s="3876"/>
      <c r="J19" s="3876"/>
      <c r="K19" s="3876"/>
      <c r="L19" s="3876"/>
      <c r="M19" s="3876"/>
      <c r="N19" s="3876"/>
      <c r="O19" s="4038"/>
      <c r="P19" s="2162"/>
      <c r="Q19" s="4064"/>
      <c r="R19" s="4004"/>
      <c r="S19" s="4004"/>
    </row>
    <row r="20" spans="1:35" s="2121" customFormat="1" ht="14.45" customHeight="1">
      <c r="A20" s="2151" t="s">
        <v>4054</v>
      </c>
      <c r="B20" s="2157" t="s">
        <v>4043</v>
      </c>
      <c r="C20" s="2158"/>
      <c r="D20" s="2159"/>
      <c r="E20" s="2169">
        <f>$O$189</f>
        <v>0</v>
      </c>
      <c r="F20" s="4037" t="str">
        <f>$A$195</f>
        <v>N/A to preservation application.</v>
      </c>
      <c r="G20" s="3876"/>
      <c r="H20" s="3876"/>
      <c r="I20" s="3876"/>
      <c r="J20" s="3876"/>
      <c r="K20" s="3876"/>
      <c r="L20" s="3876"/>
      <c r="M20" s="3876"/>
      <c r="N20" s="3876"/>
      <c r="O20" s="4038"/>
      <c r="P20" s="2162"/>
      <c r="Q20" s="4064"/>
      <c r="R20" s="4004"/>
      <c r="S20" s="4004"/>
    </row>
    <row r="21" spans="1:35" s="2121" customFormat="1" ht="14.45" customHeight="1">
      <c r="A21" s="2171" t="s">
        <v>6244</v>
      </c>
      <c r="B21" s="2166" t="s">
        <v>4044</v>
      </c>
      <c r="C21" s="2167"/>
      <c r="D21" s="2168"/>
      <c r="E21" s="2172">
        <f>$O$200</f>
        <v>0</v>
      </c>
      <c r="F21" s="4061" t="str">
        <f>$A$205</f>
        <v>N/A to preservation application.</v>
      </c>
      <c r="G21" s="4062"/>
      <c r="H21" s="4062"/>
      <c r="I21" s="4062"/>
      <c r="J21" s="4062"/>
      <c r="K21" s="4062"/>
      <c r="L21" s="4062"/>
      <c r="M21" s="4062"/>
      <c r="N21" s="4062"/>
      <c r="O21" s="4063"/>
      <c r="P21" s="2162"/>
      <c r="Q21" s="4064"/>
      <c r="R21" s="4004"/>
      <c r="S21" s="4004"/>
    </row>
    <row r="22" spans="1:35" s="2121" customFormat="1" ht="14.45" customHeight="1">
      <c r="A22" s="2151" t="s">
        <v>6638</v>
      </c>
      <c r="B22" s="2157" t="s">
        <v>6550</v>
      </c>
      <c r="C22" s="2158"/>
      <c r="D22" s="2159"/>
      <c r="E22" s="2170">
        <f>$O$223</f>
        <v>0</v>
      </c>
      <c r="F22" s="4037" t="str">
        <f>$A$228</f>
        <v>N/A for Other Metro projects.</v>
      </c>
      <c r="G22" s="3876"/>
      <c r="H22" s="3876"/>
      <c r="I22" s="3876"/>
      <c r="J22" s="3876"/>
      <c r="K22" s="3876"/>
      <c r="L22" s="3876"/>
      <c r="M22" s="3876"/>
      <c r="N22" s="3876"/>
      <c r="O22" s="4038"/>
      <c r="P22" s="2162"/>
      <c r="Q22" s="4064"/>
      <c r="R22" s="4004"/>
      <c r="S22" s="4004"/>
    </row>
    <row r="23" spans="1:35" s="2121" customFormat="1" ht="14.45" customHeight="1">
      <c r="A23" s="2151" t="s">
        <v>6640</v>
      </c>
      <c r="B23" s="2157" t="s">
        <v>6639</v>
      </c>
      <c r="C23" s="2158"/>
      <c r="D23" s="2159"/>
      <c r="E23" s="2170">
        <f>$O$233</f>
        <v>2</v>
      </c>
      <c r="F23" s="4037" t="str">
        <f>$A$248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G23" s="3876"/>
      <c r="H23" s="3876"/>
      <c r="I23" s="3876"/>
      <c r="J23" s="3876"/>
      <c r="K23" s="3876"/>
      <c r="L23" s="3876"/>
      <c r="M23" s="3876"/>
      <c r="N23" s="3876"/>
      <c r="O23" s="4038"/>
      <c r="P23" s="2162"/>
      <c r="Q23" s="4064"/>
      <c r="R23" s="4004"/>
      <c r="S23" s="4004"/>
    </row>
    <row r="24" spans="1:35" s="2121" customFormat="1" ht="14.45" customHeight="1">
      <c r="A24" s="2164" t="s">
        <v>3370</v>
      </c>
      <c r="B24" s="2173" t="s">
        <v>6556</v>
      </c>
      <c r="C24" s="2174"/>
      <c r="D24" s="2175"/>
      <c r="E24" s="2165">
        <f>$O$253</f>
        <v>2</v>
      </c>
      <c r="F24" s="4058" t="str">
        <f>$A$257</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G24" s="4059"/>
      <c r="H24" s="4059"/>
      <c r="I24" s="4059"/>
      <c r="J24" s="4059"/>
      <c r="K24" s="4059"/>
      <c r="L24" s="4059"/>
      <c r="M24" s="4059"/>
      <c r="N24" s="4059"/>
      <c r="O24" s="4060"/>
      <c r="P24" s="2162"/>
      <c r="Q24" s="4064"/>
      <c r="R24" s="4004"/>
      <c r="S24" s="4004"/>
    </row>
    <row r="25" spans="1:35" s="2121" customFormat="1" ht="14.45" customHeight="1">
      <c r="A25" s="2151" t="s">
        <v>3374</v>
      </c>
      <c r="B25" s="2157" t="s">
        <v>3398</v>
      </c>
      <c r="C25" s="2158"/>
      <c r="D25" s="2159"/>
      <c r="E25" s="2170">
        <f>$O$271</f>
        <v>0</v>
      </c>
      <c r="F25" s="4037" t="str">
        <f>$A$275</f>
        <v xml:space="preserve">The proposed development is not located within the boundaries of a GICH community. </v>
      </c>
      <c r="G25" s="3876"/>
      <c r="H25" s="3876"/>
      <c r="I25" s="3876"/>
      <c r="J25" s="3876"/>
      <c r="K25" s="3876"/>
      <c r="L25" s="3876"/>
      <c r="M25" s="3876"/>
      <c r="N25" s="3876"/>
      <c r="O25" s="4038"/>
      <c r="P25" s="2162"/>
      <c r="Q25" s="4064"/>
      <c r="R25" s="4004"/>
      <c r="S25" s="4004"/>
    </row>
    <row r="26" spans="1:35" s="2121" customFormat="1" ht="14.45" customHeight="1">
      <c r="A26" s="2151" t="s">
        <v>3377</v>
      </c>
      <c r="B26" s="2157" t="s">
        <v>3399</v>
      </c>
      <c r="C26" s="2158"/>
      <c r="D26" s="2159"/>
      <c r="E26" s="2170">
        <f>$O$280</f>
        <v>1</v>
      </c>
      <c r="F26" s="4037" t="str">
        <f>$A$307</f>
        <v xml:space="preserve">Applicant has received a commitment for up to $2,143,098 in historic tax credit equity as a source of favorable financing. This LOI has been provided as evidence, along with the approved Part 1, Part 2 and Part A. </v>
      </c>
      <c r="G26" s="3876"/>
      <c r="H26" s="3876"/>
      <c r="I26" s="3876"/>
      <c r="J26" s="3876"/>
      <c r="K26" s="3876"/>
      <c r="L26" s="3876"/>
      <c r="M26" s="3876"/>
      <c r="N26" s="3876"/>
      <c r="O26" s="4038"/>
      <c r="P26" s="2162"/>
      <c r="Q26" s="4064"/>
      <c r="R26" s="4004"/>
      <c r="S26" s="4004"/>
    </row>
    <row r="27" spans="1:35" s="2121" customFormat="1" ht="14.45" customHeight="1">
      <c r="A27" s="2151" t="s">
        <v>3378</v>
      </c>
      <c r="B27" s="2157" t="s">
        <v>3400</v>
      </c>
      <c r="C27" s="2158"/>
      <c r="D27" s="2159"/>
      <c r="E27" s="2169">
        <f>$O$312</f>
        <v>0</v>
      </c>
      <c r="F27" s="4037" t="str">
        <f>$A$318</f>
        <v>The structure is deemed historic through the approved NPS Historic Preservation Certification Application Part 1 is provided. The historic structure houses 100% of the total units.</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3380</v>
      </c>
      <c r="B28" s="2178" t="s">
        <v>6637</v>
      </c>
      <c r="C28" s="2179"/>
      <c r="D28" s="2180"/>
      <c r="E28" s="2181">
        <f>$O$332</f>
        <v>3</v>
      </c>
      <c r="F28" s="4065" t="str">
        <f>$A$340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3381</v>
      </c>
      <c r="B29" s="2157" t="s">
        <v>6133</v>
      </c>
      <c r="C29" s="2158"/>
      <c r="D29" s="2159"/>
      <c r="E29" s="2170">
        <f>$O$345</f>
        <v>6</v>
      </c>
      <c r="F29" s="4037" t="str">
        <f>$A$347</f>
        <v xml:space="preserve">The property has had an average monthly occupancy over the proceeding 24 months of greater than 95%. 24 months of rent rolls and a table has been provided as evidence.  </v>
      </c>
      <c r="G29" s="3876"/>
      <c r="H29" s="3876"/>
      <c r="I29" s="3876"/>
      <c r="J29" s="3876"/>
      <c r="K29" s="3876"/>
      <c r="L29" s="3876"/>
      <c r="M29" s="3876"/>
      <c r="N29" s="3876"/>
      <c r="O29" s="4038"/>
      <c r="P29" s="2162"/>
      <c r="Q29" s="2176"/>
      <c r="R29" s="2118"/>
      <c r="S29" s="2118"/>
    </row>
    <row r="30" spans="1:35" s="2121" customFormat="1" ht="14.45" customHeight="1">
      <c r="A30" s="2151" t="s">
        <v>3804</v>
      </c>
      <c r="B30" s="2157" t="s">
        <v>6554</v>
      </c>
      <c r="C30" s="2158"/>
      <c r="D30" s="2159"/>
      <c r="E30" s="2170">
        <f>$O$358</f>
        <v>4</v>
      </c>
      <c r="F30" s="4037" t="str">
        <f>$A$360</f>
        <v>The property has a HUD Section 8 PBRA Contract that covers 202 units. A copy of the HUD PBRA contract has been provided in Section 02 and in Section 52.</v>
      </c>
      <c r="G30" s="3876"/>
      <c r="H30" s="3876"/>
      <c r="I30" s="3876"/>
      <c r="J30" s="3876"/>
      <c r="K30" s="3876"/>
      <c r="L30" s="3876"/>
      <c r="M30" s="3876"/>
      <c r="N30" s="3876"/>
      <c r="O30" s="4038"/>
      <c r="P30" s="2162"/>
      <c r="Q30" s="2176"/>
    </row>
    <row r="31" spans="1:35" s="2121" customFormat="1" ht="14.45" customHeight="1">
      <c r="A31" s="2151" t="s">
        <v>6557</v>
      </c>
      <c r="B31" s="2157" t="s">
        <v>6555</v>
      </c>
      <c r="C31" s="2158"/>
      <c r="D31" s="2159"/>
      <c r="E31" s="2170">
        <f>$O$365</f>
        <v>2</v>
      </c>
      <c r="F31" s="4037" t="str">
        <f>$A$369</f>
        <v>The property was placed in service in 2005. The 8609 and the LURC have been provided as evidence. Please note that no updated Cert of Occupancy was not issued as part of the 2004 renovation, as such the 8609 was provided in lieu of that document.</v>
      </c>
      <c r="G31" s="3876"/>
      <c r="H31" s="3876"/>
      <c r="I31" s="3876"/>
      <c r="J31" s="3876"/>
      <c r="K31" s="3876"/>
      <c r="L31" s="3876"/>
      <c r="M31" s="3876"/>
      <c r="N31" s="3876"/>
      <c r="O31" s="4038"/>
      <c r="P31" s="2455"/>
      <c r="Q31" s="2176"/>
    </row>
    <row r="32" spans="1:35" s="2121" customFormat="1" ht="14.45" customHeight="1">
      <c r="A32" s="2456" t="s">
        <v>6918</v>
      </c>
      <c r="B32" s="2178" t="s">
        <v>6934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6948</v>
      </c>
      <c r="B34" s="3848"/>
      <c r="C34" s="3848"/>
      <c r="D34" s="3848"/>
      <c r="E34" s="4083" t="str">
        <f>IF(OR((C36-A36&gt;0),(D36-A36&gt;0)),"Points Exceed Max!","")</f>
        <v/>
      </c>
      <c r="F34" s="3918" t="s">
        <v>6882</v>
      </c>
      <c r="G34" s="3919"/>
      <c r="H34" s="3919"/>
      <c r="I34" s="3920"/>
      <c r="J34" s="4068" t="s">
        <v>6141</v>
      </c>
      <c r="K34" s="4069"/>
      <c r="L34" s="4069"/>
      <c r="M34" s="4070"/>
      <c r="O34" s="3924" t="s">
        <v>6883</v>
      </c>
      <c r="P34" s="3924"/>
      <c r="Q34" s="2185"/>
    </row>
    <row r="35" spans="1:35" ht="13.5" customHeight="1">
      <c r="A35" s="4088" t="s">
        <v>6908</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6507</v>
      </c>
      <c r="G36" s="4032"/>
      <c r="H36" s="4032"/>
      <c r="I36" s="4033"/>
      <c r="J36" s="4074" t="s">
        <v>6102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c r="A43" s="2138"/>
      <c r="B43" s="2205" t="s">
        <v>1844</v>
      </c>
      <c r="C43" s="2121" t="s">
        <v>3809</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3808</v>
      </c>
      <c r="D45" s="2121"/>
      <c r="E45" s="2121"/>
      <c r="F45" s="2123"/>
      <c r="H45" s="2121"/>
      <c r="J45" s="2141"/>
      <c r="N45" s="2214"/>
      <c r="O45" s="2120"/>
      <c r="P45" s="2208"/>
    </row>
    <row r="46" spans="1:35">
      <c r="C46" s="3870" t="s">
        <v>6845</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6875</v>
      </c>
      <c r="B50" s="3922"/>
      <c r="C50" s="3922"/>
      <c r="D50" s="3922"/>
      <c r="E50" s="3922"/>
      <c r="F50" s="2216" t="s">
        <v>3179</v>
      </c>
      <c r="G50" s="3922" t="s">
        <v>6876</v>
      </c>
      <c r="H50" s="3922"/>
      <c r="I50" s="3922"/>
      <c r="J50" s="2216" t="s">
        <v>3179</v>
      </c>
      <c r="K50" s="4090" t="s">
        <v>6877</v>
      </c>
      <c r="L50" s="4090"/>
      <c r="M50" s="4090"/>
      <c r="N50" s="4090"/>
      <c r="O50" s="3858" t="s">
        <v>3179</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3819</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6647</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3814</v>
      </c>
      <c r="G69" s="2121" t="s">
        <v>3815</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3816</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1</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3369</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3281</v>
      </c>
      <c r="H79" s="2254"/>
      <c r="I79" s="2118"/>
      <c r="J79" s="2118"/>
      <c r="K79" s="2118"/>
      <c r="L79" s="2118"/>
      <c r="M79" s="2123" t="s">
        <v>1164</v>
      </c>
      <c r="N79" s="2254"/>
      <c r="O79" s="2414"/>
      <c r="P79" s="2415"/>
      <c r="R79" s="2305"/>
    </row>
    <row r="80" spans="1:19" ht="15.95" customHeight="1" thickBot="1">
      <c r="A80" s="2121"/>
      <c r="B80" s="2260" t="s">
        <v>3242</v>
      </c>
      <c r="C80" s="2121"/>
      <c r="D80" s="2121"/>
      <c r="E80" s="2121"/>
      <c r="F80" s="2121"/>
      <c r="G80" s="2121"/>
      <c r="H80" s="2121"/>
      <c r="I80" s="2411"/>
      <c r="J80" s="2411"/>
      <c r="K80" s="2411"/>
      <c r="L80" s="2411"/>
      <c r="M80" s="2123"/>
      <c r="O80" s="2133"/>
    </row>
    <row r="81" spans="1:21" ht="15.95" customHeight="1" thickTop="1" thickBot="1">
      <c r="A81" s="3867" t="s">
        <v>7090</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6265</v>
      </c>
      <c r="T86" s="2271" t="s">
        <v>6146</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3328</v>
      </c>
      <c r="F88" s="4016" t="s">
        <v>3216</v>
      </c>
      <c r="G88" s="4016"/>
      <c r="H88" s="4016"/>
      <c r="I88" s="4016"/>
      <c r="J88" s="4016" t="s">
        <v>3217</v>
      </c>
      <c r="K88" s="4016"/>
      <c r="L88" s="4016"/>
      <c r="M88" s="4016"/>
      <c r="N88" s="2254"/>
      <c r="O88" s="3860" t="s">
        <v>6847</v>
      </c>
      <c r="P88" s="3860"/>
      <c r="R88" s="2157"/>
      <c r="S88" s="2275">
        <v>0.5</v>
      </c>
      <c r="T88" s="2275">
        <v>4.5</v>
      </c>
      <c r="U88" s="2267"/>
    </row>
    <row r="89" spans="1:21" ht="15.95" customHeight="1">
      <c r="B89" s="2272"/>
      <c r="C89" s="2420" t="s">
        <v>6848</v>
      </c>
      <c r="F89" s="4008"/>
      <c r="G89" s="4009"/>
      <c r="H89" s="4010"/>
      <c r="I89" s="4011"/>
      <c r="J89" s="4008"/>
      <c r="K89" s="4009"/>
      <c r="L89" s="4010"/>
      <c r="M89" s="4011"/>
      <c r="N89" s="2120"/>
      <c r="O89" s="3861"/>
      <c r="P89" s="3861"/>
      <c r="R89" s="2274" t="s">
        <v>6672</v>
      </c>
      <c r="S89" s="2280">
        <v>1</v>
      </c>
      <c r="T89" s="2280">
        <v>4</v>
      </c>
      <c r="U89" s="2267"/>
    </row>
    <row r="90" spans="1:21" ht="15.95" customHeight="1">
      <c r="A90" s="2272"/>
      <c r="B90" s="2158"/>
      <c r="C90" s="2420" t="s">
        <v>6849</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6887</v>
      </c>
      <c r="C91" s="4005"/>
      <c r="D91" s="4005"/>
      <c r="E91" s="4005"/>
      <c r="F91" s="2139" t="s">
        <v>6850</v>
      </c>
      <c r="G91" s="4007" t="s">
        <v>1672</v>
      </c>
      <c r="H91" s="4007"/>
      <c r="I91" s="4007"/>
      <c r="J91" s="4007" t="s">
        <v>6884</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6673</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6879</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6885</v>
      </c>
      <c r="D100" s="3876"/>
      <c r="E100" s="3876"/>
      <c r="F100" s="3876"/>
      <c r="G100" s="3876"/>
      <c r="H100" s="3876"/>
      <c r="I100" s="3876"/>
      <c r="J100" s="3876"/>
      <c r="K100" s="3876"/>
      <c r="L100" s="3876"/>
      <c r="M100" s="2286">
        <v>2</v>
      </c>
      <c r="N100" s="2413"/>
      <c r="O100" s="2418"/>
      <c r="P100" s="2419"/>
    </row>
    <row r="101" spans="1:21" ht="15.95" customHeight="1" thickBot="1">
      <c r="A101" s="2121"/>
      <c r="B101" s="2260" t="s">
        <v>3242</v>
      </c>
      <c r="C101" s="2121"/>
      <c r="D101" s="2121"/>
      <c r="E101" s="2121"/>
      <c r="F101" s="2121"/>
      <c r="G101" s="2121"/>
      <c r="H101" s="2121"/>
      <c r="K101" s="2121"/>
      <c r="M101" s="2123"/>
      <c r="O101" s="2133"/>
    </row>
    <row r="102" spans="1:21" ht="15.95" customHeight="1" thickTop="1" thickBot="1">
      <c r="A102" s="3867" t="s">
        <v>7090</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6150</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6910</v>
      </c>
      <c r="G107" s="3864"/>
      <c r="H107" s="3864" t="s">
        <v>6911</v>
      </c>
      <c r="I107" s="3864"/>
      <c r="J107" s="3998" t="s">
        <v>6935</v>
      </c>
      <c r="K107" s="3999"/>
      <c r="L107" s="3862" t="s">
        <v>6890</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6631</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3242</v>
      </c>
      <c r="C116" s="2121"/>
      <c r="D116" s="2121"/>
      <c r="E116" s="2121"/>
      <c r="F116" s="2121"/>
      <c r="G116" s="2121"/>
      <c r="H116" s="2121"/>
      <c r="I116" s="2121"/>
      <c r="J116" s="2121"/>
      <c r="K116" s="2121"/>
      <c r="M116" s="2123"/>
      <c r="O116" s="2133"/>
    </row>
    <row r="117" spans="1:21" ht="15.95" customHeight="1" thickTop="1" thickBot="1">
      <c r="A117" s="3867" t="s">
        <v>7090</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86" t="s">
        <v>6853</v>
      </c>
      <c r="N125" s="3987"/>
      <c r="O125" s="3987"/>
      <c r="P125" s="3988"/>
      <c r="S125" s="2118"/>
      <c r="T125" s="2118"/>
      <c r="U125" s="2118"/>
    </row>
    <row r="126" spans="1:21" s="2121" customFormat="1" ht="15.95" customHeight="1">
      <c r="B126" s="2254"/>
      <c r="C126" s="2121" t="s">
        <v>6854</v>
      </c>
      <c r="L126" s="2254"/>
      <c r="M126" s="3980" t="s">
        <v>6853</v>
      </c>
      <c r="N126" s="3981"/>
      <c r="O126" s="3981"/>
      <c r="P126" s="3982"/>
      <c r="S126" s="2118"/>
      <c r="T126" s="2118"/>
      <c r="U126" s="2118"/>
    </row>
    <row r="127" spans="1:21" s="2121" customFormat="1" ht="15.95" customHeight="1">
      <c r="B127" s="2254"/>
      <c r="C127" s="2121" t="s">
        <v>6855</v>
      </c>
      <c r="L127" s="2254"/>
      <c r="M127" s="3980" t="s">
        <v>6853</v>
      </c>
      <c r="N127" s="3981"/>
      <c r="O127" s="3981"/>
      <c r="P127" s="3982"/>
      <c r="Q127" s="2312">
        <f>IF(K127="Yes",1,0)</f>
        <v>0</v>
      </c>
      <c r="S127" s="2118"/>
      <c r="T127" s="2118"/>
      <c r="U127" s="2118"/>
    </row>
    <row r="128" spans="1:21" s="2121" customFormat="1" ht="15.95" customHeight="1">
      <c r="A128" s="2254"/>
      <c r="B128" s="2254"/>
      <c r="C128" s="2121" t="s">
        <v>6856</v>
      </c>
      <c r="L128" s="2254"/>
      <c r="M128" s="3980" t="s">
        <v>6853</v>
      </c>
      <c r="N128" s="3981"/>
      <c r="O128" s="3981"/>
      <c r="P128" s="3982"/>
      <c r="Q128" s="2312">
        <f>IF(K128="Yes",1,0)</f>
        <v>0</v>
      </c>
      <c r="S128" s="2118"/>
      <c r="T128" s="2118"/>
      <c r="U128" s="2118"/>
    </row>
    <row r="129" spans="1:22" s="2121" customFormat="1" ht="15.95" customHeight="1">
      <c r="A129" s="2254"/>
      <c r="B129" s="2254"/>
      <c r="C129" s="2121" t="s">
        <v>6893</v>
      </c>
      <c r="L129" s="2254"/>
      <c r="M129" s="3983" t="s">
        <v>6853</v>
      </c>
      <c r="N129" s="3984"/>
      <c r="O129" s="3984"/>
      <c r="P129" s="3985"/>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6857</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6901</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3242</v>
      </c>
      <c r="M136" s="2123"/>
      <c r="N136" s="2123"/>
      <c r="O136" s="2133"/>
      <c r="P136" s="2124"/>
    </row>
    <row r="137" spans="1:22" ht="15.95" customHeight="1" thickTop="1" thickBot="1">
      <c r="A137" s="3867" t="s">
        <v>7090</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6254</v>
      </c>
      <c r="C143" s="2161"/>
      <c r="D143" s="2161"/>
      <c r="E143" s="2161"/>
      <c r="F143" s="2161"/>
      <c r="G143" s="2161"/>
      <c r="H143" s="2161"/>
      <c r="L143" s="2322"/>
      <c r="M143" s="2124"/>
      <c r="N143" s="2250"/>
      <c r="O143" s="2251"/>
      <c r="P143" s="2323"/>
      <c r="Q143" s="2203"/>
      <c r="R143" s="2305"/>
    </row>
    <row r="144" spans="1:22" ht="15.95"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6900</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3242</v>
      </c>
      <c r="C146" s="2121"/>
      <c r="D146" s="2121"/>
      <c r="E146" s="2121"/>
      <c r="F146" s="2121"/>
      <c r="G146" s="2121"/>
      <c r="H146" s="2121"/>
      <c r="I146" s="2121"/>
      <c r="M146" s="2123"/>
      <c r="O146" s="2133"/>
    </row>
    <row r="147" spans="1:27" ht="15.95" customHeight="1" thickTop="1" thickBot="1">
      <c r="A147" s="3867" t="s">
        <v>7090</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3824</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6256</v>
      </c>
      <c r="D154" s="2121"/>
      <c r="E154" s="2143"/>
      <c r="F154" s="2143"/>
      <c r="G154" s="2121"/>
      <c r="H154" s="2121"/>
      <c r="I154" s="2121"/>
      <c r="J154" s="3972" t="s">
        <v>3205</v>
      </c>
      <c r="K154" s="3973"/>
      <c r="L154" s="3974" t="s">
        <v>3205</v>
      </c>
      <c r="M154" s="3975"/>
      <c r="N154" s="2123"/>
      <c r="R154" s="2203"/>
      <c r="S154" s="2121"/>
    </row>
    <row r="155" spans="1:27" ht="15.95" customHeight="1">
      <c r="C155" s="2331" t="s">
        <v>6894</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6215</v>
      </c>
      <c r="K157" s="2254"/>
      <c r="L157" s="2254"/>
      <c r="M157" s="2123">
        <v>4</v>
      </c>
      <c r="N157" s="2254"/>
      <c r="O157" s="2308"/>
      <c r="P157" s="2309"/>
      <c r="Q157" s="2242" t="str">
        <f>IF(O157&lt;=M157,"","*CHECK!*")</f>
        <v/>
      </c>
      <c r="R157" s="2305"/>
      <c r="S157" s="2118"/>
      <c r="T157" s="2118"/>
      <c r="U157" s="2118"/>
    </row>
    <row r="158" spans="1:27" ht="15.95" customHeight="1">
      <c r="C158" s="2333" t="s">
        <v>6221</v>
      </c>
      <c r="E158" s="3979" t="s">
        <v>6220</v>
      </c>
      <c r="F158" s="3979"/>
      <c r="G158" s="3979"/>
      <c r="H158" s="3979"/>
      <c r="I158" s="2139" t="s">
        <v>6895</v>
      </c>
      <c r="J158" s="3979" t="s">
        <v>6220</v>
      </c>
      <c r="K158" s="3979"/>
      <c r="L158" s="3979"/>
      <c r="M158" s="3979"/>
      <c r="N158" s="2120"/>
      <c r="O158" s="2120"/>
      <c r="P158" s="2120"/>
    </row>
    <row r="159" spans="1:27" ht="15.95" customHeight="1">
      <c r="C159" s="2121" t="s">
        <v>6219</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6216</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6217</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3242</v>
      </c>
      <c r="C164" s="2121"/>
      <c r="D164" s="2121"/>
      <c r="E164" s="2121"/>
      <c r="F164" s="2121"/>
      <c r="G164" s="2121"/>
      <c r="H164" s="2121"/>
      <c r="I164" s="2121"/>
      <c r="J164" s="2121"/>
      <c r="K164" s="2121"/>
      <c r="M164" s="2123"/>
      <c r="O164" s="2133"/>
    </row>
    <row r="165" spans="1:27" ht="15.95" customHeight="1" thickTop="1" thickBot="1">
      <c r="A165" s="3867" t="s">
        <v>7090</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4036</v>
      </c>
      <c r="G171" s="2123" t="s">
        <v>3153</v>
      </c>
      <c r="H171" s="2339">
        <f>IF('Part V-Revenues &amp; Expenses'!$P$67=0,0,'Part V-Revenues &amp; Expenses'!$P$64/'Part V-Revenues &amp; Expenses'!$P$67)</f>
        <v>0</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3959</v>
      </c>
      <c r="M172" s="2123">
        <v>1</v>
      </c>
      <c r="N172" s="2254"/>
      <c r="O172" s="2314"/>
      <c r="P172" s="2315"/>
      <c r="Q172" s="2320" t="str">
        <f>IF(OR($O172=$M172,$O172=0,$O172=""),"","*CHECK!*")</f>
        <v/>
      </c>
      <c r="R172" s="2305"/>
    </row>
    <row r="173" spans="1:27" ht="15.95" customHeight="1">
      <c r="A173" s="2124" t="s">
        <v>1843</v>
      </c>
      <c r="B173" s="2227" t="s">
        <v>3814</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3264</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3265</v>
      </c>
      <c r="D182" s="2184"/>
      <c r="L182" s="2184"/>
      <c r="M182" s="3956"/>
      <c r="N182" s="2254"/>
      <c r="O182" s="2246"/>
      <c r="P182" s="2247"/>
      <c r="Q182" s="2342"/>
      <c r="R182" s="2118"/>
      <c r="S182" s="2118"/>
      <c r="T182" s="2118"/>
      <c r="U182" s="2118"/>
      <c r="V182" s="2118"/>
    </row>
    <row r="183" spans="1:27" ht="15.95"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7090</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6258</v>
      </c>
      <c r="C190" s="2157"/>
      <c r="D190" s="2157"/>
      <c r="E190" s="2157"/>
      <c r="F190" s="2157"/>
      <c r="G190" s="2139" t="s">
        <v>6859</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6259</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6260</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3242</v>
      </c>
      <c r="C194" s="2121"/>
      <c r="D194" s="2121"/>
      <c r="E194" s="2121"/>
      <c r="F194" s="2121"/>
      <c r="G194" s="2121"/>
      <c r="H194" s="2121"/>
      <c r="I194" s="2121"/>
      <c r="J194" s="2121"/>
      <c r="K194" s="2121"/>
      <c r="M194" s="2123"/>
      <c r="O194" s="2133"/>
    </row>
    <row r="195" spans="1:24" ht="15.95" customHeight="1" thickTop="1" thickBot="1">
      <c r="A195" s="3867" t="s">
        <v>7090</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3962</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6231</v>
      </c>
      <c r="I203" s="2282"/>
      <c r="L203" s="2118"/>
      <c r="M203" s="2123">
        <v>3</v>
      </c>
      <c r="N203" s="2254"/>
      <c r="O203" s="2243"/>
      <c r="P203" s="2244"/>
      <c r="Q203" s="2320" t="str">
        <f>IF(OR($O203=$M203,$O203=$M203-1,$O203=0,$O203=""),"","*CHECK!*")</f>
        <v/>
      </c>
      <c r="R203" s="2305"/>
    </row>
    <row r="204" spans="1:24" ht="15.95" customHeight="1" thickBot="1">
      <c r="A204" s="2121"/>
      <c r="B204" s="2260" t="s">
        <v>3242</v>
      </c>
      <c r="C204" s="2121"/>
      <c r="D204" s="2121"/>
      <c r="E204" s="2121"/>
      <c r="F204" s="2121"/>
      <c r="G204" s="2121"/>
      <c r="H204" s="2121"/>
      <c r="I204" s="2121"/>
      <c r="J204" s="2121"/>
      <c r="K204" s="2121"/>
      <c r="M204" s="2123"/>
      <c r="O204" s="2133"/>
    </row>
    <row r="205" spans="1:24" ht="15.95" customHeight="1" thickTop="1" thickBot="1">
      <c r="A205" s="3867" t="s">
        <v>7090</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3</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6614</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6615</v>
      </c>
      <c r="D213" s="2282"/>
      <c r="E213" s="2282"/>
      <c r="G213" s="2120"/>
      <c r="L213" s="2232"/>
      <c r="M213" s="2123">
        <v>2</v>
      </c>
      <c r="N213" s="2377"/>
      <c r="O213" s="2269" t="s">
        <v>7059</v>
      </c>
      <c r="P213" s="2270"/>
      <c r="Q213" s="2320"/>
      <c r="R213" s="2305"/>
      <c r="T213" s="2355"/>
      <c r="U213" s="2355"/>
    </row>
    <row r="214" spans="1:22" s="2121" customFormat="1" ht="15.95" customHeight="1">
      <c r="A214" s="2138"/>
      <c r="B214" s="2285" t="s">
        <v>2332</v>
      </c>
      <c r="C214" s="2226" t="s">
        <v>6616</v>
      </c>
      <c r="D214" s="2282"/>
      <c r="E214" s="2282"/>
      <c r="G214" s="2120"/>
      <c r="K214" s="2254"/>
      <c r="M214" s="2123">
        <v>1</v>
      </c>
      <c r="N214" s="2377"/>
      <c r="O214" s="2246" t="s">
        <v>7059</v>
      </c>
      <c r="P214" s="2247"/>
      <c r="R214" s="2120"/>
      <c r="T214" s="2355"/>
      <c r="U214" s="2355"/>
    </row>
    <row r="215" spans="1:22" ht="15.95"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6896</v>
      </c>
      <c r="C216" s="3941"/>
      <c r="D216" s="3941"/>
      <c r="E216" s="3941"/>
      <c r="F216" s="3941"/>
      <c r="G216" s="3941"/>
      <c r="H216" s="3941"/>
      <c r="I216" s="3941"/>
      <c r="J216" s="3941"/>
      <c r="K216" s="3941"/>
      <c r="L216" s="3941"/>
      <c r="M216" s="2123"/>
      <c r="N216" s="2254"/>
      <c r="O216" s="2358" t="s">
        <v>2652</v>
      </c>
      <c r="P216" s="2359"/>
      <c r="R216" s="2232"/>
      <c r="T216" s="2355"/>
      <c r="U216" s="2355"/>
    </row>
    <row r="217" spans="1:22" ht="15.95" customHeight="1">
      <c r="A217" s="2138" t="s">
        <v>698</v>
      </c>
      <c r="B217" s="2131" t="s">
        <v>3826</v>
      </c>
      <c r="D217" s="2121"/>
      <c r="H217" s="2121"/>
      <c r="K217" s="2121"/>
      <c r="L217" s="2232"/>
      <c r="M217" s="2123">
        <v>1</v>
      </c>
      <c r="N217" s="2254"/>
      <c r="O217" s="2306">
        <f>IF(O211=0,0,IF(O218="Yes",$M$217,0))</f>
        <v>0</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2652</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6897</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7091</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3372</v>
      </c>
      <c r="B233" s="2143" t="s">
        <v>6579</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3942" t="s">
        <v>6899</v>
      </c>
      <c r="P234" s="3942" t="s">
        <v>3151</v>
      </c>
      <c r="Q234" s="2203"/>
      <c r="R234" s="2118"/>
      <c r="S234" s="2118"/>
      <c r="T234" s="2118"/>
      <c r="U234" s="2118"/>
      <c r="V234" s="2118"/>
      <c r="W234" s="2120"/>
      <c r="X234" s="2120"/>
    </row>
    <row r="235" spans="1:24" s="2121" customFormat="1" ht="15.95" customHeight="1">
      <c r="A235" s="2142"/>
      <c r="C235" s="2121" t="s">
        <v>6694</v>
      </c>
      <c r="I235" s="3932" t="s">
        <v>2852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6693</v>
      </c>
      <c r="I236" s="3934" t="s">
        <v>7092</v>
      </c>
      <c r="J236" s="3935"/>
      <c r="M236" s="2210"/>
      <c r="O236" s="3864"/>
      <c r="P236" s="3864"/>
      <c r="Q236" s="2203"/>
      <c r="R236" s="2118"/>
      <c r="S236" s="2118"/>
      <c r="T236" s="2118"/>
      <c r="U236" s="2118"/>
      <c r="V236" s="2118"/>
      <c r="W236" s="2120"/>
      <c r="X236" s="2120"/>
    </row>
    <row r="237" spans="1:24" s="2121" customFormat="1" ht="15.95" customHeight="1">
      <c r="A237" s="2142"/>
      <c r="C237" s="2121" t="s">
        <v>6695</v>
      </c>
      <c r="I237" s="3939" t="s">
        <v>7093</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6861</v>
      </c>
      <c r="D239" s="3941"/>
      <c r="E239" s="3941"/>
      <c r="F239" s="3941"/>
      <c r="G239" s="3941"/>
      <c r="H239" s="3941"/>
      <c r="I239" s="3941"/>
      <c r="J239" s="3941"/>
      <c r="K239" s="3941"/>
      <c r="L239" s="3941"/>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6580</v>
      </c>
      <c r="D241" s="2184"/>
      <c r="E241" s="2184"/>
      <c r="G241" s="2184" t="s">
        <v>6588</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6589</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6862</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t="s">
        <v>7059</v>
      </c>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t="s">
        <v>7059</v>
      </c>
      <c r="P246" s="2326"/>
      <c r="Q246" s="2366"/>
      <c r="R246" s="2367"/>
      <c r="S246" s="2367"/>
      <c r="T246" s="2367"/>
      <c r="U246" s="2367"/>
    </row>
    <row r="247" spans="1:22" ht="15.95"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50.45" customHeight="1" thickTop="1" thickBot="1">
      <c r="A248" s="3867" t="s">
        <v>7117</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6586</v>
      </c>
      <c r="D254" s="2184"/>
      <c r="E254" s="2184" t="s">
        <v>6597</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47.1" customHeight="1" thickTop="1" thickBot="1">
      <c r="A257" s="3867" t="s">
        <v>7106</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3373</v>
      </c>
      <c r="B262" s="2143" t="s">
        <v>3344</v>
      </c>
      <c r="C262" s="2227"/>
      <c r="E262" s="2121"/>
      <c r="K262" s="2121"/>
      <c r="L262" s="2121"/>
      <c r="M262" s="2124">
        <v>2</v>
      </c>
      <c r="N262" s="2123"/>
      <c r="O262" s="2123"/>
      <c r="P262" s="2421">
        <f>IF($O$36="9%",P263+P265,0)</f>
        <v>0</v>
      </c>
      <c r="Q262" s="2203" t="s">
        <v>416</v>
      </c>
    </row>
    <row r="263" spans="1:19" ht="15.95" customHeight="1">
      <c r="A263" s="2124" t="s">
        <v>1841</v>
      </c>
      <c r="B263" s="2131" t="s">
        <v>3345</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t="s">
        <v>2652</v>
      </c>
      <c r="P264" s="2369"/>
      <c r="R264" s="2232"/>
    </row>
    <row r="265" spans="1:19" ht="15.95" customHeight="1">
      <c r="A265" s="2124" t="s">
        <v>1843</v>
      </c>
      <c r="B265" s="2131" t="s">
        <v>3346</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t="s">
        <v>2652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3374</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3873" t="s">
        <v>6061</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3242</v>
      </c>
      <c r="M274" s="2123"/>
      <c r="N274" s="2123"/>
      <c r="O274" s="2133"/>
      <c r="P274" s="2124"/>
    </row>
    <row r="275" spans="1:20" ht="15.95" customHeight="1" thickTop="1" thickBot="1">
      <c r="A275" s="3867" t="s">
        <v>7094</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3377</v>
      </c>
      <c r="B280" s="2143" t="s">
        <v>3348</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3349</v>
      </c>
      <c r="L281" s="2232" t="str">
        <f>IF(O281&lt;=M281,"","* * Check Score! * *")</f>
        <v/>
      </c>
      <c r="M281" s="2123">
        <v>3</v>
      </c>
      <c r="N281" s="2254"/>
      <c r="O281" s="2372">
        <v>1</v>
      </c>
      <c r="P281" s="2373"/>
      <c r="Q281" s="2320" t="str">
        <f>IF(O281&lt;=M281,"","*CHECK!*")</f>
        <v/>
      </c>
      <c r="R281" s="2136"/>
      <c r="S281" s="2136"/>
      <c r="T281" s="2119"/>
    </row>
    <row r="282" spans="1:20" ht="30.95" customHeight="1">
      <c r="A282" s="2313"/>
      <c r="B282" s="3929" t="s">
        <v>6864</v>
      </c>
      <c r="C282" s="3929"/>
      <c r="D282" s="3929"/>
      <c r="E282" s="3929"/>
      <c r="F282" s="3929"/>
      <c r="G282" s="3929"/>
      <c r="H282" s="3929"/>
      <c r="I282" s="3929"/>
      <c r="J282" s="3929"/>
      <c r="K282" s="3929"/>
      <c r="L282" s="3929"/>
      <c r="N282" s="2120"/>
      <c r="O282" s="2374" t="s">
        <v>2649</v>
      </c>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3156</v>
      </c>
      <c r="I285" s="2310"/>
      <c r="J285" s="3877"/>
      <c r="K285" s="3878"/>
      <c r="L285" s="2310"/>
      <c r="M285" s="3879"/>
      <c r="N285" s="3880"/>
      <c r="O285" s="3880"/>
      <c r="P285" s="3881"/>
      <c r="R285" s="2232"/>
    </row>
    <row r="286" spans="1:20" ht="15.95" customHeight="1">
      <c r="B286" s="2377" t="s">
        <v>2332</v>
      </c>
      <c r="C286" s="2121" t="s">
        <v>3955</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v>2143098</v>
      </c>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6234</v>
      </c>
      <c r="I290" s="2254"/>
      <c r="J290" s="3877"/>
      <c r="K290" s="3878"/>
      <c r="L290" s="2254"/>
      <c r="M290" s="2378"/>
      <c r="N290" s="2379"/>
      <c r="O290" s="2379"/>
      <c r="P290" s="2380"/>
      <c r="R290" s="2232"/>
    </row>
    <row r="291" spans="1:26" ht="15.95" customHeight="1">
      <c r="A291" s="2230"/>
      <c r="B291" s="2377" t="s">
        <v>474</v>
      </c>
      <c r="C291" s="2121" t="s">
        <v>3155</v>
      </c>
      <c r="I291" s="2254"/>
      <c r="J291" s="3877"/>
      <c r="K291" s="3878"/>
      <c r="L291" s="2254"/>
      <c r="M291" s="3879"/>
      <c r="N291" s="3880"/>
      <c r="O291" s="3880"/>
      <c r="P291" s="3881"/>
      <c r="R291" s="2232"/>
    </row>
    <row r="292" spans="1:26" ht="15.95" customHeight="1">
      <c r="B292" s="2377" t="s">
        <v>3890</v>
      </c>
      <c r="C292" s="2121" t="s">
        <v>6865</v>
      </c>
      <c r="I292" s="2254"/>
      <c r="J292" s="3877"/>
      <c r="K292" s="3878"/>
      <c r="L292" s="2254"/>
      <c r="M292" s="3879"/>
      <c r="N292" s="3880"/>
      <c r="O292" s="3880"/>
      <c r="P292" s="3881"/>
      <c r="R292" s="2232"/>
    </row>
    <row r="293" spans="1:26" ht="15.95" customHeight="1">
      <c r="B293" s="2377" t="s">
        <v>6866</v>
      </c>
      <c r="C293" s="2121" t="s">
        <v>6903</v>
      </c>
      <c r="I293" s="2254"/>
      <c r="J293" s="3877"/>
      <c r="K293" s="3878"/>
      <c r="L293" s="2254"/>
      <c r="M293" s="3879"/>
      <c r="N293" s="3880"/>
      <c r="O293" s="3880"/>
      <c r="P293" s="3881"/>
      <c r="R293" s="2232"/>
    </row>
    <row r="294" spans="1:26" ht="15.95" customHeight="1" thickBot="1">
      <c r="B294" s="2377" t="s">
        <v>6867</v>
      </c>
      <c r="C294" s="2121" t="s">
        <v>6904</v>
      </c>
      <c r="I294" s="2254"/>
      <c r="J294" s="3877"/>
      <c r="K294" s="3878"/>
      <c r="L294" s="2254"/>
      <c r="M294" s="3905"/>
      <c r="N294" s="3906"/>
      <c r="O294" s="3906"/>
      <c r="P294" s="3907"/>
      <c r="R294" s="2232"/>
    </row>
    <row r="295" spans="1:26" ht="15.95" customHeight="1" thickBot="1">
      <c r="B295" s="2121"/>
      <c r="I295" s="2138" t="s">
        <v>2413</v>
      </c>
      <c r="J295" s="3908">
        <f>SUM(J284:K294)</f>
        <v>2143098</v>
      </c>
      <c r="K295" s="3909"/>
      <c r="M295" s="3908">
        <f>SUM($M284:$M294)</f>
        <v>0</v>
      </c>
      <c r="N295" s="3910"/>
      <c r="O295" s="3910"/>
      <c r="P295" s="3909"/>
      <c r="R295" s="2232"/>
    </row>
    <row r="296" spans="1:26" ht="15.95" customHeight="1">
      <c r="M296" s="2136"/>
      <c r="N296" s="2136"/>
      <c r="O296" s="2120"/>
      <c r="P296" s="2136"/>
      <c r="U296" s="3848" t="s">
        <v>6909</v>
      </c>
      <c r="V296" s="3848"/>
      <c r="W296" s="3848"/>
      <c r="X296" s="3848"/>
      <c r="Y296" s="3848"/>
      <c r="Z296" s="3848"/>
    </row>
    <row r="297" spans="1:26" ht="15.95" customHeight="1">
      <c r="A297" s="2121"/>
      <c r="B297" s="2332"/>
      <c r="C297" s="2227" t="s">
        <v>2412</v>
      </c>
      <c r="D297" s="2255"/>
      <c r="E297" s="2255"/>
      <c r="I297" s="2254" t="s">
        <v>6237</v>
      </c>
      <c r="J297" s="3897">
        <f>'Part V-Revenues &amp; Expenses'!$P$67</f>
        <v>203</v>
      </c>
      <c r="K297" s="3898"/>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6238</v>
      </c>
      <c r="J298" s="3911">
        <f>IF(J297=0,0,J295/J297)</f>
        <v>10557.133004926109</v>
      </c>
      <c r="K298" s="3912"/>
      <c r="M298" s="3913">
        <f>IF(J297=0,0,M295/J297)</f>
        <v>0</v>
      </c>
      <c r="N298" s="3914"/>
      <c r="O298" s="3914"/>
      <c r="P298" s="3915"/>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3897">
        <f>IF(J295&gt;=$Y$298,$Y$300,IF(J295&gt;=$W$298,$W$300,IF(J295&gt;=$U$298,$U$300,0)))</f>
        <v>3</v>
      </c>
      <c r="K299" s="3898"/>
      <c r="M299" s="3897">
        <f t="shared" ref="M299" si="0">IF(M295&gt;=$Y$298,$Y$300,IF(M295&gt;=$W$298,$W$300,IF(M295&gt;=$U$298,$U$300,0)))</f>
        <v>0</v>
      </c>
      <c r="N299" s="3899"/>
      <c r="O299" s="3899">
        <f t="shared" ref="O299" si="1">IF(O295&gt;=$Y$298,$Y$300,IF(O295&gt;=$W$298,$W$300,IF(O295&gt;=$U$298,$U$300,0)))</f>
        <v>0</v>
      </c>
      <c r="P299" s="3898"/>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6239</v>
      </c>
      <c r="J300" s="3902">
        <f>IF(J298&gt;=$Y$299,$Y$300,IF(J298&gt;=$W$299,$W$300,IF(J298&gt;=$U$299,$U$300,0)))</f>
        <v>1</v>
      </c>
      <c r="K300" s="3903"/>
      <c r="L300" s="2136"/>
      <c r="M300" s="3902">
        <f>IF(M298&gt;=$Y$299,$Y$300,IF(M298&gt;=$W$299,$W$300,IF(M298&gt;=$U$299,$U$300,0)))</f>
        <v>0</v>
      </c>
      <c r="N300" s="3904"/>
      <c r="O300" s="3904"/>
      <c r="P300" s="3903"/>
      <c r="S300" s="2431" t="s">
        <v>6146</v>
      </c>
      <c r="U300" s="3858">
        <v>1</v>
      </c>
      <c r="V300" s="3859"/>
      <c r="W300" s="3858">
        <v>2</v>
      </c>
      <c r="X300" s="3859"/>
      <c r="Y300" s="3858">
        <v>3</v>
      </c>
      <c r="Z300" s="3859"/>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6869</v>
      </c>
      <c r="D303" s="3876"/>
      <c r="E303" s="3876"/>
      <c r="F303" s="3876"/>
      <c r="G303" s="3876"/>
      <c r="H303" s="3876"/>
      <c r="I303" s="3876"/>
      <c r="J303" s="3876"/>
      <c r="K303" s="3876"/>
      <c r="L303" s="3876"/>
      <c r="M303" s="3876"/>
      <c r="N303" s="2413"/>
      <c r="O303" s="2382" t="s">
        <v>7059</v>
      </c>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t="s">
        <v>7059</v>
      </c>
      <c r="P304" s="2270"/>
      <c r="V304" s="2355"/>
    </row>
    <row r="305" spans="1:19" ht="15.95" customHeight="1">
      <c r="B305" s="2313"/>
      <c r="C305" s="2120" t="s">
        <v>6871</v>
      </c>
      <c r="N305" s="2144"/>
      <c r="O305" s="2246" t="s">
        <v>7059</v>
      </c>
      <c r="P305" s="2247"/>
    </row>
    <row r="306" spans="1:19" ht="15.95" customHeight="1" thickBot="1">
      <c r="B306" s="2260" t="s">
        <v>3242</v>
      </c>
    </row>
    <row r="307" spans="1:19" ht="31.5" customHeight="1" thickTop="1" thickBot="1">
      <c r="A307" s="3867" t="s">
        <v>7107</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3378</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7095</v>
      </c>
      <c r="H313" s="3874"/>
      <c r="I313" s="3874"/>
      <c r="J313" s="3874"/>
      <c r="K313" s="3874"/>
      <c r="L313" s="3875"/>
      <c r="M313" s="2286"/>
      <c r="N313" s="2286"/>
      <c r="O313" s="2286"/>
      <c r="P313" s="2286"/>
      <c r="Q313" s="2121"/>
    </row>
    <row r="314" spans="1:19" s="2157" customFormat="1" ht="15.95" customHeight="1">
      <c r="A314" s="2211" t="s">
        <v>1841</v>
      </c>
      <c r="B314" s="2131" t="s">
        <v>3956</v>
      </c>
      <c r="M314" s="2286">
        <v>2</v>
      </c>
      <c r="N314" s="2310"/>
      <c r="O314" s="2308"/>
      <c r="P314" s="2384"/>
      <c r="Q314" s="2320" t="str">
        <f>IF(OR($O314=$M314,$O314=0,$O314=""),"","*CHECK!*")</f>
        <v/>
      </c>
      <c r="R314" s="2305"/>
    </row>
    <row r="315" spans="1:19" ht="15.95" customHeight="1">
      <c r="A315" s="2345"/>
      <c r="B315" s="3891" t="s">
        <v>3416</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3957</v>
      </c>
      <c r="M316" s="2286">
        <v>2</v>
      </c>
      <c r="N316" s="2310"/>
      <c r="O316" s="2308">
        <v>2</v>
      </c>
      <c r="P316" s="2384"/>
      <c r="Q316" s="2320" t="str">
        <f>IF(OR($O316=$M316,$O316=0,$O316=""),"","*CHECK!*")</f>
        <v/>
      </c>
      <c r="R316" s="2305"/>
    </row>
    <row r="317" spans="1:19" ht="15.95" customHeight="1" thickBot="1">
      <c r="A317" s="2121"/>
      <c r="B317" s="2260" t="s">
        <v>3242</v>
      </c>
      <c r="C317" s="2121"/>
      <c r="D317" s="2121"/>
      <c r="E317" s="2121"/>
      <c r="F317" s="2121"/>
      <c r="G317" s="2121"/>
      <c r="H317" s="2121"/>
      <c r="I317" s="2121"/>
      <c r="J317" s="2121"/>
      <c r="K317" s="2121"/>
      <c r="M317" s="2123"/>
      <c r="O317" s="2133"/>
    </row>
    <row r="318" spans="1:19" ht="21" customHeight="1" thickTop="1" thickBot="1">
      <c r="A318" s="3867" t="s">
        <v>7096</v>
      </c>
      <c r="B318" s="3868"/>
      <c r="C318" s="3868"/>
      <c r="D318" s="3868"/>
      <c r="E318" s="3868"/>
      <c r="F318" s="3868"/>
      <c r="G318" s="3868"/>
      <c r="H318" s="3868"/>
      <c r="I318" s="3868"/>
      <c r="J318" s="3868"/>
      <c r="K318" s="3868"/>
      <c r="L318" s="3868"/>
      <c r="M318" s="3868"/>
      <c r="N318" s="3868"/>
      <c r="O318" s="3868"/>
      <c r="P318" s="3869"/>
      <c r="Q318" s="2209"/>
      <c r="R318" s="2209"/>
    </row>
    <row r="319" spans="1:19" ht="15.95" hidden="1"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thickTop="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v>5</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6608</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6609</v>
      </c>
      <c r="C334" s="2255"/>
      <c r="D334" s="2255"/>
      <c r="E334" s="2255"/>
      <c r="F334" s="2255"/>
      <c r="G334" s="2121"/>
      <c r="H334" s="2255"/>
      <c r="I334" s="2255"/>
      <c r="J334" s="2255"/>
      <c r="K334" s="2255"/>
      <c r="L334" s="2255"/>
      <c r="M334" s="2123">
        <v>1</v>
      </c>
      <c r="N334" s="2390"/>
      <c r="O334" s="2240">
        <v>1</v>
      </c>
      <c r="P334" s="2241"/>
      <c r="Q334" s="2320" t="str">
        <f>IF(OR($O334=$M334,$O334=0,$O334=""),"","*CHECK!*")</f>
        <v/>
      </c>
      <c r="R334" s="2305"/>
    </row>
    <row r="335" spans="1:18" ht="15.95" customHeight="1">
      <c r="A335" s="2124" t="s">
        <v>698</v>
      </c>
      <c r="B335" s="2131" t="s">
        <v>6240</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6610</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3242</v>
      </c>
      <c r="C339" s="2121"/>
      <c r="D339" s="2121"/>
      <c r="E339" s="2121"/>
      <c r="F339" s="2121"/>
      <c r="G339" s="2121"/>
      <c r="H339" s="2121"/>
      <c r="I339" s="2121"/>
      <c r="J339" s="2121"/>
      <c r="K339" s="2121"/>
      <c r="M339" s="2123"/>
      <c r="O339" s="2133"/>
    </row>
    <row r="340" spans="1:18" ht="59.45" customHeight="1" thickTop="1" thickBot="1">
      <c r="A340" s="3867" t="s">
        <v>7097</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3381</v>
      </c>
      <c r="B345" s="2143" t="s">
        <v>6241</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3242</v>
      </c>
      <c r="C346" s="2121"/>
      <c r="D346" s="2121"/>
      <c r="E346" s="2121"/>
      <c r="F346" s="2121"/>
      <c r="G346" s="2121"/>
      <c r="H346" s="2121"/>
      <c r="I346" s="2121"/>
      <c r="J346" s="2121"/>
      <c r="K346" s="2121"/>
      <c r="M346" s="2123"/>
      <c r="O346" s="2133"/>
    </row>
    <row r="347" spans="1:18" ht="15.95" customHeight="1" thickTop="1" thickBot="1">
      <c r="A347" s="3867" t="s">
        <v>7108</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3382</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3804</v>
      </c>
      <c r="B358" s="2143" t="s">
        <v>6612</v>
      </c>
      <c r="D358" s="2143"/>
      <c r="L358" s="2448" t="str">
        <f>IF(AND($O358&gt;0,NOT($F$36="Preservation")),"Ineligible, not Preservation!","")</f>
        <v/>
      </c>
      <c r="M358" s="2124">
        <v>4</v>
      </c>
      <c r="N358" s="2123"/>
      <c r="O358" s="2363">
        <v>4</v>
      </c>
      <c r="P358" s="2321"/>
      <c r="Q358" s="2203" t="s">
        <v>416</v>
      </c>
      <c r="R358" s="2305"/>
    </row>
    <row r="359" spans="1:18" ht="15.95" customHeight="1" thickBot="1">
      <c r="A359" s="2121"/>
      <c r="B359" s="2260" t="s">
        <v>3242</v>
      </c>
      <c r="C359" s="2121"/>
      <c r="D359" s="2121"/>
      <c r="E359" s="2121"/>
      <c r="F359" s="2121"/>
      <c r="G359" s="2121"/>
      <c r="H359" s="2121"/>
      <c r="I359" s="2121"/>
      <c r="J359" s="2121"/>
      <c r="K359" s="2121"/>
      <c r="M359" s="2123"/>
      <c r="O359" s="2133"/>
    </row>
    <row r="360" spans="1:18" ht="35.1" customHeight="1" thickTop="1" thickBot="1">
      <c r="A360" s="3867" t="s">
        <v>7118</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2</v>
      </c>
      <c r="P365" s="2202">
        <f>IF($F$36="Preservation",IF(SUM(P366:P367)&gt;$M365,"Check",SUM(P366:P367)),0)</f>
        <v>0</v>
      </c>
      <c r="Q365" s="2203" t="s">
        <v>416</v>
      </c>
      <c r="R365" s="2305"/>
    </row>
    <row r="366" spans="1:18" ht="15.95" customHeight="1">
      <c r="A366" s="2124" t="s">
        <v>1841</v>
      </c>
      <c r="B366" s="2131" t="s">
        <v>6134</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6135</v>
      </c>
      <c r="C367" s="2158"/>
      <c r="D367" s="2158"/>
      <c r="E367" s="2158"/>
      <c r="F367" s="2158"/>
      <c r="H367" s="2158"/>
      <c r="I367" s="2158"/>
      <c r="J367" s="2255"/>
      <c r="K367" s="2255"/>
      <c r="L367" s="2255"/>
      <c r="M367" s="2123">
        <v>4</v>
      </c>
      <c r="N367" s="2390"/>
      <c r="O367" s="2243">
        <v>2</v>
      </c>
      <c r="P367" s="2244"/>
      <c r="Q367" s="2320" t="str">
        <f>IF(OR($O367&lt;=$M367,$O367=0,$O367=""),"","*CHECK!*")</f>
        <v/>
      </c>
      <c r="R367" s="2305"/>
    </row>
    <row r="368" spans="1:18" ht="15.95" customHeight="1" thickBot="1">
      <c r="A368" s="2121"/>
      <c r="B368" s="2260" t="s">
        <v>3242</v>
      </c>
      <c r="C368" s="2121"/>
      <c r="D368" s="2121"/>
      <c r="E368" s="2121"/>
      <c r="F368" s="2121"/>
      <c r="G368" s="2121"/>
      <c r="H368" s="2121"/>
      <c r="I368" s="2121"/>
      <c r="J368" s="2121"/>
      <c r="K368" s="2121"/>
      <c r="M368" s="2123"/>
      <c r="O368" s="2133"/>
    </row>
    <row r="369" spans="1:18" ht="33.6" customHeight="1" thickTop="1" thickBot="1">
      <c r="A369" s="3867" t="s">
        <v>7119</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6224</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3242</v>
      </c>
      <c r="C388" s="2121"/>
      <c r="D388" s="2121"/>
      <c r="E388" s="2121"/>
      <c r="F388" s="2121"/>
      <c r="G388" s="2121"/>
      <c r="H388" s="2121"/>
      <c r="I388" s="2121"/>
      <c r="J388" s="2121"/>
      <c r="K388" s="2121"/>
      <c r="M388" s="2123"/>
      <c r="O388" s="2133"/>
    </row>
    <row r="389" spans="1:19" ht="15.95" customHeight="1" thickTop="1" thickBot="1">
      <c r="A389" s="3867" t="s">
        <v>7098</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332.1" customHeight="1">
      <c r="A396" s="2345"/>
      <c r="B396" s="3891" t="s">
        <v>7120</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6926</v>
      </c>
      <c r="Q397" s="2320" t="str">
        <f>IF(OR($O397=$M397,$O397=0,$O397=""),"","*CHECK!*")</f>
        <v/>
      </c>
      <c r="R397" s="2305"/>
    </row>
    <row r="398" spans="1:19" ht="409.5" customHeight="1">
      <c r="A398" s="2345"/>
      <c r="B398" s="3891" t="s">
        <v>7121</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3242</v>
      </c>
      <c r="C399" s="2121"/>
      <c r="D399" s="2121"/>
      <c r="E399" s="2121"/>
      <c r="F399" s="2121"/>
      <c r="G399" s="2121"/>
      <c r="H399" s="2121"/>
      <c r="I399" s="2121"/>
      <c r="J399" s="2121"/>
      <c r="K399" s="2121"/>
      <c r="M399" s="2123"/>
      <c r="O399" s="2133"/>
    </row>
    <row r="400" spans="1:19" ht="15.95" customHeight="1" thickTop="1" thickBot="1">
      <c r="A400" s="3867"/>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43</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6564</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6565</v>
      </c>
      <c r="AZ416" s="3887"/>
      <c r="BA416" s="3887"/>
      <c r="BB416" s="3887"/>
      <c r="BC416" s="3887"/>
      <c r="BD416" s="3887"/>
      <c r="BE416" s="3888"/>
      <c r="BF416" s="3886" t="s">
        <v>6566</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4039" t="s">
        <v>6126</v>
      </c>
      <c r="AH418" s="4040"/>
      <c r="AI418" s="3883" t="s">
        <v>6507</v>
      </c>
      <c r="AJ418" s="3884"/>
      <c r="AK418" s="3884"/>
      <c r="AL418" s="3884"/>
      <c r="AM418" s="3885"/>
      <c r="AN418" s="4041" t="s">
        <v>6139</v>
      </c>
      <c r="AO418" s="4041"/>
      <c r="AP418" s="4041"/>
      <c r="AQ418" s="4041"/>
      <c r="AR418" s="2397"/>
      <c r="AS418" s="2466"/>
      <c r="AT418" s="2465" t="s">
        <v>6138</v>
      </c>
      <c r="AU418" s="2466"/>
      <c r="AV418" s="2466"/>
      <c r="AW418" s="2466"/>
      <c r="AX418" s="2397"/>
      <c r="AY418" s="3883" t="s">
        <v>6126</v>
      </c>
      <c r="AZ418" s="3885"/>
      <c r="BA418" s="3883" t="s">
        <v>6507</v>
      </c>
      <c r="BB418" s="3884"/>
      <c r="BC418" s="3884"/>
      <c r="BD418" s="3884"/>
      <c r="BE418" s="3885"/>
      <c r="BF418" s="3889" t="s">
        <v>6126</v>
      </c>
      <c r="BG418" s="3889"/>
      <c r="BH418" s="3889" t="s">
        <v>6507</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6915</v>
      </c>
      <c r="AK419" s="2467" t="s">
        <v>6547</v>
      </c>
      <c r="AL419" s="2467" t="s">
        <v>6548</v>
      </c>
      <c r="AM419" s="2467" t="s">
        <v>6549</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6547</v>
      </c>
      <c r="BD419" s="2467" t="s">
        <v>6548</v>
      </c>
      <c r="BE419" s="2467" t="s">
        <v>6549</v>
      </c>
      <c r="BF419" s="2467">
        <v>0.09</v>
      </c>
      <c r="BG419" s="2467" t="s">
        <v>6945</v>
      </c>
      <c r="BH419" s="2467" t="s">
        <v>6945</v>
      </c>
      <c r="BI419" s="2467" t="s">
        <v>6929</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4029" t="s">
        <v>6563</v>
      </c>
      <c r="AO425" s="4030"/>
      <c r="AP425" s="4030"/>
      <c r="AQ425" s="4030"/>
      <c r="AR425" s="2397"/>
      <c r="AS425" s="2468" t="s">
        <v>720</v>
      </c>
      <c r="AT425" s="2492" t="s">
        <v>3340</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3025</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6947</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2453</v>
      </c>
      <c r="J431" s="2397" t="s">
        <v>3026</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3027</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Yes</v>
      </c>
      <c r="AR432" s="2397"/>
      <c r="AS432" s="2468" t="s">
        <v>3371</v>
      </c>
      <c r="AT432" s="2492" t="s">
        <v>4044</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Yes</v>
      </c>
      <c r="AR433" s="2397"/>
      <c r="AS433" s="2468" t="s">
        <v>2080</v>
      </c>
      <c r="AT433" s="2492" t="s">
        <v>3805</v>
      </c>
      <c r="AU433" s="2493"/>
      <c r="AV433" s="2493"/>
      <c r="AW433" s="2493"/>
      <c r="AX433" s="2493"/>
      <c r="AY433" s="2487">
        <f>O210</f>
        <v>3</v>
      </c>
      <c r="AZ433" s="2491">
        <f>O210</f>
        <v>3</v>
      </c>
      <c r="BA433" s="2487">
        <f>O210</f>
        <v>3</v>
      </c>
      <c r="BB433" s="2488">
        <f>O210</f>
        <v>3</v>
      </c>
      <c r="BC433" s="2488">
        <f>O210</f>
        <v>3</v>
      </c>
      <c r="BD433" s="2488">
        <f>O210</f>
        <v>3</v>
      </c>
      <c r="BE433" s="2489">
        <f>O210</f>
        <v>3</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3036</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3030</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2453</v>
      </c>
      <c r="J438" s="2397" t="s">
        <v>3031</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2453</v>
      </c>
      <c r="J439" s="2397" t="s">
        <v>3032</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3035</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4068</v>
      </c>
      <c r="I441" s="2402" t="s">
        <v>2453</v>
      </c>
      <c r="J441" s="2397" t="s">
        <v>3033</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4067</v>
      </c>
      <c r="J442" s="2397" t="s">
        <v>3034</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4</v>
      </c>
      <c r="BB445" s="2488">
        <f>O358</f>
        <v>4</v>
      </c>
      <c r="BC445" s="2488">
        <f>O358</f>
        <v>4</v>
      </c>
      <c r="BD445" s="2488">
        <f>O358</f>
        <v>4</v>
      </c>
      <c r="BE445" s="2489">
        <f>O358</f>
        <v>4</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2</v>
      </c>
      <c r="BB446" s="2488">
        <f>O365</f>
        <v>2</v>
      </c>
      <c r="BC446" s="2524">
        <f>O365</f>
        <v>2</v>
      </c>
      <c r="BD446" s="2524">
        <f>O365</f>
        <v>2</v>
      </c>
      <c r="BE446" s="2525">
        <f>O365</f>
        <v>2</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6918</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2453</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31</v>
      </c>
      <c r="AZ449" s="2542">
        <f>IF(AND($O$36="4%",($C$36-$A$36)&gt;0),(SUM(AZ420:AZ447)-($C$36-$A$36)),SUM(AZ420:AZ447))</f>
        <v>29</v>
      </c>
      <c r="BA449" s="2542">
        <f t="shared" ref="BA449:BB449" si="3">IF(AND($O$36="4%",($C$36-$A$36)&gt;0),(SUM(BA420:BA447)-($C$36-$A$36)),SUM(BA420:BA447))</f>
        <v>41</v>
      </c>
      <c r="BB449" s="2542">
        <f t="shared" si="3"/>
        <v>41</v>
      </c>
      <c r="BC449" s="2542">
        <f t="shared" ref="BC449:BL449" si="4">SUM(BC420:BC447)</f>
        <v>43</v>
      </c>
      <c r="BD449" s="2542">
        <f t="shared" si="4"/>
        <v>43</v>
      </c>
      <c r="BE449" s="2542">
        <f t="shared" si="4"/>
        <v>43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2453</v>
      </c>
      <c r="J453" s="2397" t="s">
        <v>3331</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ht="14.25">
      <c r="B456" s="2397"/>
      <c r="C456" s="2397"/>
      <c r="D456" s="2406"/>
      <c r="E456" s="2397"/>
      <c r="F456" s="2397"/>
      <c r="G456" s="2404" t="s">
        <v>1349</v>
      </c>
      <c r="H456" s="2342" t="s">
        <v>4068</v>
      </c>
      <c r="I456" s="2402" t="s">
        <v>2453</v>
      </c>
      <c r="J456" s="2397" t="s">
        <v>3258</v>
      </c>
      <c r="K456" s="2397"/>
      <c r="L456" s="2403"/>
      <c r="M456" s="2397"/>
      <c r="N456" s="2397"/>
      <c r="O456" s="2397"/>
      <c r="P456" s="2397"/>
      <c r="Q456" s="2397"/>
      <c r="R456" s="2397"/>
      <c r="S456" s="2397"/>
    </row>
    <row r="457" spans="2:66" ht="14.25">
      <c r="B457" s="2397"/>
      <c r="C457" s="2397"/>
      <c r="D457" s="2406"/>
      <c r="E457" s="2397"/>
      <c r="F457" s="2397"/>
      <c r="G457" s="2404" t="s">
        <v>1707</v>
      </c>
      <c r="H457" s="2342" t="s">
        <v>4068</v>
      </c>
      <c r="I457" s="2402" t="s">
        <v>2453</v>
      </c>
      <c r="J457" s="2397" t="s">
        <v>3259</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ht="14.25">
      <c r="B463" s="2397"/>
      <c r="C463" s="2406"/>
      <c r="D463" s="2397"/>
      <c r="E463" s="2397"/>
      <c r="F463" s="2397"/>
      <c r="G463" s="2404" t="s">
        <v>4062</v>
      </c>
      <c r="H463" s="2342" t="s">
        <v>4068</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4068</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4068</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4068</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3189</v>
      </c>
      <c r="C13" s="4105"/>
      <c r="D13" s="4105"/>
      <c r="E13" s="4105"/>
      <c r="F13" s="4105"/>
      <c r="G13" s="4105"/>
      <c r="H13" s="4105"/>
      <c r="I13" s="4105"/>
      <c r="J13" s="4105"/>
      <c r="K13" s="4105"/>
      <c r="L13" s="4105"/>
      <c r="M13" s="4105"/>
      <c r="U13" s="809" t="s">
        <v>6272</v>
      </c>
    </row>
    <row r="14" spans="1:26" ht="47.25" customHeight="1">
      <c r="A14" s="815" t="s">
        <v>1615</v>
      </c>
      <c r="B14" s="4105" t="s">
        <v>3190</v>
      </c>
      <c r="C14" s="4105"/>
      <c r="D14" s="4105"/>
      <c r="E14" s="4105"/>
      <c r="F14" s="4105"/>
      <c r="G14" s="4105"/>
      <c r="H14" s="4105"/>
      <c r="I14" s="4105"/>
      <c r="J14" s="4105"/>
      <c r="K14" s="4105"/>
      <c r="L14" s="4105"/>
      <c r="M14" s="4105"/>
    </row>
    <row r="15" spans="1:26" ht="117" customHeight="1">
      <c r="A15" s="815" t="s">
        <v>1616</v>
      </c>
      <c r="B15" s="4105" t="s">
        <v>3191</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3192</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3088</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3089</v>
      </c>
      <c r="C25" s="4105"/>
      <c r="D25" s="4105"/>
      <c r="E25" s="4105"/>
      <c r="F25" s="4105"/>
      <c r="G25" s="4105"/>
      <c r="H25" s="4105"/>
      <c r="I25" s="4105"/>
      <c r="J25" s="4105"/>
      <c r="K25" s="4105"/>
      <c r="L25" s="4105"/>
      <c r="M25" s="4105"/>
    </row>
    <row r="26" spans="1:13" ht="31.5" customHeight="1">
      <c r="A26" s="815" t="s">
        <v>1375</v>
      </c>
      <c r="B26" s="4105" t="s">
        <v>3090</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Bon Air</v>
      </c>
      <c r="E3" s="4167"/>
      <c r="F3" s="4167"/>
      <c r="G3" s="4167"/>
      <c r="H3" s="4167"/>
      <c r="I3" s="4167"/>
      <c r="J3" s="4168" t="s">
        <v>6172</v>
      </c>
      <c r="K3" s="4169"/>
    </row>
    <row r="4" spans="1:11" ht="15" customHeight="1">
      <c r="A4" s="1332" t="s">
        <v>3970</v>
      </c>
      <c r="B4" s="1333"/>
      <c r="C4" s="1334"/>
      <c r="D4" s="4170"/>
      <c r="E4" s="4171"/>
      <c r="F4" s="4171"/>
      <c r="G4" s="4171"/>
      <c r="H4" s="4171"/>
      <c r="I4" s="4171"/>
      <c r="J4" s="4172" t="s">
        <v>4011</v>
      </c>
      <c r="K4" s="4173"/>
    </row>
    <row r="5" spans="1:11" ht="15" customHeight="1" thickBot="1">
      <c r="A5" s="1335" t="s">
        <v>3971</v>
      </c>
      <c r="B5" s="1336"/>
      <c r="C5" s="1337"/>
      <c r="D5" s="4176"/>
      <c r="E5" s="4177"/>
      <c r="F5" s="4177"/>
      <c r="G5" s="4177"/>
      <c r="H5" s="4177"/>
      <c r="I5" s="4177"/>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567">
        <v>1</v>
      </c>
      <c r="D8" s="1352" t="s">
        <v>3974</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567">
        <v>2</v>
      </c>
      <c r="D11" s="1352" t="s">
        <v>3976</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568">
        <v>3</v>
      </c>
      <c r="D14" s="1356" t="s">
        <v>3978</v>
      </c>
      <c r="E14" s="1356"/>
      <c r="F14" s="1356"/>
      <c r="G14" s="1356"/>
      <c r="H14" s="1356"/>
      <c r="I14" s="1356"/>
      <c r="J14" s="4178"/>
      <c r="K14" s="4179"/>
    </row>
    <row r="15" spans="1:11" ht="14.25" customHeight="1">
      <c r="A15" s="1333"/>
      <c r="B15" s="1333"/>
      <c r="C15" s="1569">
        <v>4</v>
      </c>
      <c r="D15" s="1333" t="s">
        <v>3979</v>
      </c>
      <c r="E15" s="1333"/>
      <c r="F15" s="1333"/>
      <c r="G15" s="1333"/>
      <c r="H15" s="1333"/>
      <c r="I15" s="1333"/>
      <c r="J15" s="4119"/>
      <c r="K15" s="4120"/>
    </row>
    <row r="16" spans="1:11" ht="14.25" customHeight="1">
      <c r="A16" s="1333"/>
      <c r="B16" s="1333"/>
      <c r="C16" s="1569">
        <v>5</v>
      </c>
      <c r="D16" s="1333" t="s">
        <v>3980</v>
      </c>
      <c r="E16" s="1333"/>
      <c r="F16" s="1333"/>
      <c r="G16" s="1333"/>
      <c r="H16" s="1333"/>
      <c r="I16" s="1333"/>
      <c r="J16" s="4119"/>
      <c r="K16" s="4120"/>
    </row>
    <row r="17" spans="1:13" ht="14.25" customHeight="1">
      <c r="A17" s="1333"/>
      <c r="B17" s="1333"/>
      <c r="C17" s="1570">
        <v>6</v>
      </c>
      <c r="D17" s="1336" t="s">
        <v>3981</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3982</v>
      </c>
      <c r="E19" s="1356"/>
      <c r="F19" s="1356"/>
      <c r="G19" s="1356"/>
      <c r="H19" s="1356"/>
      <c r="I19" s="1356"/>
      <c r="J19" s="4115" t="str">
        <f>IF(J17="No",J14-J15,IF(J17="Yes",J14-J15-J16,"Error"))</f>
        <v>Error</v>
      </c>
      <c r="K19" s="4116"/>
    </row>
    <row r="20" spans="1:13" ht="14.25" customHeight="1">
      <c r="A20" s="1333"/>
      <c r="B20" s="1333"/>
      <c r="C20" s="1570">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157" t="s">
        <v>6172</v>
      </c>
      <c r="C31" s="4157"/>
      <c r="D31" s="4157"/>
      <c r="E31" s="4157"/>
      <c r="F31" s="4157"/>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138" t="s">
        <v>3998</v>
      </c>
      <c r="H57" s="4139"/>
      <c r="I57" s="4136" t="s">
        <v>4012</v>
      </c>
      <c r="J57" s="4137"/>
      <c r="K57" s="4140"/>
    </row>
    <row r="58" spans="1:13" ht="15" customHeight="1">
      <c r="A58" s="1465"/>
      <c r="B58" s="1381"/>
      <c r="C58" s="1359">
        <f>SUMIF(C33:C51, "0", H33:H51)</f>
        <v>0</v>
      </c>
      <c r="D58" s="1484">
        <f t="shared" ref="D58:D63" si="4">ROUNDUP(C58*1.1,0)</f>
        <v>0</v>
      </c>
      <c r="E58" s="4142" t="s">
        <v>3999</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4000</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4001</v>
      </c>
      <c r="F63" s="4134"/>
      <c r="G63" s="4130">
        <f>'DCA Underwriting Assumptions'!H133</f>
        <v>316236</v>
      </c>
      <c r="H63" s="4131"/>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Bon Air, Augusta, Richmond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6532</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6531</v>
      </c>
      <c r="M5" s="1807" t="str">
        <f>'Part I-Project Identification'!$F$12</f>
        <v>9% Credit Competitive Round only</v>
      </c>
      <c r="N5" s="1808"/>
      <c r="O5" s="1809"/>
      <c r="P5" s="4322"/>
      <c r="Q5" s="4368"/>
      <c r="R5" s="1604"/>
      <c r="S5" s="1604"/>
    </row>
    <row r="6" spans="1:19" ht="17.25" customHeight="1">
      <c r="A6" s="96" t="s">
        <v>6530</v>
      </c>
      <c r="I6" s="490"/>
      <c r="J6" s="490"/>
      <c r="K6" s="4317" t="s">
        <v>3282</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6634</v>
      </c>
      <c r="C27" s="100"/>
      <c r="D27" s="66"/>
      <c r="E27" s="66"/>
      <c r="F27" s="66"/>
      <c r="G27" s="66"/>
      <c r="I27" s="891"/>
      <c r="J27" s="891"/>
      <c r="K27" s="891"/>
      <c r="L27" s="686"/>
      <c r="M27" s="686"/>
      <c r="O27" s="101" t="s">
        <v>1731</v>
      </c>
      <c r="P27" s="4199"/>
      <c r="Q27" s="4200"/>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6642</v>
      </c>
      <c r="C35" s="4"/>
      <c r="D35" s="4"/>
      <c r="E35" s="887"/>
      <c r="F35" s="887"/>
      <c r="H35" s="887"/>
      <c r="J35" s="3040" t="s">
        <v>6466</v>
      </c>
      <c r="K35" s="3041"/>
      <c r="L35" s="3042"/>
      <c r="M35" s="147" t="s">
        <v>1647</v>
      </c>
      <c r="N35" s="4190"/>
      <c r="O35" s="4191"/>
      <c r="P35" s="4191"/>
      <c r="Q35" s="4192"/>
    </row>
    <row r="36" spans="1:31" ht="12.75" customHeight="1">
      <c r="A36" s="2"/>
      <c r="B36" s="108" t="s">
        <v>6641</v>
      </c>
      <c r="C36" s="4"/>
      <c r="D36" s="4"/>
      <c r="E36" s="887"/>
      <c r="F36" s="887"/>
      <c r="G36" s="1664"/>
      <c r="H36" s="887"/>
      <c r="J36" s="3040" t="s">
        <v>6467</v>
      </c>
      <c r="K36" s="3041"/>
      <c r="L36" s="3042"/>
      <c r="M36" s="147" t="s">
        <v>1647</v>
      </c>
      <c r="N36" s="4190"/>
      <c r="O36" s="4191"/>
      <c r="P36" s="4191"/>
      <c r="Q36" s="4192"/>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199"/>
      <c r="Q40" s="4200"/>
    </row>
    <row r="41" spans="1:31" ht="1.5" customHeight="1"/>
    <row r="42" spans="1:31" ht="12" customHeight="1">
      <c r="A42" s="110" t="s">
        <v>1841</v>
      </c>
      <c r="B42" s="4193" t="s">
        <v>3785</v>
      </c>
      <c r="C42" s="4193"/>
      <c r="D42" s="4193"/>
      <c r="E42" s="4193"/>
      <c r="F42" s="4193"/>
      <c r="G42" s="4193"/>
      <c r="H42" s="4193"/>
      <c r="I42" s="4193"/>
      <c r="J42" s="4193"/>
      <c r="K42" s="115"/>
      <c r="L42" s="347" t="s">
        <v>2580</v>
      </c>
      <c r="M42" s="1203">
        <v>2</v>
      </c>
      <c r="N42" s="108" t="s">
        <v>4022</v>
      </c>
      <c r="P42" s="4345"/>
      <c r="Q42" s="4355"/>
    </row>
    <row r="43" spans="1:31" ht="12" customHeight="1">
      <c r="A43" s="110"/>
      <c r="B43" s="4193"/>
      <c r="C43" s="4193"/>
      <c r="D43" s="4193"/>
      <c r="E43" s="4193"/>
      <c r="F43" s="4193"/>
      <c r="G43" s="4193"/>
      <c r="H43" s="4193"/>
      <c r="I43" s="4193"/>
      <c r="J43" s="4193"/>
      <c r="K43" s="115"/>
      <c r="L43" s="347" t="s">
        <v>3789</v>
      </c>
      <c r="M43" s="1204">
        <v>4</v>
      </c>
      <c r="O43" s="111"/>
      <c r="P43" s="4346"/>
      <c r="Q43" s="4356"/>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16"/>
      <c r="M50" s="4217"/>
      <c r="N50" s="4217"/>
      <c r="O50" s="4217"/>
      <c r="P50" s="4217"/>
      <c r="Q50" s="4295"/>
    </row>
    <row r="51" spans="1:31" ht="12.75" customHeight="1">
      <c r="A51" s="112"/>
      <c r="B51" s="372" t="s">
        <v>1448</v>
      </c>
      <c r="C51" s="4193" t="s">
        <v>3795</v>
      </c>
      <c r="D51" s="4193"/>
      <c r="E51" s="4193"/>
      <c r="F51" s="4193"/>
      <c r="G51" s="4193"/>
      <c r="H51" s="4193"/>
      <c r="I51" s="4193"/>
      <c r="J51" s="4193"/>
      <c r="K51" s="4193"/>
      <c r="L51" s="4193"/>
      <c r="M51" s="413"/>
      <c r="N51" s="108" t="s">
        <v>4027</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Urban</v>
      </c>
      <c r="J56" s="1810" t="s">
        <v>6635</v>
      </c>
      <c r="K56" s="430" t="str">
        <f>'Part VIII Scoring Criteria OLD'!$M$60</f>
        <v>&lt;&lt; Select Pool &gt;&gt;</v>
      </c>
      <c r="L56" s="1810" t="s">
        <v>3822</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3947</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3004</v>
      </c>
      <c r="B69" s="29" t="s">
        <v>6108</v>
      </c>
      <c r="D69" s="103"/>
      <c r="E69" s="103"/>
      <c r="F69" s="103"/>
      <c r="G69" s="103"/>
      <c r="H69" s="103"/>
      <c r="I69" s="35"/>
      <c r="J69" s="35"/>
      <c r="K69" s="103"/>
      <c r="L69" s="889"/>
      <c r="M69" s="889"/>
      <c r="O69" s="48" t="s">
        <v>3004</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3950</v>
      </c>
      <c r="D84" s="4193"/>
      <c r="E84" s="4193"/>
      <c r="F84" s="4193"/>
      <c r="G84" s="4193"/>
      <c r="H84" s="4193"/>
      <c r="I84" s="4193"/>
      <c r="J84" s="4193"/>
      <c r="K84" s="4193"/>
      <c r="L84" s="4193"/>
      <c r="M84" s="4193"/>
      <c r="N84" s="4193"/>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6533</v>
      </c>
      <c r="O92" s="101" t="s">
        <v>1731</v>
      </c>
      <c r="P92" s="4199"/>
      <c r="Q92" s="4200"/>
      <c r="R92" s="860" t="s">
        <v>6520</v>
      </c>
    </row>
    <row r="93" spans="1:31" ht="6.6" customHeight="1"/>
    <row r="94" spans="1:31">
      <c r="A94" s="40" t="s">
        <v>1841</v>
      </c>
      <c r="B94" s="29" t="s">
        <v>6187</v>
      </c>
      <c r="D94" s="103"/>
      <c r="E94" s="103"/>
      <c r="F94" s="103"/>
      <c r="G94" s="103"/>
      <c r="H94" s="103"/>
      <c r="I94" s="35"/>
      <c r="J94" s="35"/>
      <c r="K94" s="48" t="s">
        <v>1841</v>
      </c>
      <c r="L94" s="4238"/>
      <c r="M94" s="4238"/>
      <c r="N94" s="4238"/>
      <c r="O94" s="4238"/>
      <c r="P94" s="4239"/>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2500</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199"/>
      <c r="Q130" s="4200"/>
      <c r="R130" s="860" t="s">
        <v>6520</v>
      </c>
    </row>
    <row r="131" spans="1:31" ht="12" customHeight="1">
      <c r="A131" s="40" t="s">
        <v>1841</v>
      </c>
      <c r="B131" s="113" t="s">
        <v>1614</v>
      </c>
      <c r="C131" s="29" t="s">
        <v>6535</v>
      </c>
      <c r="D131" s="29"/>
      <c r="E131" s="29"/>
      <c r="F131" s="29"/>
      <c r="G131" s="29"/>
      <c r="K131" s="29" t="s">
        <v>2460</v>
      </c>
      <c r="M131" s="4302"/>
      <c r="N131" s="4303"/>
      <c r="O131" s="49" t="s">
        <v>1614</v>
      </c>
      <c r="P131" s="74"/>
      <c r="Q131" s="417"/>
    </row>
    <row r="132" spans="1:31" ht="12" customHeight="1">
      <c r="A132" s="40"/>
      <c r="B132" s="113" t="s">
        <v>1615</v>
      </c>
      <c r="C132" s="29" t="s">
        <v>4056</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6193</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3234</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3800</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3235</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3833</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6533</v>
      </c>
      <c r="O151" s="101" t="s">
        <v>1731</v>
      </c>
      <c r="P151" s="4199"/>
      <c r="Q151" s="4200"/>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3236</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3307</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199"/>
      <c r="Q169" s="4200"/>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3241</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199"/>
      <c r="Q177" s="4200"/>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6194</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3152</v>
      </c>
      <c r="O197" s="1233">
        <f>'Part V-Revenues &amp; Expenses'!$P$67</f>
        <v>203</v>
      </c>
      <c r="P197" s="4227" t="s">
        <v>3856</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3402</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3402</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86" t="s">
        <v>950</v>
      </c>
      <c r="D202" s="4287"/>
      <c r="E202" s="4287"/>
      <c r="F202" s="4287"/>
      <c r="G202" s="4288"/>
      <c r="H202" s="48" t="s">
        <v>3866</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6745</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6114</v>
      </c>
      <c r="C217" s="33"/>
      <c r="D217" s="887"/>
      <c r="E217" s="887"/>
      <c r="F217" s="887"/>
      <c r="G217" s="887"/>
      <c r="H217" s="887"/>
      <c r="I217" s="887"/>
      <c r="J217" s="887"/>
      <c r="K217" s="396" t="s">
        <v>6741</v>
      </c>
      <c r="L217" s="1326" t="str">
        <f>'Part I-Project Identification'!$P$25</f>
        <v>No</v>
      </c>
      <c r="M217" s="887"/>
      <c r="O217" s="101" t="s">
        <v>1731</v>
      </c>
      <c r="P217" s="4199"/>
      <c r="Q217" s="4200"/>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6116</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6196</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6207</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6208</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3246</v>
      </c>
      <c r="C246" s="4223"/>
      <c r="D246" s="4223"/>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6503</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4031</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4057</v>
      </c>
      <c r="D260" s="4193"/>
      <c r="E260" s="4193"/>
      <c r="F260" s="4193"/>
      <c r="G260" s="4193"/>
      <c r="H260" s="4193"/>
      <c r="I260" s="4193"/>
      <c r="J260" s="4193"/>
      <c r="K260" s="4193"/>
      <c r="L260" s="4193"/>
      <c r="M260" s="4193"/>
      <c r="N260" s="4193"/>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6121</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3848</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3338</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6657</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6658</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6202</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6205</v>
      </c>
      <c r="E288" s="4193"/>
      <c r="F288" s="4193"/>
      <c r="G288" s="4193"/>
      <c r="H288" s="4193"/>
      <c r="I288" s="108"/>
      <c r="J288" s="4201" t="s">
        <v>3267</v>
      </c>
      <c r="K288" s="4227"/>
      <c r="L288" s="4227"/>
      <c r="M288" s="4331" t="s">
        <v>3248</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3388</v>
      </c>
      <c r="K290" s="1595"/>
      <c r="L290" s="795" t="str">
        <f>IF(K290&lt;M290,"Check!!!","")</f>
        <v>Check!!!</v>
      </c>
      <c r="M290" s="1597">
        <f>ROUNDUP('Part V-Revenues &amp; Expenses'!$P$67*'Part VII-Threshold Criteria OLD'!N290,0)</f>
        <v>11</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6206</v>
      </c>
      <c r="E291" s="4193"/>
      <c r="F291" s="4193"/>
      <c r="G291" s="4193"/>
      <c r="H291" s="4193"/>
      <c r="I291" s="370" t="s">
        <v>3389</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6742</v>
      </c>
      <c r="D293" s="4193"/>
      <c r="E293" s="4193"/>
      <c r="F293" s="4193"/>
      <c r="G293" s="4193"/>
      <c r="H293" s="4193"/>
      <c r="I293" s="29" t="s">
        <v>3390</v>
      </c>
      <c r="J293" s="144"/>
      <c r="K293" s="793"/>
      <c r="L293" s="795" t="str">
        <f>IF(K293&lt;M293,"Check!!!","")</f>
        <v>Check!!!</v>
      </c>
      <c r="M293" s="796">
        <f>ROUNDUP('Part V-Revenues &amp; Expenses'!$P$67*'Part VII-Threshold Criteria OLD'!N293,0)</f>
        <v>5</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6720</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3247</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6659</v>
      </c>
      <c r="D299" s="4193"/>
      <c r="E299" s="4193"/>
      <c r="F299" s="4193"/>
      <c r="G299" s="4193"/>
      <c r="H299" s="4193"/>
      <c r="I299" s="4193"/>
      <c r="J299" s="4193"/>
      <c r="K299" s="4193"/>
      <c r="L299" s="4193"/>
      <c r="M299" s="4193"/>
      <c r="N299" s="419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3834</v>
      </c>
      <c r="D300" s="4193"/>
      <c r="E300" s="4193"/>
      <c r="F300" s="4193"/>
      <c r="G300" s="4193"/>
      <c r="H300" s="4193"/>
      <c r="I300" s="4193"/>
      <c r="J300" s="4193"/>
      <c r="K300" s="4193"/>
      <c r="L300" s="4193"/>
      <c r="M300" s="4193"/>
      <c r="N300" s="419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3169</v>
      </c>
      <c r="D301" s="4193"/>
      <c r="E301" s="4193"/>
      <c r="F301" s="4193"/>
      <c r="G301" s="4193"/>
      <c r="H301" s="4193"/>
      <c r="I301" s="4193"/>
      <c r="J301" s="4193"/>
      <c r="K301" s="4193"/>
      <c r="L301" s="4193"/>
      <c r="M301" s="4193"/>
      <c r="N301" s="419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3170</v>
      </c>
      <c r="D302" s="4193"/>
      <c r="E302" s="4193"/>
      <c r="F302" s="4193"/>
      <c r="G302" s="4193"/>
      <c r="H302" s="4193"/>
      <c r="I302" s="4193"/>
      <c r="J302" s="4193"/>
      <c r="K302" s="4193"/>
      <c r="L302" s="4193"/>
      <c r="M302" s="4193"/>
      <c r="N302" s="419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6669</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19" t="s">
        <v>6123</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6124</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199"/>
      <c r="Q326" s="4200"/>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9"/>
      <c r="Q328" s="687"/>
    </row>
    <row r="329" spans="1:256" ht="11.65" customHeight="1">
      <c r="A329" s="110" t="s">
        <v>698</v>
      </c>
      <c r="B329" s="44" t="s">
        <v>6537</v>
      </c>
      <c r="K329" s="231"/>
      <c r="M329" s="128" t="s">
        <v>698</v>
      </c>
      <c r="N329" s="4268" t="s">
        <v>1646</v>
      </c>
      <c r="O329" s="4269"/>
      <c r="P329" s="4270" t="s">
        <v>1646</v>
      </c>
      <c r="Q329" s="4271"/>
    </row>
    <row r="330" spans="1:256" ht="11.65" customHeight="1">
      <c r="A330" s="40" t="s">
        <v>1962</v>
      </c>
      <c r="B330" s="44" t="s">
        <v>6538</v>
      </c>
      <c r="O330" s="48" t="s">
        <v>1962</v>
      </c>
      <c r="P330" s="1400"/>
      <c r="Q330" s="1399"/>
    </row>
    <row r="331" spans="1:256" ht="11.65" customHeight="1">
      <c r="A331" s="110" t="s">
        <v>1612</v>
      </c>
      <c r="B331" s="44" t="s">
        <v>6539</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193" t="s">
        <v>6687</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203</v>
      </c>
      <c r="F343" s="29" t="s">
        <v>3895</v>
      </c>
      <c r="G343" s="1541">
        <f>'Part V-Revenues &amp; Expenses'!$P$100</f>
        <v>202</v>
      </c>
      <c r="H343" s="72"/>
      <c r="I343" s="29" t="s">
        <v>832</v>
      </c>
      <c r="J343" s="72"/>
      <c r="K343" s="72"/>
      <c r="L343" s="1540">
        <f>'Part V-Revenues &amp; Expenses'!$P$111</f>
        <v>0</v>
      </c>
      <c r="M343" s="48" t="s">
        <v>6743</v>
      </c>
      <c r="N343" s="1539">
        <f>IF(E343=0,"",(G343+L343)/E343)</f>
        <v>0.99507389162561577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6688</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203</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6689</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203</v>
      </c>
      <c r="F348" s="29" t="s">
        <v>3895</v>
      </c>
      <c r="G348" s="1541">
        <f>'Part V-Revenues &amp; Expenses'!$P$100</f>
        <v>202</v>
      </c>
      <c r="H348" s="72"/>
      <c r="I348" s="29" t="s">
        <v>832</v>
      </c>
      <c r="J348" s="72"/>
      <c r="K348" s="72"/>
      <c r="L348" s="1540">
        <f>'Part V-Revenues &amp; Expenses'!$P$111</f>
        <v>0</v>
      </c>
      <c r="M348" s="48" t="s">
        <v>6743</v>
      </c>
      <c r="N348" s="1539">
        <f>IF(E348=0,"",(G348+L348)/E348)</f>
        <v>0.99507389162561577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3360</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3361</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3352</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3353</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3355</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3004</v>
      </c>
      <c r="B363" s="4193" t="s">
        <v>3357</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3358</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3202</v>
      </c>
      <c r="G374" s="889"/>
      <c r="H374" s="889"/>
      <c r="I374" s="889"/>
      <c r="J374" s="33" t="s">
        <v>3203</v>
      </c>
      <c r="L374" s="889"/>
      <c r="M374" s="4260">
        <f>'Part II-Sources of Funds'!I6</f>
        <v>0</v>
      </c>
      <c r="N374" s="4261"/>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213"/>
      <c r="Q391" s="4214"/>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293"/>
      <c r="Q395" s="4291"/>
    </row>
    <row r="396" spans="1:31" ht="12" customHeight="1">
      <c r="A396" s="40"/>
      <c r="D396" s="29" t="s">
        <v>6502</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6152</v>
      </c>
      <c r="D400" s="4193"/>
      <c r="E400" s="4193"/>
      <c r="F400" s="4193"/>
      <c r="G400" s="29" t="s">
        <v>3944</v>
      </c>
      <c r="J400" s="718"/>
      <c r="K400" s="426"/>
      <c r="M400" s="29" t="s">
        <v>6226</v>
      </c>
      <c r="P400" s="1760"/>
      <c r="Q400" s="1761"/>
    </row>
    <row r="401" spans="1:44" ht="12" customHeight="1">
      <c r="A401" s="40"/>
      <c r="C401" s="4193"/>
      <c r="D401" s="4193"/>
      <c r="E401" s="4193"/>
      <c r="F401" s="4193"/>
      <c r="G401" s="29" t="s">
        <v>6225</v>
      </c>
      <c r="J401" s="719"/>
      <c r="K401" s="427"/>
      <c r="M401" s="29" t="s">
        <v>6227</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6182</v>
      </c>
      <c r="J403" s="4201" t="s">
        <v>6183</v>
      </c>
      <c r="K403" s="4201" t="s">
        <v>6185</v>
      </c>
      <c r="L403" s="4201"/>
      <c r="M403" s="4201"/>
      <c r="N403" s="4240" t="s">
        <v>6184</v>
      </c>
      <c r="O403" s="48"/>
      <c r="P403" s="4364" t="s">
        <v>6699</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6296</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6297</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198" t="s">
        <v>6230</v>
      </c>
      <c r="E416" s="352" t="s">
        <v>2263</v>
      </c>
      <c r="F416" s="44" t="s">
        <v>3289</v>
      </c>
      <c r="G416" s="4194"/>
      <c r="H416" s="4195"/>
      <c r="I416" s="4195"/>
      <c r="J416" s="4195"/>
      <c r="K416" s="4196"/>
      <c r="L416" s="352"/>
    </row>
    <row r="417" spans="1:31" ht="12" customHeight="1">
      <c r="B417" s="115"/>
      <c r="D417" s="4198"/>
      <c r="E417" s="352" t="s">
        <v>3941</v>
      </c>
      <c r="F417" s="44" t="s">
        <v>3942</v>
      </c>
      <c r="G417" s="4251" t="s">
        <v>3205</v>
      </c>
      <c r="H417" s="4252"/>
      <c r="I417" s="4253"/>
      <c r="J417" s="44" t="s">
        <v>3803</v>
      </c>
      <c r="K417" s="115"/>
      <c r="M417" s="4194"/>
      <c r="N417" s="4195"/>
      <c r="O417" s="4195"/>
      <c r="P417" s="4195"/>
      <c r="Q417" s="4196"/>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4035</v>
      </c>
      <c r="C421" s="4193"/>
      <c r="D421" s="4193"/>
      <c r="E421" s="4193"/>
      <c r="F421" s="4193"/>
      <c r="G421" s="4193"/>
      <c r="H421" s="4193"/>
      <c r="I421" s="4193"/>
      <c r="J421" s="4193"/>
      <c r="K421" s="4193"/>
      <c r="L421" s="4193"/>
      <c r="M421" s="4193"/>
      <c r="N421" s="4193"/>
    </row>
    <row r="422" spans="1:31" s="115" customFormat="1" ht="45" customHeight="1">
      <c r="B422" s="4193" t="s">
        <v>6544</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3241</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2508</v>
      </c>
      <c r="C428" s="4"/>
      <c r="D428" s="66"/>
      <c r="E428" s="887"/>
      <c r="F428" s="887"/>
      <c r="G428" s="887"/>
      <c r="H428" s="887"/>
      <c r="O428" s="101" t="s">
        <v>1731</v>
      </c>
      <c r="P428" s="4199"/>
      <c r="Q428" s="4200"/>
    </row>
    <row r="429" spans="1:31" ht="14.1" customHeight="1">
      <c r="B429" s="66" t="s">
        <v>3898</v>
      </c>
      <c r="C429" s="4"/>
      <c r="D429" s="66"/>
      <c r="E429" s="887"/>
      <c r="F429" s="887"/>
      <c r="G429" s="887"/>
      <c r="H429" s="887"/>
    </row>
    <row r="430" spans="1:31" s="102" customFormat="1" ht="21.75" customHeight="1">
      <c r="A430" s="110" t="s">
        <v>1841</v>
      </c>
      <c r="B430" s="4193" t="s">
        <v>3313</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3312</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3868</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3870</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3871</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3314</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3919</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3920</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3953</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4047</v>
      </c>
      <c r="P456" s="1876"/>
      <c r="R456" s="44"/>
    </row>
    <row r="457" spans="1:18" s="807" customFormat="1" ht="11.25">
      <c r="A457" s="44"/>
      <c r="B457" s="44"/>
      <c r="C457" s="1877" t="s">
        <v>1312</v>
      </c>
      <c r="J457" s="1875" t="s">
        <v>1953</v>
      </c>
      <c r="N457" s="808"/>
      <c r="O457" s="1875" t="s">
        <v>4048</v>
      </c>
      <c r="P457" s="1876"/>
      <c r="R457" s="44"/>
    </row>
    <row r="458" spans="1:18" s="807" customFormat="1" ht="11.25">
      <c r="A458" s="44"/>
      <c r="B458" s="44"/>
      <c r="C458" s="1877" t="s">
        <v>1313</v>
      </c>
      <c r="J458" s="1875" t="s">
        <v>1537</v>
      </c>
      <c r="N458" s="808"/>
      <c r="O458" s="1875" t="s">
        <v>4049</v>
      </c>
      <c r="P458" s="1876"/>
      <c r="R458" s="44"/>
    </row>
    <row r="459" spans="1:18" s="807" customFormat="1" ht="11.25">
      <c r="A459" s="44"/>
      <c r="B459" s="44"/>
      <c r="C459" s="1877" t="s">
        <v>1980</v>
      </c>
      <c r="J459" s="1875" t="s">
        <v>1120</v>
      </c>
      <c r="N459" s="808"/>
      <c r="O459" s="1875" t="s">
        <v>4053</v>
      </c>
      <c r="P459" s="1876"/>
      <c r="R459" s="44"/>
    </row>
    <row r="460" spans="1:18" s="807" customFormat="1" ht="11.25">
      <c r="A460" s="44"/>
      <c r="B460" s="44"/>
      <c r="C460" s="1877" t="s">
        <v>1309</v>
      </c>
      <c r="J460" s="1875" t="s">
        <v>549</v>
      </c>
      <c r="N460" s="808"/>
      <c r="O460" s="1875" t="s">
        <v>4050</v>
      </c>
      <c r="P460" s="1876"/>
      <c r="R460" s="44"/>
    </row>
    <row r="461" spans="1:18" s="807" customFormat="1" ht="11.25">
      <c r="A461" s="44"/>
      <c r="B461" s="44"/>
      <c r="C461" s="1877" t="s">
        <v>1310</v>
      </c>
      <c r="J461" s="1875" t="s">
        <v>1543</v>
      </c>
      <c r="N461" s="808"/>
      <c r="O461" s="1875" t="s">
        <v>4051</v>
      </c>
      <c r="P461" s="1876"/>
      <c r="R461" s="44"/>
    </row>
    <row r="462" spans="1:18" s="807" customFormat="1" ht="11.25">
      <c r="A462" s="44"/>
      <c r="B462" s="44"/>
      <c r="C462" s="1877" t="s">
        <v>1975</v>
      </c>
      <c r="J462" s="1875" t="s">
        <v>1117</v>
      </c>
      <c r="N462" s="808"/>
      <c r="O462" s="1875" t="s">
        <v>4052</v>
      </c>
      <c r="P462" s="1876"/>
      <c r="R462" s="44"/>
    </row>
    <row r="463" spans="1:18" s="807" customFormat="1" ht="11.25">
      <c r="A463" s="44"/>
      <c r="B463" s="44"/>
      <c r="C463" s="1877" t="s">
        <v>1976</v>
      </c>
      <c r="J463" s="1875" t="s">
        <v>1116</v>
      </c>
      <c r="N463" s="808"/>
      <c r="O463" s="807" t="s">
        <v>3279</v>
      </c>
      <c r="P463" s="1876"/>
      <c r="R463" s="44"/>
    </row>
    <row r="464" spans="1:18" s="807" customFormat="1" ht="11.25">
      <c r="A464" s="44"/>
      <c r="B464" s="44"/>
      <c r="C464" s="1877" t="s">
        <v>1977</v>
      </c>
      <c r="J464" s="1875" t="s">
        <v>1603</v>
      </c>
      <c r="N464" s="808"/>
      <c r="O464" s="807" t="s">
        <v>3280</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3250</v>
      </c>
      <c r="R490" s="44"/>
    </row>
    <row r="491" spans="1:18" s="807" customFormat="1" ht="11.25">
      <c r="A491" s="44"/>
      <c r="B491" s="44"/>
      <c r="C491" s="1877" t="s">
        <v>1130</v>
      </c>
      <c r="K491" s="807" t="s">
        <v>6203</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6306</v>
      </c>
      <c r="R495" s="44"/>
    </row>
    <row r="496" spans="1:18" s="807" customFormat="1" ht="11.25">
      <c r="A496" s="44"/>
      <c r="B496" s="44"/>
      <c r="C496" s="807" t="s">
        <v>1429</v>
      </c>
      <c r="K496" s="807" t="s">
        <v>6305</v>
      </c>
      <c r="R496" s="44"/>
    </row>
    <row r="497" spans="1:18" s="807" customFormat="1" ht="11.25">
      <c r="A497" s="44"/>
      <c r="B497" s="44"/>
      <c r="C497" s="807" t="s">
        <v>1965</v>
      </c>
      <c r="K497" s="807" t="s">
        <v>6204</v>
      </c>
      <c r="R497" s="44"/>
    </row>
    <row r="498" spans="1:18" s="807" customFormat="1" ht="11.25">
      <c r="A498" s="44"/>
      <c r="B498" s="44"/>
      <c r="C498" s="807" t="s">
        <v>162</v>
      </c>
      <c r="K498" s="807" t="s">
        <v>6307</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3853</v>
      </c>
      <c r="R506" s="44"/>
    </row>
    <row r="507" spans="1:18" s="807" customFormat="1" ht="11.25">
      <c r="A507" s="44"/>
      <c r="B507" s="44"/>
      <c r="C507" s="807" t="s">
        <v>950</v>
      </c>
      <c r="M507" s="807" t="s">
        <v>950</v>
      </c>
      <c r="R507" s="44"/>
    </row>
    <row r="508" spans="1:18" s="807" customFormat="1" ht="11.25">
      <c r="A508" s="44"/>
      <c r="B508" s="44"/>
      <c r="C508" s="807" t="s">
        <v>1938</v>
      </c>
      <c r="M508" s="807" t="s">
        <v>3850</v>
      </c>
      <c r="R508" s="44"/>
    </row>
    <row r="509" spans="1:18" s="807" customFormat="1" ht="11.25">
      <c r="A509" s="44"/>
      <c r="B509" s="44"/>
      <c r="C509" s="807" t="s">
        <v>2341</v>
      </c>
      <c r="M509" s="807" t="s">
        <v>3881</v>
      </c>
      <c r="R509" s="44"/>
    </row>
    <row r="510" spans="1:18" s="807" customFormat="1" ht="11.25">
      <c r="A510" s="44"/>
      <c r="B510" s="44"/>
      <c r="C510" s="807" t="s">
        <v>1939</v>
      </c>
      <c r="M510" s="807" t="s">
        <v>1540</v>
      </c>
      <c r="R510" s="44"/>
    </row>
    <row r="511" spans="1:18" s="807" customFormat="1" ht="11.25">
      <c r="A511" s="44"/>
      <c r="B511" s="44"/>
      <c r="C511" s="807" t="s">
        <v>1810</v>
      </c>
      <c r="M511" s="807" t="s">
        <v>3851</v>
      </c>
      <c r="R511" s="44"/>
    </row>
    <row r="512" spans="1:18" s="807" customFormat="1" ht="11.25">
      <c r="A512" s="44"/>
      <c r="B512" s="44"/>
      <c r="C512" s="807" t="s">
        <v>548</v>
      </c>
      <c r="M512" s="807" t="s">
        <v>3900</v>
      </c>
      <c r="R512" s="44"/>
    </row>
    <row r="513" spans="1:18" s="807" customFormat="1" ht="11.25">
      <c r="A513" s="44"/>
      <c r="B513" s="44"/>
      <c r="C513" s="807" t="s">
        <v>2035</v>
      </c>
      <c r="M513" s="807" t="s">
        <v>3901</v>
      </c>
      <c r="R513" s="44"/>
    </row>
    <row r="514" spans="1:18" s="807" customFormat="1" ht="11.25">
      <c r="A514" s="44"/>
      <c r="B514" s="44"/>
      <c r="C514" s="807" t="s">
        <v>30</v>
      </c>
      <c r="M514" s="807" t="s">
        <v>3852</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6525</v>
      </c>
      <c r="B2" s="4397"/>
      <c r="C2" s="147"/>
      <c r="D2" s="795">
        <v>2021</v>
      </c>
      <c r="E2" s="144"/>
      <c r="F2" s="4391" t="s">
        <v>2999</v>
      </c>
      <c r="G2" s="4392"/>
      <c r="H2" s="4392"/>
      <c r="I2" s="4392"/>
      <c r="J2" s="4393"/>
      <c r="K2" s="234"/>
      <c r="L2" s="443" t="s">
        <v>3142</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3165</v>
      </c>
      <c r="L45" s="4423"/>
      <c r="M45" s="4423"/>
      <c r="N45" s="4424"/>
    </row>
    <row r="46" spans="1:295" s="28" customFormat="1" ht="11.25" customHeight="1">
      <c r="A46" s="4407"/>
      <c r="B46" s="4407"/>
      <c r="C46" s="4407"/>
      <c r="D46" s="4407"/>
      <c r="E46" s="4407"/>
      <c r="F46" s="1245"/>
      <c r="G46" s="4425" t="s">
        <v>333</v>
      </c>
      <c r="H46" s="4426"/>
      <c r="I46" s="66"/>
      <c r="J46" s="35"/>
      <c r="K46" s="4400" t="s">
        <v>3166</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3937</v>
      </c>
      <c r="Q47" s="4405"/>
    </row>
    <row r="48" spans="1:295" s="62" customFormat="1" ht="10.5" customHeight="1">
      <c r="D48" s="491" t="s">
        <v>2464</v>
      </c>
      <c r="E48" s="28"/>
      <c r="F48" s="492" t="s">
        <v>3067</v>
      </c>
      <c r="G48" s="4395" t="s">
        <v>3894</v>
      </c>
      <c r="H48" s="4395"/>
      <c r="I48" s="4395"/>
      <c r="J48" s="28"/>
      <c r="K48" s="492" t="s">
        <v>3067</v>
      </c>
      <c r="L48" s="4395" t="s">
        <v>3893</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12" t="str">
        <f>IF('Part I-Project Identification'!$F$26="","",VLOOKUP('Part I-Project Identification'!$J$26,'DCA Underwriting Assumptions'!$G$141:$N$300,8,FALSE))</f>
        <v>Augusta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364" t="s">
        <v>3938</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03">
        <f>'Part III-A-Uses of Funds'!$G$146</f>
        <v>40690569.425747097</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3929</v>
      </c>
      <c r="Q54" s="4364"/>
      <c r="R54" s="4394" t="s">
        <v>6301</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39182464.425747097</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368" t="s">
        <v>3366</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16"/>
      <c r="Q58" s="4417"/>
      <c r="R58" s="328"/>
      <c r="S58" s="4377" t="s">
        <v>3932</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398" t="s">
        <v>3161</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398" t="s">
        <v>3162</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f>IF('Part V-Revenues &amp; Expenses'!$K$154 =0,"",'Part V-Revenues &amp; Expenses'!$K$154)</f>
        <v>26</v>
      </c>
      <c r="L70" s="661">
        <f>G70*(1+'DCA Underwriting Assumptions'!$Q$12)</f>
        <v>149783.04000000001</v>
      </c>
      <c r="M70" s="33" t="str">
        <f>CONCATENATE("x ", K70," units = ")</f>
        <v xml:space="preserve">x 26 units = </v>
      </c>
      <c r="N70" s="1244">
        <f>IF(K70="","",K70*L70)</f>
        <v>3894359.04</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f>IF('Part V-Revenues &amp; Expenses'!$L$154 =0,"",'Part V-Revenues &amp; Expenses'!$L$154)</f>
        <v>177</v>
      </c>
      <c r="L71" s="661">
        <f>G71*(1+'DCA Underwriting Assumptions'!$Q$12)</f>
        <v>200959.16500000001</v>
      </c>
      <c r="M71" s="33" t="str">
        <f>CONCATENATE("x ", K71," units = ")</f>
        <v xml:space="preserve">x 177 units = </v>
      </c>
      <c r="N71" s="1244">
        <f>IF(K71="","",K71*L71)</f>
        <v>35569772.204999998</v>
      </c>
      <c r="O71" s="441"/>
      <c r="P71" s="4408">
        <f>IF(P58&gt;1,P58, IF(OR('Part VIII Scoring Criteria OLD'!$O$113='Part VIII Scoring Criteria OLD'!$M$113,AND('Part III-A-Uses of Funds'!$T$179="Yes",'Part VIII Scoring Criteria OLD'!$O$378&gt;0)),H77+M77,H77))</f>
        <v>0</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386" t="s">
        <v>3450</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203</v>
      </c>
      <c r="L75" s="873"/>
      <c r="M75" s="871"/>
      <c r="N75" s="874">
        <f>SUM(N70:N74)</f>
        <v>39464131.244999997</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0</v>
      </c>
      <c r="G77" s="258"/>
      <c r="H77" s="4396">
        <f>I54+I61+I68+I75</f>
        <v>0</v>
      </c>
      <c r="I77" s="4396"/>
      <c r="J77" s="4396"/>
      <c r="K77" s="486">
        <f>K54+K61+K68+K75</f>
        <v>203</v>
      </c>
      <c r="L77" s="487"/>
      <c r="M77" s="4396">
        <f>N54+N61+N68+N75</f>
        <v>39464131.244999997</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Bon Air, Augusta, Richmond County</v>
      </c>
      <c r="B1" s="3324"/>
      <c r="C1" s="3324"/>
      <c r="D1" s="3324"/>
      <c r="E1" s="3324"/>
      <c r="F1" s="3324"/>
      <c r="G1" s="3324"/>
      <c r="H1" s="3324"/>
      <c r="I1" s="3324"/>
      <c r="J1" s="3324"/>
      <c r="K1" s="3324"/>
      <c r="L1" s="3324"/>
      <c r="M1" s="3324"/>
      <c r="N1" s="3324"/>
      <c r="O1" s="3324"/>
      <c r="P1" s="3325"/>
      <c r="Q1" s="4428" t="s">
        <v>6646</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6660</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571" t="s">
        <v>6497</v>
      </c>
      <c r="G12" s="4571"/>
      <c r="H12" s="4571"/>
      <c r="I12" s="4571"/>
      <c r="J12" s="4571"/>
      <c r="K12" s="4571"/>
      <c r="L12" s="4571"/>
      <c r="M12" s="4571"/>
      <c r="N12" s="4571"/>
      <c r="O12" s="1201" t="s">
        <v>3811</v>
      </c>
      <c r="P12" s="1202">
        <f>SUM(P13:P31)</f>
        <v>0</v>
      </c>
      <c r="Q12" s="4427" t="s">
        <v>6546</v>
      </c>
      <c r="R12" s="4427"/>
      <c r="S12" s="4427"/>
      <c r="T12" s="4427"/>
      <c r="U12" s="4427"/>
      <c r="V12" s="1179"/>
    </row>
    <row r="13" spans="1:25" s="35" customFormat="1" ht="10.5" customHeight="1">
      <c r="A13" s="924" t="s">
        <v>1668</v>
      </c>
      <c r="B13" s="921" t="s">
        <v>3395</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4039</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3340</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3396</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3397</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4040</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4042</v>
      </c>
      <c r="B19" s="751" t="s">
        <v>3263</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4054</v>
      </c>
      <c r="B20" s="751" t="s">
        <v>4043</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6244</v>
      </c>
      <c r="B21" s="931" t="s">
        <v>4044</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6638</v>
      </c>
      <c r="B22" s="751" t="s">
        <v>6550</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6640</v>
      </c>
      <c r="B23" s="751" t="s">
        <v>6639</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3370</v>
      </c>
      <c r="B24" s="1887" t="s">
        <v>6556</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3374</v>
      </c>
      <c r="B25" s="751" t="s">
        <v>3398</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3377</v>
      </c>
      <c r="B26" s="751" t="s">
        <v>3399</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3378</v>
      </c>
      <c r="B27" s="751" t="s">
        <v>3400</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3804</v>
      </c>
      <c r="B30" s="751" t="s">
        <v>6554</v>
      </c>
      <c r="C30" s="866"/>
      <c r="D30" s="925"/>
      <c r="E30" s="1196">
        <f>$O$428</f>
        <v>0</v>
      </c>
      <c r="F30" s="4447">
        <f>$A$430</f>
        <v>0</v>
      </c>
      <c r="G30" s="4448"/>
      <c r="H30" s="4448"/>
      <c r="I30" s="4448"/>
      <c r="J30" s="4448"/>
      <c r="K30" s="4448"/>
      <c r="L30" s="4448"/>
      <c r="M30" s="4448"/>
      <c r="N30" s="4448"/>
      <c r="O30" s="4449"/>
      <c r="P30" s="1209"/>
      <c r="Q30" s="1964"/>
      <c r="R30" s="1628"/>
      <c r="S30" s="1628"/>
      <c r="AA30" s="3591" t="s">
        <v>6564</v>
      </c>
      <c r="AB30" s="3591"/>
      <c r="AC30" s="3591"/>
      <c r="AD30" s="3591"/>
      <c r="AE30" s="3591"/>
      <c r="AF30" s="3591"/>
    </row>
    <row r="31" spans="1:35" s="35" customFormat="1" ht="10.5" customHeight="1">
      <c r="A31" s="926" t="s">
        <v>6557</v>
      </c>
      <c r="B31" s="927" t="s">
        <v>6555</v>
      </c>
      <c r="C31" s="928"/>
      <c r="D31" s="929"/>
      <c r="E31" s="1624">
        <f>$O$434</f>
        <v>0</v>
      </c>
      <c r="F31" s="4462">
        <f>$A$438</f>
        <v>0</v>
      </c>
      <c r="G31" s="4463"/>
      <c r="H31" s="4463"/>
      <c r="I31" s="4463"/>
      <c r="J31" s="4463"/>
      <c r="K31" s="4463"/>
      <c r="L31" s="4463"/>
      <c r="M31" s="4463"/>
      <c r="N31" s="4463"/>
      <c r="O31" s="4464"/>
      <c r="P31" s="1210"/>
      <c r="Q31" s="1964"/>
      <c r="R31" s="1628"/>
      <c r="S31" s="1628"/>
      <c r="X31" s="3591" t="s">
        <v>6565</v>
      </c>
      <c r="Y31" s="3591"/>
      <c r="Z31" s="3591"/>
      <c r="AA31" s="3591"/>
      <c r="AB31" s="3591"/>
      <c r="AC31" s="3591"/>
      <c r="AD31" s="3591" t="s">
        <v>6566</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14" t="s">
        <v>6126</v>
      </c>
      <c r="H33" s="4514"/>
      <c r="I33" s="4508" t="s">
        <v>6507</v>
      </c>
      <c r="J33" s="4509"/>
      <c r="K33" s="4509"/>
      <c r="L33" s="4510"/>
      <c r="M33" s="4575" t="s">
        <v>6139</v>
      </c>
      <c r="N33" s="4575"/>
      <c r="O33" s="4575"/>
      <c r="P33" s="4575"/>
      <c r="Q33" s="436"/>
      <c r="R33" s="436"/>
      <c r="S33" s="83" t="s">
        <v>6138</v>
      </c>
      <c r="T33" s="436"/>
      <c r="U33" s="436"/>
      <c r="V33" s="436"/>
      <c r="X33" s="4494" t="s">
        <v>6126</v>
      </c>
      <c r="Y33" s="4496"/>
      <c r="Z33" s="4494" t="s">
        <v>6507</v>
      </c>
      <c r="AA33" s="4495"/>
      <c r="AB33" s="4495"/>
      <c r="AC33" s="4496"/>
      <c r="AD33" s="4503" t="s">
        <v>6126</v>
      </c>
      <c r="AE33" s="4504"/>
      <c r="AF33" s="4505" t="s">
        <v>6507</v>
      </c>
      <c r="AG33" s="4503"/>
      <c r="AH33" s="4503"/>
      <c r="AI33" s="4504"/>
    </row>
    <row r="34" spans="1:46" s="115" customFormat="1" ht="11.25" customHeight="1">
      <c r="A34" s="44"/>
      <c r="B34" s="29"/>
      <c r="C34" s="44"/>
      <c r="D34" s="44"/>
      <c r="E34" s="44"/>
      <c r="F34" s="44"/>
      <c r="G34" s="1723">
        <v>0.09</v>
      </c>
      <c r="H34" s="1723">
        <v>0.04</v>
      </c>
      <c r="I34" s="1723">
        <v>0.04</v>
      </c>
      <c r="J34" s="1723" t="s">
        <v>6547</v>
      </c>
      <c r="K34" s="1723" t="s">
        <v>6548</v>
      </c>
      <c r="L34" s="1723" t="s">
        <v>6549</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576" t="s">
        <v>6563</v>
      </c>
      <c r="N40" s="4577"/>
      <c r="O40" s="4577"/>
      <c r="P40" s="4577"/>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576"/>
      <c r="N41" s="4577"/>
      <c r="O41" s="4577"/>
      <c r="P41" s="4577"/>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203</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10" t="s">
        <v>6738</v>
      </c>
      <c r="N52" s="4711"/>
      <c r="O52" s="4711"/>
      <c r="P52" s="4711"/>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10"/>
      <c r="N53" s="4711"/>
      <c r="O53" s="4711"/>
      <c r="P53" s="4711"/>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12"/>
      <c r="N54" s="4713"/>
      <c r="O54" s="4713"/>
      <c r="P54" s="4713"/>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578" t="s">
        <v>6713</v>
      </c>
      <c r="N55" s="4579"/>
      <c r="O55" s="4579"/>
      <c r="P55" s="4580"/>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581"/>
      <c r="N56" s="4582"/>
      <c r="O56" s="4582"/>
      <c r="P56" s="4583"/>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576" t="s">
        <v>6141</v>
      </c>
      <c r="N58" s="4577"/>
      <c r="O58" s="4577"/>
      <c r="P58" s="4577"/>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08"/>
      <c r="N59" s="4709"/>
      <c r="O59" s="4709"/>
      <c r="P59" s="4709"/>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39" t="s">
        <v>6714</v>
      </c>
      <c r="N60" s="4440"/>
      <c r="O60" s="4440"/>
      <c r="P60" s="4441"/>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42"/>
      <c r="N61" s="4443"/>
      <c r="O61" s="4443"/>
      <c r="P61" s="4444"/>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3175</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91" t="s">
        <v>3896</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05" t="s">
        <v>6074</v>
      </c>
      <c r="B74" s="4405"/>
      <c r="C74" s="4405"/>
      <c r="D74" s="4405"/>
      <c r="E74" s="4405"/>
      <c r="F74" s="1176" t="s">
        <v>3392</v>
      </c>
      <c r="G74" s="4563" t="s">
        <v>6076</v>
      </c>
      <c r="H74" s="4563"/>
      <c r="I74" s="4563"/>
      <c r="J74" s="1176" t="s">
        <v>3392</v>
      </c>
      <c r="K74" s="4567" t="s">
        <v>6075</v>
      </c>
      <c r="L74" s="4567"/>
      <c r="M74" s="4567"/>
      <c r="N74" s="4567"/>
      <c r="O74" s="4561" t="s">
        <v>3392</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3810</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3145</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3146</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3147</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3148</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3813</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60</v>
      </c>
      <c r="L94" s="4654" t="str">
        <f>IF(AND(O94&gt;0,O95&gt;0), "CHOOSE EITHER A OR B, NOT BOTH!", "")</f>
        <v/>
      </c>
      <c r="M94" s="458">
        <v>2</v>
      </c>
      <c r="N94" s="150" t="s">
        <v>1844</v>
      </c>
      <c r="O94" s="406"/>
      <c r="P94" s="414"/>
      <c r="Q94" s="1212" t="str">
        <f>IF(OR($O94=$M94,$O94=0,$O94=""),"","*CHECK!*")</f>
        <v/>
      </c>
      <c r="R94" s="795" t="s">
        <v>4060</v>
      </c>
    </row>
    <row r="95" spans="1:19" s="70" customFormat="1" ht="13.5" customHeight="1">
      <c r="A95" s="396" t="s">
        <v>2984</v>
      </c>
      <c r="B95" s="1193" t="s">
        <v>1846</v>
      </c>
      <c r="C95" s="1183" t="s">
        <v>3816</v>
      </c>
      <c r="D95" s="29"/>
      <c r="I95" s="1182"/>
      <c r="K95" s="29"/>
      <c r="L95" s="4654"/>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5" t="s">
        <v>3817</v>
      </c>
      <c r="I97" s="4456"/>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202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2468</v>
      </c>
      <c r="I106" s="4475" t="s">
        <v>4045</v>
      </c>
      <c r="J106" s="4476"/>
      <c r="K106" s="4476"/>
      <c r="L106" s="4477"/>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478"/>
      <c r="J107" s="4479"/>
      <c r="K107" s="4479"/>
      <c r="L107" s="4480"/>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37" t="s">
        <v>3216</v>
      </c>
      <c r="G123" s="4537"/>
      <c r="H123" s="4537"/>
      <c r="I123" s="4537"/>
      <c r="J123" s="4537" t="s">
        <v>3217</v>
      </c>
      <c r="K123" s="4537"/>
      <c r="L123" s="4537"/>
      <c r="M123" s="4537"/>
      <c r="N123" s="48"/>
      <c r="O123" s="4538" t="s">
        <v>3886</v>
      </c>
      <c r="P123" s="4539"/>
      <c r="Q123" s="86"/>
      <c r="R123" s="879"/>
      <c r="S123" s="879"/>
      <c r="T123" s="879"/>
      <c r="U123" s="879"/>
    </row>
    <row r="124" spans="1:21" s="36" customFormat="1" ht="12" customHeight="1">
      <c r="B124" s="1839"/>
      <c r="C124" s="1182" t="s">
        <v>6572</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6148</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6681</v>
      </c>
      <c r="B126" s="4668"/>
      <c r="C126" s="1182" t="s">
        <v>6571</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3367</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536" t="s">
        <v>6679</v>
      </c>
      <c r="D133" s="4536"/>
      <c r="E133" s="4536"/>
      <c r="F133" s="4536"/>
      <c r="G133" s="4536"/>
      <c r="H133" s="4536"/>
      <c r="I133" s="4536"/>
      <c r="J133" s="4536"/>
      <c r="K133" s="4536"/>
      <c r="L133" s="4536"/>
      <c r="M133" s="1848">
        <v>6</v>
      </c>
      <c r="N133" s="374" t="s">
        <v>1844</v>
      </c>
      <c r="O133" s="1910"/>
      <c r="P133" s="1911"/>
      <c r="Q133" s="1212"/>
      <c r="R133" s="795" t="s">
        <v>4060</v>
      </c>
    </row>
    <row r="134" spans="1:21" s="332" customFormat="1" ht="12" customHeight="1">
      <c r="A134" s="456" t="s">
        <v>1275</v>
      </c>
      <c r="B134" s="350" t="s">
        <v>1846</v>
      </c>
      <c r="C134" s="3576" t="s">
        <v>6680</v>
      </c>
      <c r="D134" s="3576"/>
      <c r="E134" s="3576"/>
      <c r="F134" s="3576"/>
      <c r="G134" s="866"/>
      <c r="J134" s="4540" t="s">
        <v>6676</v>
      </c>
      <c r="K134" s="4541"/>
      <c r="L134" s="4542"/>
      <c r="M134" s="458">
        <v>5</v>
      </c>
      <c r="N134" s="348" t="s">
        <v>1846</v>
      </c>
      <c r="O134" s="1923"/>
      <c r="P134" s="1924"/>
      <c r="Q134" s="1810" t="s">
        <v>6672</v>
      </c>
      <c r="R134" s="1176" t="s">
        <v>6265</v>
      </c>
      <c r="S134" s="1176" t="s">
        <v>6146</v>
      </c>
    </row>
    <row r="135" spans="1:21" s="332" customFormat="1" ht="12" customHeight="1">
      <c r="B135" s="350"/>
      <c r="C135" s="3576"/>
      <c r="D135" s="3576"/>
      <c r="E135" s="3576"/>
      <c r="F135" s="3576"/>
      <c r="G135" s="866"/>
      <c r="H135" s="3368" t="s">
        <v>6674</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3240</v>
      </c>
      <c r="C138" s="503"/>
      <c r="D138" s="503"/>
      <c r="F138" s="1902" t="s">
        <v>6671</v>
      </c>
      <c r="J138" s="4465" t="s">
        <v>3237</v>
      </c>
      <c r="K138" s="4466"/>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76" t="s">
        <v>6686</v>
      </c>
      <c r="D139" s="3576"/>
      <c r="E139" s="3576"/>
      <c r="F139" s="3576"/>
      <c r="G139" s="866"/>
      <c r="H139" s="3368" t="s">
        <v>6675</v>
      </c>
      <c r="I139" s="3368"/>
      <c r="J139" s="4467" t="s">
        <v>6691</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6567</v>
      </c>
      <c r="K140" s="4691"/>
      <c r="L140" s="4692"/>
      <c r="M140" s="70"/>
      <c r="O140" s="4704"/>
      <c r="P140" s="4707"/>
      <c r="Q140" s="86"/>
      <c r="R140" s="1550">
        <v>1</v>
      </c>
      <c r="S140" s="1550">
        <v>1</v>
      </c>
      <c r="U140" s="332"/>
    </row>
    <row r="141" spans="1:21" s="36" customFormat="1" ht="11.25" customHeight="1">
      <c r="A141" s="456" t="s">
        <v>1275</v>
      </c>
      <c r="B141" s="1632" t="s">
        <v>1846</v>
      </c>
      <c r="C141" s="3576" t="s">
        <v>6678</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6677</v>
      </c>
      <c r="D143" s="3576"/>
      <c r="E143" s="3576"/>
      <c r="F143" s="3576"/>
      <c r="G143" s="3576"/>
      <c r="H143" s="3576"/>
      <c r="I143" s="4702"/>
      <c r="J143" s="4690" t="s">
        <v>6568</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687" t="s">
        <v>6891</v>
      </c>
      <c r="K154" s="4688"/>
      <c r="L154" s="4688"/>
      <c r="M154" s="4689"/>
      <c r="N154"/>
      <c r="O154"/>
      <c r="P154"/>
    </row>
    <row r="155" spans="1:19" ht="12.75" customHeight="1">
      <c r="B155" s="430"/>
      <c r="C155" s="430"/>
      <c r="D155" s="430"/>
      <c r="F155" s="4201" t="s">
        <v>6629</v>
      </c>
      <c r="G155" s="4201"/>
      <c r="H155" s="4201" t="s">
        <v>6271</v>
      </c>
      <c r="I155" s="4201"/>
      <c r="J155" s="4675" t="s">
        <v>6630</v>
      </c>
      <c r="K155" s="4676"/>
      <c r="L155" s="4678" t="s">
        <v>6890</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6631</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193" t="s">
        <v>6682</v>
      </c>
      <c r="D173" s="4193"/>
      <c r="E173" s="4193"/>
      <c r="F173" s="4193"/>
      <c r="G173" s="4193"/>
      <c r="H173" s="4193"/>
      <c r="I173" s="4193"/>
      <c r="J173" s="4193"/>
      <c r="K173" s="4193"/>
      <c r="L173" s="128"/>
      <c r="M173" s="4659" t="s">
        <v>6092</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3288</v>
      </c>
      <c r="N174" s="4652"/>
      <c r="O174" s="4652"/>
      <c r="P174" s="4653"/>
      <c r="S174" s="1628"/>
      <c r="T174" s="1628"/>
      <c r="U174" s="1628"/>
    </row>
    <row r="175" spans="1:26" s="26" customFormat="1" ht="12.75" customHeight="1">
      <c r="B175" s="49" t="s">
        <v>2241</v>
      </c>
      <c r="C175" s="29" t="s">
        <v>3958</v>
      </c>
      <c r="D175" s="29"/>
      <c r="E175" s="29"/>
      <c r="F175" s="29"/>
      <c r="G175" s="29"/>
      <c r="H175" s="29"/>
      <c r="L175" s="49" t="s">
        <v>2241</v>
      </c>
      <c r="M175" s="4467" t="s">
        <v>3288</v>
      </c>
      <c r="N175" s="4468"/>
      <c r="O175" s="4468"/>
      <c r="P175" s="4469"/>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67" t="s">
        <v>3288</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06" t="s">
        <v>3288</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c r="A180" s="396"/>
      <c r="B180" s="128" t="s">
        <v>2240</v>
      </c>
      <c r="C180" s="4193" t="s">
        <v>6180</v>
      </c>
      <c r="D180" s="4193"/>
      <c r="E180" s="4193"/>
      <c r="F180" s="4193"/>
      <c r="G180" s="4193"/>
      <c r="H180" s="4193"/>
      <c r="I180" s="4193"/>
      <c r="J180" s="4193"/>
      <c r="K180" s="4193"/>
      <c r="L180" s="4193"/>
      <c r="M180" s="1848">
        <v>1</v>
      </c>
      <c r="N180" s="128" t="s">
        <v>4078</v>
      </c>
      <c r="O180" s="1636"/>
      <c r="P180" s="1640"/>
      <c r="Q180" s="1212" t="str">
        <f>IF(OR($O180=$M180,$O180=0,$O180=""),"","*CHECK!*")</f>
        <v/>
      </c>
      <c r="R180" s="795" t="s">
        <v>4060</v>
      </c>
    </row>
    <row r="181" spans="1:26" ht="36.75" customHeight="1">
      <c r="A181" s="396"/>
      <c r="B181" s="117" t="s">
        <v>2241</v>
      </c>
      <c r="C181" s="4193" t="s">
        <v>6181</v>
      </c>
      <c r="D181" s="4193"/>
      <c r="E181" s="4193"/>
      <c r="F181" s="4193"/>
      <c r="G181" s="4193"/>
      <c r="H181" s="4193"/>
      <c r="I181" s="4193"/>
      <c r="J181" s="4193"/>
      <c r="K181" s="4193"/>
      <c r="L181" s="4193"/>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1844</v>
      </c>
      <c r="C194" s="4193" t="s">
        <v>6209</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6213</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3" customFormat="1" ht="23.25" customHeight="1">
      <c r="B198" s="350" t="s">
        <v>1844</v>
      </c>
      <c r="C198" s="4193" t="s">
        <v>6214</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6255</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30" t="s">
        <v>3205</v>
      </c>
      <c r="K208" s="4631"/>
      <c r="L208" s="4632"/>
      <c r="M208" s="4633"/>
      <c r="N208" s="53"/>
      <c r="R208" s="86"/>
      <c r="S208" s="70"/>
    </row>
    <row r="209" spans="1:27" ht="12.75" customHeight="1">
      <c r="C209" s="685" t="s">
        <v>6257</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35" t="s">
        <v>6220</v>
      </c>
      <c r="F212" s="4435"/>
      <c r="G212" s="4435"/>
      <c r="H212" s="4435"/>
      <c r="I212" s="1203" t="s">
        <v>6247</v>
      </c>
      <c r="J212" s="4435" t="s">
        <v>6220</v>
      </c>
      <c r="K212" s="4435"/>
      <c r="L212" s="4435"/>
      <c r="M212" s="4435"/>
      <c r="N212"/>
      <c r="O212"/>
      <c r="P212"/>
    </row>
    <row r="213" spans="1:27" ht="13.5" customHeight="1">
      <c r="B213" s="400"/>
      <c r="C213" s="29" t="s">
        <v>6218</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6219</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6216</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6217</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3153</v>
      </c>
      <c r="H226" s="1191">
        <f>IF('Part V-Revenues &amp; Expenses'!$P$67=0,0,'Part V-Revenues &amp; Expenses'!$P$64/'Part V-Revenues &amp; Expenses'!$P$67)</f>
        <v>0</v>
      </c>
      <c r="J226" s="370" t="s">
        <v>3961</v>
      </c>
      <c r="K226" s="4595" t="str">
        <f>'Part V-Revenues &amp; Expenses'!$O$53</f>
        <v>40% of Units at 60% of AMI</v>
      </c>
      <c r="L226" s="4596"/>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89"/>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1.2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60"/>
      <c r="J244" s="4460"/>
      <c r="L244" s="1662" t="s">
        <v>6261</v>
      </c>
      <c r="M244" s="4461"/>
      <c r="N244" s="4461"/>
    </row>
    <row r="245" spans="1:27" s="32" customFormat="1" ht="11.25" customHeight="1">
      <c r="A245" s="306"/>
      <c r="B245" s="350" t="s">
        <v>1846</v>
      </c>
      <c r="C245" s="29" t="s">
        <v>6260</v>
      </c>
      <c r="E245" s="33" t="s">
        <v>3311</v>
      </c>
      <c r="G245" s="1644"/>
      <c r="H245" s="48" t="s">
        <v>574</v>
      </c>
      <c r="I245" s="4590"/>
      <c r="J245" s="4590"/>
      <c r="L245" s="1662" t="s">
        <v>6261</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6617</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6618</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6232</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6693</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6695</v>
      </c>
      <c r="G289" s="147"/>
      <c r="I289" s="4645" t="s">
        <v>6696</v>
      </c>
      <c r="J289" s="4646"/>
      <c r="K289" s="4647"/>
      <c r="L289" s="4648"/>
      <c r="M289" s="456"/>
      <c r="O289" s="4649" t="s">
        <v>3150</v>
      </c>
      <c r="P289" s="4649" t="s">
        <v>3151</v>
      </c>
      <c r="Q289" s="86"/>
      <c r="R289" s="1630"/>
      <c r="S289" s="1630"/>
      <c r="T289" s="1630"/>
      <c r="U289" s="1630"/>
      <c r="V289" s="1630"/>
      <c r="W289" s="36"/>
      <c r="X289" s="36"/>
    </row>
    <row r="290" spans="1:24" s="36" customFormat="1" ht="11.25" customHeight="1">
      <c r="A290" s="120"/>
      <c r="B290" s="29" t="s">
        <v>6583</v>
      </c>
      <c r="D290" s="34"/>
      <c r="H290" s="141"/>
      <c r="M290" s="119"/>
      <c r="N290" s="48"/>
      <c r="O290" s="4650"/>
      <c r="P290" s="4650"/>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6589</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6590</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6592</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6593</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6596</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2459</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3154</v>
      </c>
      <c r="D335" s="67"/>
      <c r="E335" s="67"/>
      <c r="G335" s="29"/>
      <c r="I335" s="3549" t="s">
        <v>6061</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3276</v>
      </c>
      <c r="L345" s="4588"/>
      <c r="M345" s="4588"/>
      <c r="N345" s="49" t="s">
        <v>2241</v>
      </c>
      <c r="O345" s="299"/>
      <c r="P345" s="420"/>
      <c r="R345" s="4584"/>
      <c r="S345" s="4584"/>
    </row>
    <row r="346" spans="1:20" s="79" customFormat="1" ht="12.75" customHeight="1">
      <c r="B346" s="49" t="s">
        <v>2242</v>
      </c>
      <c r="C346" s="29" t="s">
        <v>3275</v>
      </c>
      <c r="L346" s="4588"/>
      <c r="M346" s="4588"/>
      <c r="N346" s="49" t="s">
        <v>2242</v>
      </c>
      <c r="O346" s="299"/>
      <c r="P346" s="420"/>
      <c r="R346" s="4584"/>
      <c r="S346" s="4584"/>
    </row>
    <row r="347" spans="1:20" s="79" customFormat="1" ht="33.75" customHeight="1">
      <c r="B347" s="117" t="s">
        <v>2243</v>
      </c>
      <c r="C347" s="4193" t="s">
        <v>6598</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6600</v>
      </c>
      <c r="C352" s="29" t="s">
        <v>1388</v>
      </c>
      <c r="I352" s="49" t="s">
        <v>2240</v>
      </c>
      <c r="J352" s="4523"/>
      <c r="K352" s="4524"/>
      <c r="L352" s="49" t="s">
        <v>2240</v>
      </c>
      <c r="M352" s="4627"/>
      <c r="N352" s="4628"/>
      <c r="O352" s="4628"/>
      <c r="P352" s="4629"/>
      <c r="R352" s="307"/>
    </row>
    <row r="353" spans="1:18" ht="12.75" customHeight="1">
      <c r="A353" s="152"/>
      <c r="B353" s="117" t="s">
        <v>2241</v>
      </c>
      <c r="C353" s="29" t="s">
        <v>3156</v>
      </c>
      <c r="I353" s="117" t="s">
        <v>2241</v>
      </c>
      <c r="J353" s="4528"/>
      <c r="K353" s="4529"/>
      <c r="L353" s="117" t="s">
        <v>2241</v>
      </c>
      <c r="M353" s="4530"/>
      <c r="N353" s="4531"/>
      <c r="O353" s="4531"/>
      <c r="P353" s="4532"/>
      <c r="R353" s="307"/>
    </row>
    <row r="354" spans="1:18" ht="12.75" customHeight="1">
      <c r="B354" s="49" t="s">
        <v>2242</v>
      </c>
      <c r="C354" s="29" t="s">
        <v>3955</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6234</v>
      </c>
      <c r="I358" s="49" t="s">
        <v>2261</v>
      </c>
      <c r="J358" s="4528"/>
      <c r="K358" s="4529"/>
      <c r="L358" s="49" t="s">
        <v>2261</v>
      </c>
      <c r="M358" s="1601"/>
      <c r="N358" s="1602"/>
      <c r="O358" s="1602"/>
      <c r="P358" s="1603"/>
      <c r="R358" s="307"/>
    </row>
    <row r="359" spans="1:18" ht="12.75" customHeight="1">
      <c r="A359" s="152"/>
      <c r="B359" s="48" t="s">
        <v>2262</v>
      </c>
      <c r="C359" s="29" t="s">
        <v>3155</v>
      </c>
      <c r="I359" s="48" t="s">
        <v>2262</v>
      </c>
      <c r="J359" s="4528"/>
      <c r="K359" s="4529"/>
      <c r="L359" s="48" t="s">
        <v>2262</v>
      </c>
      <c r="M359" s="4530"/>
      <c r="N359" s="4531"/>
      <c r="O359" s="4531"/>
      <c r="P359" s="4532"/>
      <c r="R359" s="307"/>
    </row>
    <row r="360" spans="1:18" ht="12.75" customHeight="1">
      <c r="B360" s="48" t="s">
        <v>2263</v>
      </c>
      <c r="C360" s="29" t="s">
        <v>6601</v>
      </c>
      <c r="I360" s="48" t="s">
        <v>2263</v>
      </c>
      <c r="J360" s="4528"/>
      <c r="K360" s="4529"/>
      <c r="L360" s="48" t="s">
        <v>2263</v>
      </c>
      <c r="M360" s="4530"/>
      <c r="N360" s="4531"/>
      <c r="O360" s="4531"/>
      <c r="P360" s="4532"/>
      <c r="R360" s="307"/>
    </row>
    <row r="361" spans="1:18" ht="12.75" customHeight="1">
      <c r="B361" s="48" t="s">
        <v>3157</v>
      </c>
      <c r="C361" s="29" t="s">
        <v>3827</v>
      </c>
      <c r="I361" s="48" t="s">
        <v>3157</v>
      </c>
      <c r="J361" s="4528"/>
      <c r="K361" s="4529"/>
      <c r="L361" s="48" t="s">
        <v>3157</v>
      </c>
      <c r="M361" s="4530"/>
      <c r="N361" s="4531"/>
      <c r="O361" s="4531"/>
      <c r="P361" s="4532"/>
      <c r="R361" s="307"/>
    </row>
    <row r="362" spans="1:18" ht="12.75" customHeight="1" thickBot="1">
      <c r="B362" s="48" t="s">
        <v>6235</v>
      </c>
      <c r="C362" s="29" t="s">
        <v>6236</v>
      </c>
      <c r="I362" s="48" t="s">
        <v>6235</v>
      </c>
      <c r="J362" s="4528"/>
      <c r="K362" s="4529"/>
      <c r="L362" s="48" t="s">
        <v>6235</v>
      </c>
      <c r="M362" s="4618"/>
      <c r="N362" s="4619"/>
      <c r="O362" s="4619"/>
      <c r="P362" s="4620"/>
      <c r="R362" s="307"/>
    </row>
    <row r="363" spans="1:18" ht="12.75" customHeight="1" thickBot="1">
      <c r="B363" s="919" t="s">
        <v>6602</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37">
        <f>'Part V-Revenues &amp; Expenses'!$P$67</f>
        <v>203</v>
      </c>
      <c r="K365" s="4638"/>
      <c r="L365" s="430"/>
      <c r="M365" s="393"/>
      <c r="N365" s="393"/>
      <c r="O365" s="881"/>
      <c r="P365" s="393"/>
    </row>
    <row r="366" spans="1:18" ht="13.5" customHeight="1">
      <c r="C366" s="230"/>
      <c r="D366" s="230"/>
      <c r="E366" s="230"/>
      <c r="F366" s="349" t="s">
        <v>6238</v>
      </c>
      <c r="J366" s="4635">
        <f>IF(J365=0,0,J363/J365)</f>
        <v>0</v>
      </c>
      <c r="K366" s="4636"/>
      <c r="M366" s="4525">
        <f>IF($J365=0,0,$M363/$J365)</f>
        <v>0</v>
      </c>
      <c r="N366" s="4526"/>
      <c r="O366" s="4526"/>
      <c r="P366" s="4527"/>
    </row>
    <row r="367" spans="1:18" s="36" customFormat="1" ht="12.75" customHeight="1">
      <c r="C367" s="230"/>
      <c r="D367" s="230"/>
      <c r="E367" s="230"/>
      <c r="F367" s="44" t="s">
        <v>6239</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193" t="s">
        <v>6603</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2469</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3887</v>
      </c>
      <c r="E380" s="3550"/>
      <c r="F380" s="3550"/>
      <c r="G380" s="3550"/>
      <c r="H380" s="3550"/>
      <c r="I380" s="3551"/>
      <c r="J380" s="108" t="s">
        <v>2519</v>
      </c>
      <c r="L380" s="410">
        <f>'Part II-Sources of Funds'!$I$53</f>
        <v>2143097.7341174567</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15" t="s">
        <v>6604</v>
      </c>
      <c r="C383" s="4215"/>
      <c r="D383" s="4215"/>
      <c r="E383" s="4215"/>
      <c r="F383" s="4215"/>
      <c r="G383" s="4215"/>
      <c r="H383" s="4215"/>
      <c r="I383" s="4215"/>
      <c r="J383" s="4215"/>
      <c r="K383" s="4215"/>
      <c r="L383" s="4215"/>
      <c r="M383" s="4617" t="s">
        <v>3888</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203</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203</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1</v>
      </c>
      <c r="P386" s="4616"/>
      <c r="Q386" s="147"/>
    </row>
    <row r="387" spans="1:19" s="36" customFormat="1" ht="105.75" customHeight="1">
      <c r="A387" s="411"/>
      <c r="B387" s="4244" t="s">
        <v>3416</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2517</v>
      </c>
      <c r="J391" s="410">
        <f>'Part V-Revenues &amp; Expenses'!$P$67</f>
        <v>203</v>
      </c>
      <c r="K391" s="1846" t="s">
        <v>2518</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2459</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2459</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6746</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6700</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3253</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3030</v>
      </c>
      <c r="K475" s="68"/>
      <c r="L475" s="503"/>
      <c r="M475" s="68"/>
      <c r="N475" s="882"/>
      <c r="O475" s="2407">
        <v>1</v>
      </c>
      <c r="P475" s="2407"/>
      <c r="Q475" s="68"/>
    </row>
    <row r="476" spans="1:17" s="115" customFormat="1">
      <c r="C476" s="503"/>
      <c r="D476" s="68"/>
      <c r="E476" s="68"/>
      <c r="F476" s="68"/>
      <c r="G476" s="1508" t="s">
        <v>1909</v>
      </c>
      <c r="H476" s="882" t="s">
        <v>4068</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4068</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4068</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4067</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2514</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2453</v>
      </c>
      <c r="J487" s="68" t="s">
        <v>3329</v>
      </c>
      <c r="K487" s="68"/>
      <c r="L487" s="503"/>
      <c r="M487" s="68"/>
      <c r="N487" s="882"/>
      <c r="O487" s="2407"/>
      <c r="P487" s="2407"/>
      <c r="Q487" s="68"/>
    </row>
    <row r="488" spans="1:17" s="115" customFormat="1">
      <c r="C488" s="503"/>
      <c r="D488" s="68"/>
      <c r="E488" s="68"/>
      <c r="F488" s="68"/>
      <c r="G488" s="1508" t="s">
        <v>3019</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2453</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2453</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2453</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2453</v>
      </c>
      <c r="J501" s="68"/>
      <c r="K501" s="68"/>
      <c r="L501" s="503"/>
      <c r="M501" s="68"/>
      <c r="N501" s="882"/>
      <c r="O501" s="2407"/>
      <c r="P501" s="2407"/>
      <c r="Q501" s="68"/>
    </row>
    <row r="502" spans="3:17" s="115" customFormat="1">
      <c r="C502" s="697"/>
      <c r="D502" s="68"/>
      <c r="E502" s="68"/>
      <c r="F502" s="68"/>
      <c r="G502" s="1508" t="s">
        <v>1749</v>
      </c>
      <c r="H502" s="882" t="s">
        <v>4068</v>
      </c>
      <c r="I502" s="1848" t="s">
        <v>2453</v>
      </c>
      <c r="J502" s="68"/>
      <c r="K502" s="68"/>
      <c r="L502" s="503"/>
      <c r="M502" s="68"/>
      <c r="N502" s="882"/>
      <c r="O502" s="2407"/>
      <c r="P502" s="2407"/>
      <c r="Q502" s="68"/>
    </row>
    <row r="503" spans="3:17" s="115" customFormat="1">
      <c r="C503" s="697"/>
      <c r="D503" s="68"/>
      <c r="E503" s="68"/>
      <c r="F503" s="68"/>
      <c r="G503" s="1508" t="s">
        <v>472</v>
      </c>
      <c r="H503" s="882" t="s">
        <v>4068</v>
      </c>
      <c r="I503" s="1848" t="s">
        <v>2453</v>
      </c>
      <c r="J503" s="68"/>
      <c r="K503" s="68"/>
      <c r="L503" s="503"/>
      <c r="M503" s="68"/>
      <c r="N503" s="882"/>
      <c r="O503" s="2407"/>
      <c r="P503" s="2407"/>
      <c r="Q503" s="68"/>
    </row>
    <row r="504" spans="3:17" s="115" customFormat="1">
      <c r="C504" s="697"/>
      <c r="D504" s="68"/>
      <c r="E504" s="68"/>
      <c r="F504" s="68"/>
      <c r="G504" s="1508" t="s">
        <v>1951</v>
      </c>
      <c r="H504" s="882" t="s">
        <v>4068</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Bon Air</v>
      </c>
      <c r="B2" s="4726"/>
      <c r="C2" s="4726"/>
      <c r="D2" s="4726"/>
      <c r="E2" s="4726"/>
      <c r="F2" s="4726"/>
      <c r="G2" s="4726"/>
      <c r="H2" s="4726"/>
      <c r="I2" s="4726"/>
      <c r="J2" s="4726"/>
    </row>
    <row r="3" spans="1:16" ht="15.75">
      <c r="A3" s="4726" t="str">
        <f>'Subsidy Layering Memo'!F14</f>
        <v>Augusta, Richmond</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30"/>
      <c r="N7" s="4730"/>
      <c r="O7" s="4730"/>
      <c r="P7" s="4730"/>
    </row>
    <row r="8" spans="1:16" ht="57" customHeight="1">
      <c r="A8" s="4731" t="s">
        <v>6153</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203 units set aside for &lt;&lt; Select PROPOSED Tenancy &gt;&gt;.</v>
      </c>
      <c r="B9" s="4731"/>
      <c r="C9" s="4731"/>
      <c r="D9" s="4731"/>
      <c r="E9" s="4731"/>
      <c r="F9" s="4731"/>
      <c r="G9" s="4731"/>
      <c r="H9" s="4731"/>
      <c r="I9" s="4731"/>
      <c r="J9" s="4731"/>
      <c r="K9" s="508"/>
    </row>
    <row r="10" spans="1:16" ht="15.75">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2585</v>
      </c>
      <c r="B14" s="510"/>
    </row>
    <row r="15" spans="1:16">
      <c r="A15" s="507" t="s">
        <v>2586</v>
      </c>
      <c r="D15" s="1020" t="s">
        <v>2587</v>
      </c>
    </row>
    <row r="16" spans="1:16">
      <c r="A16" s="507" t="s">
        <v>2588</v>
      </c>
      <c r="D16" s="1254">
        <f>'Sensitivity Analysis'!C25</f>
        <v>19060000</v>
      </c>
    </row>
    <row r="17" spans="1:11">
      <c r="A17" s="511" t="s">
        <v>2589</v>
      </c>
      <c r="D17" s="1255">
        <f>'Sensitivity Analysis'!C13</f>
        <v>203</v>
      </c>
    </row>
    <row r="18" spans="1:11" ht="14.25" customHeight="1"/>
    <row r="19" spans="1:11" ht="15.75">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9170582.85 via the syndication of the 2021 Federal LIHTC allocation of 1105000 per annum. will make a capital contribution totaling 8065693.36588254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1.56 (0.83 Federal tax credit and 0.73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6154</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J19" sqref="J19:L19"/>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31" t="str">
        <f>CONCATENATE("PART ONE - PROJECT INFORMATION"," - ",$O$7," ",$F$25,", ",'Part I-Project Identification'!F26,", ",'Part I-Project Identification'!J26," County")</f>
        <v>PART ONE - PROJECT INFORMATION - 2023-0 Bon Air, Augusta, Richmond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6747</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3825</v>
      </c>
      <c r="L6" s="375"/>
      <c r="P6" s="1788" t="s">
        <v>3291</v>
      </c>
      <c r="Z6" s="1706">
        <v>6</v>
      </c>
    </row>
    <row r="7" spans="1:26" s="144" customFormat="1" ht="12" customHeight="1" thickBot="1">
      <c r="A7" s="3046"/>
      <c r="B7" s="3046"/>
      <c r="C7" s="3046"/>
      <c r="D7" s="3046"/>
      <c r="E7" s="999"/>
      <c r="F7" s="244"/>
      <c r="G7" s="224" t="s">
        <v>6085</v>
      </c>
      <c r="H7" s="248"/>
      <c r="I7" s="248"/>
      <c r="J7" s="248"/>
      <c r="O7" s="3034" t="s">
        <v>6912</v>
      </c>
      <c r="P7" s="3035"/>
      <c r="Q7" s="3048" t="s">
        <v>6636</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3268</v>
      </c>
      <c r="I10" s="3036">
        <f>'Part III-A-Uses of Funds'!$J$191</f>
        <v>1105000</v>
      </c>
      <c r="J10" s="3037"/>
      <c r="L10" s="144" t="s">
        <v>3269</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7036</v>
      </c>
      <c r="G12" s="3041"/>
      <c r="H12" s="3042"/>
      <c r="I12" s="1789" t="s">
        <v>6519</v>
      </c>
      <c r="J12" s="393" t="s">
        <v>6944</v>
      </c>
      <c r="K12" s="243"/>
      <c r="L12" s="248"/>
      <c r="O12" s="3043" t="s">
        <v>7099</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3674</v>
      </c>
      <c r="D14" s="246"/>
      <c r="E14" s="245"/>
      <c r="G14" s="245"/>
      <c r="H14" s="245"/>
      <c r="I14" s="751" t="s">
        <v>3296</v>
      </c>
      <c r="L14" s="247"/>
      <c r="Q14" s="3050"/>
      <c r="R14" s="3051"/>
      <c r="S14" s="3052"/>
      <c r="Z14" s="1706">
        <v>14</v>
      </c>
    </row>
    <row r="15" spans="1:26" s="144" customFormat="1">
      <c r="B15" s="144" t="s">
        <v>3297</v>
      </c>
      <c r="F15" s="3016" t="s">
        <v>7037</v>
      </c>
      <c r="G15" s="3017"/>
      <c r="H15" s="3018"/>
      <c r="I15" s="2444" t="s">
        <v>1670</v>
      </c>
      <c r="J15" s="3019" t="s">
        <v>7038</v>
      </c>
      <c r="K15" s="3020"/>
      <c r="L15" s="3021"/>
      <c r="M15" s="1898" t="s">
        <v>1839</v>
      </c>
      <c r="N15" s="3016" t="s">
        <v>7039</v>
      </c>
      <c r="O15" s="3017"/>
      <c r="P15" s="3018"/>
      <c r="Q15" s="3050"/>
      <c r="R15" s="3051"/>
      <c r="S15" s="3052"/>
      <c r="Z15" s="1706">
        <v>15</v>
      </c>
    </row>
    <row r="16" spans="1:26" s="144" customFormat="1" ht="12.75" customHeight="1">
      <c r="B16" s="246" t="s">
        <v>1599</v>
      </c>
      <c r="F16" s="3013">
        <v>2066882087</v>
      </c>
      <c r="G16" s="3014"/>
      <c r="H16" s="3015"/>
      <c r="I16" s="2445" t="s">
        <v>1598</v>
      </c>
      <c r="J16" s="823"/>
      <c r="M16" s="246" t="s">
        <v>1600</v>
      </c>
      <c r="N16" s="3013">
        <v>2066882087</v>
      </c>
      <c r="O16" s="3014"/>
      <c r="P16" s="3015"/>
      <c r="Q16" s="3050"/>
      <c r="R16" s="3051"/>
      <c r="S16" s="3052"/>
      <c r="V16" s="751"/>
      <c r="W16" s="751"/>
      <c r="X16" s="751"/>
      <c r="Z16" s="1706">
        <v>18</v>
      </c>
    </row>
    <row r="17" spans="1:26" s="144" customFormat="1">
      <c r="B17" s="246" t="s">
        <v>1842</v>
      </c>
      <c r="F17" s="3022" t="s">
        <v>7100</v>
      </c>
      <c r="G17" s="3023"/>
      <c r="H17" s="3023"/>
      <c r="I17" s="3020"/>
      <c r="J17" s="3023"/>
      <c r="K17" s="3020"/>
      <c r="L17" s="3021"/>
      <c r="M17" s="246" t="s">
        <v>1838</v>
      </c>
      <c r="N17" s="3024">
        <v>2066882087</v>
      </c>
      <c r="O17" s="3025"/>
      <c r="P17" s="3026"/>
      <c r="Q17" s="3050"/>
      <c r="R17" s="3051"/>
      <c r="S17" s="3052"/>
      <c r="U17" s="751"/>
      <c r="V17" s="751"/>
      <c r="W17" s="751"/>
      <c r="X17" s="751"/>
      <c r="Z17" s="1706">
        <v>19</v>
      </c>
    </row>
    <row r="18" spans="1:26" s="144" customFormat="1">
      <c r="A18" s="375"/>
      <c r="B18" s="243" t="s">
        <v>3673</v>
      </c>
      <c r="C18" s="145"/>
      <c r="H18" s="248"/>
      <c r="J18" s="145"/>
      <c r="P18" s="248"/>
      <c r="Q18" s="3050"/>
      <c r="R18" s="3051"/>
      <c r="S18" s="3052"/>
      <c r="Z18" s="1706">
        <v>20</v>
      </c>
    </row>
    <row r="19" spans="1:26" s="144" customFormat="1">
      <c r="B19" s="144" t="s">
        <v>3297</v>
      </c>
      <c r="F19" s="3016" t="s">
        <v>7037</v>
      </c>
      <c r="G19" s="3017"/>
      <c r="H19" s="3018"/>
      <c r="I19" s="2444" t="s">
        <v>1670</v>
      </c>
      <c r="J19" s="3019" t="s">
        <v>7040</v>
      </c>
      <c r="K19" s="3020"/>
      <c r="L19" s="3021"/>
      <c r="M19" s="1898" t="s">
        <v>1839</v>
      </c>
      <c r="N19" s="3016" t="s">
        <v>7041</v>
      </c>
      <c r="O19" s="3017"/>
      <c r="P19" s="3018"/>
      <c r="Q19" s="3050"/>
      <c r="R19" s="3051"/>
      <c r="S19" s="3052"/>
      <c r="Z19" s="1706">
        <v>21</v>
      </c>
    </row>
    <row r="20" spans="1:26" s="144" customFormat="1">
      <c r="B20" s="246" t="s">
        <v>1599</v>
      </c>
      <c r="F20" s="3013">
        <v>2066492939</v>
      </c>
      <c r="G20" s="3014"/>
      <c r="H20" s="3015"/>
      <c r="I20" s="2445" t="s">
        <v>1598</v>
      </c>
      <c r="J20" s="823"/>
      <c r="M20" s="246" t="s">
        <v>1600</v>
      </c>
      <c r="N20" s="3013">
        <v>2066492939</v>
      </c>
      <c r="O20" s="3014"/>
      <c r="P20" s="3015"/>
      <c r="Q20" s="3050"/>
      <c r="R20" s="3051"/>
      <c r="S20" s="3052"/>
      <c r="U20" s="230"/>
      <c r="V20" s="230"/>
      <c r="W20" s="230"/>
      <c r="X20" s="230"/>
      <c r="Z20" s="1706">
        <v>24</v>
      </c>
    </row>
    <row r="21" spans="1:26" s="144" customFormat="1">
      <c r="B21" s="246" t="s">
        <v>1842</v>
      </c>
      <c r="F21" s="3022" t="s">
        <v>7101</v>
      </c>
      <c r="G21" s="3023"/>
      <c r="H21" s="3023"/>
      <c r="I21" s="3020"/>
      <c r="J21" s="3023"/>
      <c r="K21" s="3020"/>
      <c r="L21" s="3021"/>
      <c r="M21" s="246" t="s">
        <v>1838</v>
      </c>
      <c r="N21" s="3024">
        <v>2066492939</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7042</v>
      </c>
      <c r="G25" s="3027"/>
      <c r="H25" s="3027"/>
      <c r="I25" s="3020"/>
      <c r="J25" s="3027"/>
      <c r="K25" s="3028"/>
      <c r="M25" s="246" t="s">
        <v>425</v>
      </c>
      <c r="P25" s="1899" t="s">
        <v>2652</v>
      </c>
      <c r="Q25" s="3050"/>
      <c r="R25" s="3051"/>
      <c r="S25" s="3052"/>
      <c r="Z25" s="1706">
        <v>29</v>
      </c>
    </row>
    <row r="26" spans="1:26" s="144" customFormat="1">
      <c r="A26" s="375"/>
      <c r="B26" s="144" t="s">
        <v>575</v>
      </c>
      <c r="F26" s="3058" t="s">
        <v>1252</v>
      </c>
      <c r="G26" s="3071"/>
      <c r="H26" s="3072"/>
      <c r="I26" s="257" t="s">
        <v>576</v>
      </c>
      <c r="J26" s="3029" t="str">
        <f>IF(F26="","",VLOOKUP(F26,'DCA Underwriting Assumptions'!$T$141:$U$770,2,FALSE))</f>
        <v>Richmond</v>
      </c>
      <c r="K26" s="3030"/>
      <c r="M26" s="246" t="s">
        <v>426</v>
      </c>
      <c r="P26" s="1956" t="s">
        <v>2652</v>
      </c>
      <c r="Q26" s="3050"/>
      <c r="R26" s="3051"/>
      <c r="S26" s="3052"/>
      <c r="U26" s="375"/>
      <c r="Z26" s="1706">
        <v>30</v>
      </c>
    </row>
    <row r="27" spans="1:26" s="144" customFormat="1" ht="13.5">
      <c r="A27" s="375"/>
      <c r="B27" s="144" t="s">
        <v>3908</v>
      </c>
      <c r="C27" s="251"/>
      <c r="D27" s="252"/>
      <c r="E27" s="252"/>
      <c r="F27" s="3058" t="s">
        <v>7043</v>
      </c>
      <c r="G27" s="3059"/>
      <c r="H27" s="3060"/>
      <c r="I27" s="248"/>
      <c r="J27" s="392" t="s">
        <v>6725</v>
      </c>
      <c r="K27" s="248"/>
      <c r="M27" s="246" t="s">
        <v>6668</v>
      </c>
      <c r="O27" s="3011">
        <v>9.26</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Augusta-Richmond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6655</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6654</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3934</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Bon Air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7"/>
      <c r="J7" s="4737"/>
      <c r="K7" s="4737"/>
      <c r="L7" s="567"/>
      <c r="M7" s="507"/>
    </row>
    <row r="8" spans="1:14" ht="15.75">
      <c r="A8" s="576" t="s">
        <v>2647</v>
      </c>
      <c r="B8" s="576"/>
      <c r="C8" s="4737" t="str">
        <f>'Part I-Project Identification'!$F$25</f>
        <v>Bon Air</v>
      </c>
      <c r="D8" s="4737"/>
      <c r="E8" s="1978" t="str">
        <f>'Part I-Project Identification'!$O$7</f>
        <v>2023-0</v>
      </c>
      <c r="F8" s="576" t="s">
        <v>2648</v>
      </c>
      <c r="G8" s="567"/>
      <c r="H8" s="4737" t="str">
        <f>CONCATENATE('Part I-Project Identification'!$F$26,", ",'Part I-Project Identification'!$J$26)</f>
        <v>Augusta, Richmond</v>
      </c>
      <c r="I8" s="4737"/>
      <c r="J8" s="4737"/>
      <c r="K8" s="4737"/>
      <c r="L8" s="567"/>
      <c r="M8" s="545"/>
    </row>
    <row r="9" spans="1:14" ht="15.75">
      <c r="A9" s="576" t="s">
        <v>2650</v>
      </c>
      <c r="B9" s="576"/>
      <c r="C9" s="4737" t="s">
        <v>1646</v>
      </c>
      <c r="D9" s="4737"/>
      <c r="E9" s="567"/>
      <c r="F9" s="576" t="s">
        <v>2651</v>
      </c>
      <c r="G9" s="567"/>
      <c r="H9" s="4738"/>
      <c r="I9" s="4738"/>
      <c r="J9" s="4738"/>
      <c r="K9" s="4738"/>
      <c r="L9" s="4738"/>
      <c r="M9" s="545"/>
    </row>
    <row r="10" spans="1:14" ht="15.75">
      <c r="A10" s="576" t="s">
        <v>2653</v>
      </c>
      <c r="B10" s="567"/>
      <c r="C10" s="4739"/>
      <c r="D10" s="4739"/>
      <c r="E10" s="567"/>
      <c r="F10" s="576" t="s">
        <v>3132</v>
      </c>
      <c r="G10" s="567"/>
      <c r="H10" s="4736"/>
      <c r="I10" s="4736"/>
      <c r="J10" s="4736"/>
      <c r="K10" s="4736"/>
      <c r="L10" s="4736"/>
    </row>
    <row r="11" spans="1:14" ht="15.75">
      <c r="A11" s="576" t="s">
        <v>2654</v>
      </c>
      <c r="B11" s="567"/>
      <c r="C11" s="4740"/>
      <c r="D11" s="4740"/>
      <c r="E11" s="1992"/>
      <c r="F11" s="576" t="s">
        <v>606</v>
      </c>
      <c r="G11" s="567"/>
      <c r="H11" s="4736"/>
      <c r="I11" s="4736"/>
      <c r="J11" s="4736"/>
      <c r="K11" s="4736"/>
      <c r="L11" s="4736"/>
      <c r="M11" s="4741"/>
      <c r="N11" s="4742"/>
    </row>
    <row r="12" spans="1:14" ht="15.75">
      <c r="A12" s="576" t="s">
        <v>2655</v>
      </c>
      <c r="B12" s="567"/>
      <c r="C12" s="4740"/>
      <c r="D12" s="4740"/>
      <c r="E12" s="567"/>
      <c r="F12" s="576" t="s">
        <v>2656</v>
      </c>
      <c r="G12" s="567"/>
      <c r="H12" s="4740"/>
      <c r="I12" s="4740"/>
      <c r="J12" s="4740"/>
      <c r="K12" s="4740"/>
      <c r="L12" s="4740"/>
      <c r="M12" s="507"/>
    </row>
    <row r="13" spans="1:14" ht="15.75">
      <c r="A13" s="576" t="s">
        <v>2657</v>
      </c>
      <c r="B13" s="576"/>
      <c r="C13" s="1979">
        <f>'Part V-Revenues &amp; Expenses'!$P$67</f>
        <v>203</v>
      </c>
      <c r="D13" s="26"/>
      <c r="E13" s="1980">
        <f>'Part V-Revenues &amp; Expenses'!$P$63</f>
        <v>202</v>
      </c>
      <c r="F13" s="576" t="s">
        <v>3453</v>
      </c>
      <c r="G13" s="567"/>
      <c r="H13" s="1990"/>
      <c r="I13" s="1982"/>
      <c r="J13" s="1982"/>
      <c r="K13" s="1981">
        <f>'Part V-Revenues &amp; Expenses'!$K$175</f>
        <v>209630</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3100</v>
      </c>
      <c r="I14" s="4743"/>
      <c r="J14" s="4743"/>
      <c r="K14" s="4743" t="s">
        <v>3100</v>
      </c>
      <c r="L14" s="4743"/>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40690569.425747097</v>
      </c>
      <c r="D18" s="1986">
        <f>IF(C18=0,"",$C$29/C18)</f>
        <v>0.46841320406638792</v>
      </c>
      <c r="E18" s="567" t="s">
        <v>2953</v>
      </c>
      <c r="F18" s="576" t="s">
        <v>6751</v>
      </c>
      <c r="G18" s="567"/>
      <c r="H18" s="4744">
        <f>'Part III-A-Uses of Funds'!$C$49</f>
        <v>16021560</v>
      </c>
      <c r="I18" s="4744"/>
      <c r="J18" s="1987">
        <f>IF(H18=0,"",$C$29/H18)</f>
        <v>1.189646950733886</v>
      </c>
      <c r="K18" s="4737" t="s">
        <v>2955</v>
      </c>
      <c r="L18" s="4737"/>
      <c r="M18" s="507"/>
    </row>
    <row r="19" spans="1:13" ht="15.75">
      <c r="A19" s="576" t="s">
        <v>2660</v>
      </c>
      <c r="B19" s="567"/>
      <c r="C19" s="1988">
        <f>C18/C13</f>
        <v>200446.15480663595</v>
      </c>
      <c r="D19" s="567"/>
      <c r="E19" s="567"/>
      <c r="F19" s="576" t="s">
        <v>2660</v>
      </c>
      <c r="G19" s="567"/>
      <c r="H19" s="4745">
        <f>H18/C13</f>
        <v>78923.940886699507</v>
      </c>
      <c r="I19" s="4745"/>
      <c r="J19" s="567"/>
      <c r="K19" s="567"/>
      <c r="L19" s="567"/>
      <c r="M19" s="507"/>
    </row>
    <row r="20" spans="1:13" ht="15.75">
      <c r="A20" s="576" t="s">
        <v>2661</v>
      </c>
      <c r="B20" s="567"/>
      <c r="C20" s="1978">
        <f>C18/K13</f>
        <v>194.10661368004148</v>
      </c>
      <c r="D20" s="1989"/>
      <c r="E20" s="1989"/>
      <c r="F20" s="576" t="s">
        <v>2661</v>
      </c>
      <c r="G20" s="567"/>
      <c r="H20" s="4737">
        <f>H18/K13</f>
        <v>76.42780136430855</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19060000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19060000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17236276.215882543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19060000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0.46841320406638792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1.189646950733886</v>
      </c>
      <c r="D40" s="507"/>
      <c r="E40" s="507"/>
      <c r="F40" s="510"/>
      <c r="G40" s="510" t="s">
        <v>2681</v>
      </c>
      <c r="H40" s="507"/>
      <c r="I40" s="507"/>
      <c r="K40" s="555">
        <f>C30/C18</f>
        <v>0.42359388082134408</v>
      </c>
      <c r="L40" s="507"/>
      <c r="M40" s="507"/>
    </row>
    <row r="46" spans="1:13" ht="15.75">
      <c r="A46" s="550" t="s">
        <v>2682</v>
      </c>
      <c r="B46" s="540"/>
      <c r="C46" s="540"/>
      <c r="D46" s="540"/>
      <c r="E46" s="540"/>
      <c r="F46" s="540"/>
      <c r="G46" s="540"/>
      <c r="H46" s="540"/>
      <c r="I46" s="540"/>
      <c r="J46" s="540"/>
      <c r="K46" s="540"/>
      <c r="L46" s="540"/>
      <c r="M46" s="507"/>
    </row>
    <row r="47" spans="1:13" ht="15.75">
      <c r="A47" s="550" t="str">
        <f>C8</f>
        <v>Bon Air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2759520</v>
      </c>
      <c r="D52" s="568"/>
      <c r="E52" s="568">
        <f>$C$52</f>
        <v>2759520</v>
      </c>
      <c r="F52" s="568"/>
      <c r="G52" s="568">
        <f>$C$52</f>
        <v>2759520</v>
      </c>
      <c r="H52" s="568"/>
      <c r="I52" s="568">
        <f>$C$52</f>
        <v>2759520</v>
      </c>
      <c r="J52" s="568"/>
      <c r="K52" s="568">
        <f>$C$52</f>
        <v>2759520</v>
      </c>
      <c r="L52" s="569"/>
      <c r="M52"/>
      <c r="N52"/>
    </row>
    <row r="53" spans="1:14" s="507" customFormat="1" ht="18.75" customHeight="1">
      <c r="B53" s="567" t="s">
        <v>2689</v>
      </c>
      <c r="C53" s="568">
        <f>'Part VI-Pro Forma'!B16</f>
        <v>55190.400000000001</v>
      </c>
      <c r="D53" s="568"/>
      <c r="E53" s="568">
        <f>$C$53</f>
        <v>55190.400000000001</v>
      </c>
      <c r="F53" s="568"/>
      <c r="G53" s="568">
        <f>$C$53</f>
        <v>55190.400000000001</v>
      </c>
      <c r="H53" s="568"/>
      <c r="I53" s="568">
        <f>$C$53</f>
        <v>55190.400000000001</v>
      </c>
      <c r="J53" s="568"/>
      <c r="K53" s="568">
        <f>$C$53</f>
        <v>55190.400000000001</v>
      </c>
      <c r="L53" s="569"/>
      <c r="M53"/>
      <c r="N53"/>
    </row>
    <row r="54" spans="1:14" s="507" customFormat="1" ht="18.75" customHeight="1">
      <c r="B54" s="567" t="s">
        <v>2687</v>
      </c>
      <c r="C54" s="568">
        <f>'Part VI-Pro Forma'!B17</f>
        <v>-140735.51999999999</v>
      </c>
      <c r="D54" s="568"/>
      <c r="E54" s="568">
        <f>-($C$52+E53)*F50</f>
        <v>-281471.03999999998</v>
      </c>
      <c r="F54" s="570"/>
      <c r="G54" s="568">
        <f>-($C$52+G53)*0.07</f>
        <v>-197029.728</v>
      </c>
      <c r="H54" s="568"/>
      <c r="I54" s="568">
        <f>-($C$52+I53)*0.07</f>
        <v>-197029.728</v>
      </c>
      <c r="J54" s="568"/>
      <c r="K54" s="568">
        <f>-($C$52+K53)*L54</f>
        <v>-281471.03999999998</v>
      </c>
      <c r="L54" s="571">
        <v>0.1</v>
      </c>
      <c r="M54"/>
      <c r="N54"/>
    </row>
    <row r="55" spans="1:14" s="507" customFormat="1" ht="18.75" customHeight="1">
      <c r="B55" s="567" t="s">
        <v>2688</v>
      </c>
      <c r="C55" s="568">
        <f>'Part VI-Pro Forma'!B18</f>
        <v>105576</v>
      </c>
      <c r="D55" s="568"/>
      <c r="E55" s="568">
        <f>$C$55</f>
        <v>105576</v>
      </c>
      <c r="F55" s="570"/>
      <c r="G55" s="568">
        <f>$C$55</f>
        <v>105576</v>
      </c>
      <c r="H55" s="568"/>
      <c r="I55" s="568">
        <f>$C$55</f>
        <v>105576</v>
      </c>
      <c r="J55" s="568"/>
      <c r="K55" s="568">
        <f>$C$55</f>
        <v>105576</v>
      </c>
      <c r="L55" s="572"/>
      <c r="M55"/>
      <c r="N55"/>
    </row>
    <row r="56" spans="1:14" s="507" customFormat="1" ht="18.75" customHeight="1">
      <c r="B56" s="573" t="s">
        <v>2690</v>
      </c>
      <c r="C56" s="574">
        <f>SUM(C52:C55)</f>
        <v>2779550.88</v>
      </c>
      <c r="D56" s="568"/>
      <c r="E56" s="574">
        <f>SUM(E52:E55)</f>
        <v>2638815.36</v>
      </c>
      <c r="F56" s="568"/>
      <c r="G56" s="574">
        <f>SUM(G52:G55)</f>
        <v>2723256.6719999998</v>
      </c>
      <c r="H56" s="568"/>
      <c r="I56" s="574">
        <f>SUM(I52:I55)</f>
        <v>2723256.6719999998</v>
      </c>
      <c r="J56" s="568"/>
      <c r="K56" s="574">
        <f>SUM(K52:K55)</f>
        <v>2638815.36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122292.04000000001</v>
      </c>
      <c r="D58" s="568"/>
      <c r="E58" s="568">
        <f>$C$58</f>
        <v>122292.04000000001</v>
      </c>
      <c r="F58" s="568"/>
      <c r="G58" s="568">
        <f>$C$58</f>
        <v>122292.04000000001</v>
      </c>
      <c r="H58" s="568"/>
      <c r="I58" s="568">
        <f>$C$58</f>
        <v>122292.04000000001</v>
      </c>
      <c r="J58" s="568"/>
      <c r="K58" s="568">
        <f>$C$58</f>
        <v>122292.04000000001</v>
      </c>
      <c r="L58" s="569"/>
      <c r="M58"/>
      <c r="N58"/>
    </row>
    <row r="59" spans="1:14" s="507" customFormat="1" ht="18.75" customHeight="1">
      <c r="B59" s="567" t="s">
        <v>2692</v>
      </c>
      <c r="C59" s="568">
        <f>+'Part V-Revenues &amp; Expenses'!F244</f>
        <v>21600</v>
      </c>
      <c r="D59" s="568"/>
      <c r="E59" s="568">
        <f>$C$59</f>
        <v>21600</v>
      </c>
      <c r="F59" s="568"/>
      <c r="G59" s="568">
        <f>$C$59</f>
        <v>21600</v>
      </c>
      <c r="H59" s="568"/>
      <c r="I59" s="568">
        <f>$C$59</f>
        <v>21600</v>
      </c>
      <c r="J59" s="568"/>
      <c r="K59" s="568">
        <f>$C$59*(1+$L$59)</f>
        <v>22464</v>
      </c>
      <c r="L59" s="575">
        <v>0.04</v>
      </c>
      <c r="M59"/>
      <c r="N59"/>
    </row>
    <row r="60" spans="1:14" s="507" customFormat="1" ht="18.75" customHeight="1">
      <c r="B60" s="567" t="s">
        <v>1297</v>
      </c>
      <c r="C60" s="568">
        <f>+'Part V-Revenues &amp; Expenses'!L237</f>
        <v>109278.95999999999</v>
      </c>
      <c r="D60" s="568"/>
      <c r="E60" s="568">
        <f>$C$60</f>
        <v>109278.95999999999</v>
      </c>
      <c r="F60" s="568"/>
      <c r="G60" s="568">
        <f>$C$60</f>
        <v>109278.95999999999</v>
      </c>
      <c r="H60" s="568"/>
      <c r="I60" s="568">
        <f>$C$60*(1+$J$50)</f>
        <v>112557.32879999999</v>
      </c>
      <c r="J60" s="570"/>
      <c r="K60" s="568">
        <f>$C$60*(1+$J$50)</f>
        <v>112557.32879999999</v>
      </c>
      <c r="L60" s="571">
        <v>0.03</v>
      </c>
      <c r="M60"/>
      <c r="N60"/>
    </row>
    <row r="61" spans="1:14" s="507" customFormat="1" ht="18.75" customHeight="1">
      <c r="B61" s="567" t="s">
        <v>1298</v>
      </c>
      <c r="C61" s="568">
        <f>+'Part V-Revenues &amp; Expenses'!L244</f>
        <v>124594.44832440001</v>
      </c>
      <c r="D61" s="568"/>
      <c r="E61" s="568">
        <f>$C$61</f>
        <v>124594.44832440001</v>
      </c>
      <c r="F61" s="568"/>
      <c r="G61" s="568">
        <f>$C$61*(1+H50)</f>
        <v>130824.17074062001</v>
      </c>
      <c r="H61" s="570"/>
      <c r="I61" s="568">
        <f>$C$61</f>
        <v>124594.44832440001</v>
      </c>
      <c r="J61" s="568"/>
      <c r="K61" s="568">
        <f>$C$61*(1+$L$61)</f>
        <v>130824.17074062001</v>
      </c>
      <c r="L61" s="571">
        <v>0.05</v>
      </c>
      <c r="M61"/>
      <c r="N61"/>
    </row>
    <row r="62" spans="1:14" s="507" customFormat="1" ht="18.75" customHeight="1">
      <c r="B62" s="573" t="s">
        <v>2693</v>
      </c>
      <c r="C62" s="574">
        <f>SUM(C58:C61)</f>
        <v>377765.4483244</v>
      </c>
      <c r="D62" s="568"/>
      <c r="E62" s="574">
        <f>SUM(E58:E61)</f>
        <v>377765.4483244</v>
      </c>
      <c r="F62" s="568"/>
      <c r="G62" s="574">
        <f>SUM(G58:G61)</f>
        <v>383995.17074062</v>
      </c>
      <c r="H62" s="568"/>
      <c r="I62" s="574">
        <f>SUM(I58:I61)</f>
        <v>381043.8171244</v>
      </c>
      <c r="J62" s="568"/>
      <c r="K62" s="574">
        <f>SUM(K58:K61)</f>
        <v>388137.53954062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2401785.4316755999</v>
      </c>
      <c r="D64" s="577"/>
      <c r="E64" s="577">
        <f>E56-E62</f>
        <v>2261049.9116755999</v>
      </c>
      <c r="F64" s="577"/>
      <c r="G64" s="577">
        <f>G56-G62</f>
        <v>2339261.50125938</v>
      </c>
      <c r="H64" s="577"/>
      <c r="I64" s="577">
        <f>I56-I62</f>
        <v>2342212.8548756</v>
      </c>
      <c r="J64" s="577"/>
      <c r="K64" s="577">
        <f>K56-K62</f>
        <v>2250677.8204593798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2401785.4316755999</v>
      </c>
      <c r="D70" s="577"/>
      <c r="E70" s="580">
        <f>E64-E66-E68</f>
        <v>2261049.9116755999</v>
      </c>
      <c r="F70" s="577"/>
      <c r="G70" s="580">
        <f>G64-G66-G68</f>
        <v>2339261.50125938</v>
      </c>
      <c r="H70" s="577"/>
      <c r="I70" s="580">
        <f>I64-I66-I68</f>
        <v>2342212.8548756</v>
      </c>
      <c r="J70" s="577"/>
      <c r="K70" s="580">
        <f>K64-K66-K68</f>
        <v>2250677.8204593798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2.177739455297794</v>
      </c>
      <c r="D72" s="581"/>
      <c r="E72" s="1004">
        <f>-E70/E75</f>
        <v>2.0501321800500492</v>
      </c>
      <c r="F72" s="581"/>
      <c r="G72" s="1004">
        <f>-G70/G75</f>
        <v>2.1210479505647073</v>
      </c>
      <c r="H72" s="581"/>
      <c r="I72" s="1004">
        <f>-I70/I75</f>
        <v>2.1237239927838885</v>
      </c>
      <c r="J72" s="581"/>
      <c r="K72" s="1004">
        <f>-K70/K75</f>
        <v>2.040727629594536</v>
      </c>
      <c r="L72" s="4"/>
      <c r="M72" s="10"/>
      <c r="N72" s="10"/>
    </row>
    <row r="73" spans="1:14" s="507" customFormat="1" ht="18.75" customHeight="1">
      <c r="A73"/>
      <c r="B73" s="567" t="s">
        <v>2699</v>
      </c>
      <c r="C73" s="1005">
        <f>C76/C62</f>
        <v>3.4383911302407153</v>
      </c>
      <c r="D73" s="582"/>
      <c r="E73" s="1005">
        <f>E76/E62</f>
        <v>3.0658437714914162</v>
      </c>
      <c r="F73" s="582"/>
      <c r="G73" s="1005">
        <f>G76/G62</f>
        <v>3.21978381662761</v>
      </c>
      <c r="H73" s="582"/>
      <c r="I73" s="1005">
        <f>I76/I62</f>
        <v>3.2524679166370447</v>
      </c>
      <c r="J73" s="582"/>
      <c r="K73" s="1005">
        <f>K76/K62</f>
        <v>2.9571933623639692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-1102880.0648455757</v>
      </c>
      <c r="D75" s="568"/>
      <c r="E75" s="568">
        <f>$C$75</f>
        <v>-1102880.0648455757</v>
      </c>
      <c r="F75" s="568"/>
      <c r="G75" s="568">
        <f>$C$75</f>
        <v>-1102880.0648455757</v>
      </c>
      <c r="H75" s="568"/>
      <c r="I75" s="568">
        <f>$C$75</f>
        <v>-1102880.0648455757</v>
      </c>
      <c r="J75" s="568"/>
      <c r="K75" s="568">
        <f>$C$75</f>
        <v>-1102880.0648455757</v>
      </c>
      <c r="L75" s="26"/>
      <c r="M75"/>
      <c r="N75"/>
    </row>
    <row r="76" spans="1:14" s="507" customFormat="1" ht="18.75" customHeight="1">
      <c r="A76"/>
      <c r="B76" s="567" t="s">
        <v>1096</v>
      </c>
      <c r="C76" s="568">
        <f>C70+C75</f>
        <v>1298905.3668300242</v>
      </c>
      <c r="D76" s="568"/>
      <c r="E76" s="568">
        <f>E70+E75</f>
        <v>1158169.8468300242</v>
      </c>
      <c r="F76" s="568"/>
      <c r="G76" s="568">
        <f>G70+G75</f>
        <v>1236381.4364138043</v>
      </c>
      <c r="H76" s="568"/>
      <c r="I76" s="568">
        <f>I70+I75</f>
        <v>1239332.7900300242</v>
      </c>
      <c r="J76" s="568"/>
      <c r="K76" s="568">
        <f>K70+K75</f>
        <v>1147797.7556138041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Bon Air</v>
      </c>
    </row>
    <row r="13" spans="1:10" ht="15">
      <c r="A13" s="517"/>
      <c r="D13" s="516" t="s">
        <v>2604</v>
      </c>
      <c r="F13" s="1024" t="str">
        <f>'Sensitivity Analysis'!E8</f>
        <v>2023-0</v>
      </c>
    </row>
    <row r="14" spans="1:10" ht="15">
      <c r="A14" s="517"/>
      <c r="D14" s="516" t="s">
        <v>2605</v>
      </c>
      <c r="F14" s="1024" t="str">
        <f>'Sensitivity Analysis'!H8</f>
        <v>Augusta, Richmond</v>
      </c>
    </row>
    <row r="15" spans="1:10" ht="15">
      <c r="A15" s="517"/>
      <c r="D15" s="516" t="s">
        <v>2946</v>
      </c>
      <c r="F15" s="4757">
        <f>'Sensitivity Analysis'!$C$25</f>
        <v>19060000</v>
      </c>
      <c r="G15" s="4757"/>
      <c r="H15" s="4757"/>
    </row>
    <row r="16" spans="1:10" ht="15">
      <c r="A16" s="517"/>
      <c r="D16" s="519" t="s">
        <v>2606</v>
      </c>
      <c r="F16" s="520">
        <f>'Sensitivity Analysis'!C13</f>
        <v>203</v>
      </c>
      <c r="G16" s="521" t="s">
        <v>2947</v>
      </c>
      <c r="H16" s="972">
        <f>'Sensitivity Analysis'!E13</f>
        <v>202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6156</v>
      </c>
    </row>
    <row r="22" spans="1:18" ht="111.75" customHeight="1">
      <c r="A22" s="4749" t="s">
        <v>3099</v>
      </c>
      <c r="B22" s="4749"/>
      <c r="C22" s="4749"/>
      <c r="D22" s="4749"/>
      <c r="E22" s="4749"/>
      <c r="F22" s="4749"/>
      <c r="G22" s="4749"/>
      <c r="H22" s="4749"/>
      <c r="I22" s="4749"/>
      <c r="J22" s="4749"/>
      <c r="K22" s="4748" t="s">
        <v>3899</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6155</v>
      </c>
    </row>
    <row r="27" spans="1:18" ht="14.25" customHeight="1">
      <c r="A27" s="4751" t="s">
        <v>6157</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6158</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2607</v>
      </c>
    </row>
    <row r="47" spans="1:10" ht="135" customHeight="1">
      <c r="A47" s="4735" t="s">
        <v>6159</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2608</v>
      </c>
    </row>
    <row r="50" spans="1:12" ht="33" customHeight="1">
      <c r="A50" s="4731" t="s">
        <v>3454</v>
      </c>
      <c r="B50" s="4733"/>
      <c r="C50" s="4733"/>
      <c r="D50" s="4733"/>
      <c r="E50" s="4733"/>
      <c r="F50" s="4733"/>
      <c r="G50" s="4733"/>
      <c r="H50" s="4733"/>
      <c r="I50" s="4733"/>
      <c r="J50" s="4731"/>
    </row>
    <row r="51" spans="1:12" ht="3" customHeight="1"/>
    <row r="52" spans="1:12" ht="72.75" customHeight="1">
      <c r="A52" s="4731" t="s">
        <v>3455</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3456</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3457</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3458</v>
      </c>
      <c r="B60" s="4731"/>
      <c r="C60" s="4731"/>
      <c r="D60" s="4731"/>
      <c r="E60" s="4731"/>
      <c r="F60" s="4731"/>
      <c r="G60" s="4731"/>
      <c r="H60" s="4731"/>
      <c r="I60" s="4731"/>
      <c r="J60" s="4731"/>
    </row>
    <row r="61" spans="1:12" ht="3" customHeight="1"/>
    <row r="62" spans="1:12" ht="73.5" customHeight="1">
      <c r="A62" s="4731" t="s">
        <v>3459</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49" t="s">
        <v>2610</v>
      </c>
      <c r="B65" s="4749"/>
      <c r="C65" s="4749"/>
      <c r="D65" s="4749"/>
      <c r="E65" s="4749"/>
      <c r="F65" s="4749"/>
      <c r="G65" s="4749"/>
      <c r="H65" s="4749"/>
      <c r="I65" s="4749"/>
      <c r="J65" s="4749"/>
      <c r="L65" s="524">
        <f>'Closing term sheet'!C135</f>
        <v>726060.44077448919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9170582.85 via the syndication of the 2021 Federal LIHTC allocation of 1105000 per annum. will make a capital contribution totaling 8065693.36588254 via the syndication of the 2021 State LIHTC allocation of 1105000 per annum.</v>
      </c>
      <c r="B67" s="4731"/>
      <c r="C67" s="4731"/>
      <c r="D67" s="4731"/>
      <c r="E67" s="4731"/>
      <c r="F67" s="4731"/>
      <c r="G67" s="4731"/>
      <c r="H67" s="4731"/>
      <c r="I67" s="4731"/>
      <c r="J67" s="529"/>
      <c r="L67" s="530">
        <f>'Part II-Sources of Funds'!I51</f>
        <v>9170582.8499999996</v>
      </c>
      <c r="M67" s="531">
        <f>'Part III-A-Uses of Funds'!$J$191</f>
        <v>1105000</v>
      </c>
      <c r="N67" s="532">
        <f>'Part III-A-Uses of Funds'!N182</f>
        <v>0.83</v>
      </c>
      <c r="O67" s="530">
        <f>'Part II-Sources of Funds'!I52</f>
        <v>8065693.3658825429</v>
      </c>
      <c r="P67" s="531">
        <f>M67</f>
        <v>1105000</v>
      </c>
      <c r="Q67" s="532">
        <f>'Part III-A-Uses of Funds'!Q182</f>
        <v>0.73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1.56 (0.83 Federal tax credit and 0.73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6160</v>
      </c>
      <c r="B70" s="4731"/>
      <c r="C70" s="4731"/>
      <c r="D70" s="4731"/>
      <c r="E70" s="4731"/>
      <c r="F70" s="4731"/>
      <c r="G70" s="4731"/>
      <c r="H70" s="4731"/>
      <c r="I70" s="4731"/>
      <c r="J70" s="4731"/>
      <c r="L70" s="534">
        <f>'Part VI-Pro Forma'!K72</f>
        <v>13926187.259096241</v>
      </c>
      <c r="M70" s="4756" t="s">
        <v>3098</v>
      </c>
      <c r="N70" s="4748"/>
    </row>
    <row r="71" spans="1:17" ht="6" customHeight="1">
      <c r="A71" s="522"/>
    </row>
    <row r="72" spans="1:17" ht="15">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5">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5">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3661</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6161</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5">
      <c r="A99" s="522" t="s">
        <v>2632</v>
      </c>
    </row>
    <row r="100" spans="1:14" ht="110.65" customHeight="1">
      <c r="A100" s="4749" t="s">
        <v>2633</v>
      </c>
      <c r="B100" s="4749"/>
      <c r="C100" s="4749"/>
      <c r="D100" s="4749"/>
      <c r="E100" s="4749"/>
      <c r="F100" s="4749"/>
      <c r="G100" s="4749"/>
      <c r="H100" s="4749"/>
      <c r="I100" s="4749"/>
      <c r="J100" s="4749"/>
      <c r="L100" s="975">
        <f>'Part VI-Pro Forma'!K72</f>
        <v>13926187.259096241</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5">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8" t="s">
        <v>6066</v>
      </c>
      <c r="B120" s="4758"/>
      <c r="C120" s="4758"/>
      <c r="D120" s="4758"/>
      <c r="E120" s="4759"/>
      <c r="F120" s="1488" t="s">
        <v>6067</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Bon Air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2647</v>
      </c>
      <c r="B8" s="510"/>
      <c r="C8" s="4763" t="str">
        <f>'Part I-Project Identification'!F25</f>
        <v>Bon Air</v>
      </c>
      <c r="D8" s="4763"/>
      <c r="E8" s="1020" t="str">
        <f>'Part I-Project Identification'!O7</f>
        <v>2023-0</v>
      </c>
      <c r="F8" s="510" t="s">
        <v>2648</v>
      </c>
      <c r="G8" s="507"/>
      <c r="H8" s="4763" t="str">
        <f>CONCATENATE('Part I-Project Identification'!F26,", ",'Part I-Project Identification'!J26)</f>
        <v>Augusta, Richmond</v>
      </c>
      <c r="I8" s="4763"/>
      <c r="J8" s="4763"/>
      <c r="K8" s="4763"/>
      <c r="L8" s="507"/>
      <c r="M8" s="545"/>
    </row>
    <row r="9" spans="1:14" ht="15.7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7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75">
      <c r="A13" s="510" t="s">
        <v>2657</v>
      </c>
      <c r="B13" s="510"/>
      <c r="C13" s="506">
        <f>'Part V-Revenues &amp; Expenses'!$P$67</f>
        <v>203</v>
      </c>
      <c r="E13" s="970">
        <f>'Part V-Revenues &amp; Expenses'!$P$63</f>
        <v>202</v>
      </c>
      <c r="F13" s="510" t="s">
        <v>3453</v>
      </c>
      <c r="G13" s="507"/>
      <c r="H13" s="1021" t="e">
        <f>'Part I-Project Identification'!#REF!</f>
        <v>#REF!</v>
      </c>
      <c r="I13" s="971"/>
      <c r="J13" s="971"/>
      <c r="K13" s="1021">
        <f>'Part V-Revenues &amp; Expenses'!K175</f>
        <v>209630</v>
      </c>
      <c r="L13" s="507"/>
      <c r="M13" s="507"/>
    </row>
    <row r="14" spans="1:14" ht="15.75">
      <c r="A14" s="510" t="s">
        <v>2949</v>
      </c>
      <c r="B14" s="507"/>
      <c r="C14" s="1021" t="e">
        <f>'Part I-Project Identification'!#REF!</f>
        <v>#REF!</v>
      </c>
      <c r="D14" s="4763" t="e">
        <f>IF('Part V-Revenues &amp; Expenses'!#REF!=0,"",'Part V-Revenues &amp; Expenses'!#REF!)</f>
        <v>#REF!</v>
      </c>
      <c r="E14" s="4763"/>
      <c r="F14" s="510" t="s">
        <v>2658</v>
      </c>
      <c r="G14" s="507"/>
      <c r="H14" s="4743" t="s">
        <v>3100</v>
      </c>
      <c r="I14" s="4743"/>
      <c r="J14" s="4743"/>
      <c r="K14" s="4743" t="s">
        <v>3100</v>
      </c>
      <c r="L14" s="4743"/>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40690569.425747097</v>
      </c>
      <c r="D18" s="1003">
        <f>IF(C18=0,"",$C$29/C18)</f>
        <v>0.46841320406638792</v>
      </c>
      <c r="E18" s="507" t="s">
        <v>2953</v>
      </c>
      <c r="F18" s="510" t="s">
        <v>2954</v>
      </c>
      <c r="G18" s="507"/>
      <c r="H18" s="4764">
        <f>'Part III-A-Uses of Funds'!C49</f>
        <v>16021560</v>
      </c>
      <c r="I18" s="4764"/>
      <c r="J18" s="1002">
        <f>IF(H18=0,"",$C$29/H18)</f>
        <v>1.189646950733886</v>
      </c>
      <c r="K18" s="4763" t="s">
        <v>2955</v>
      </c>
      <c r="L18" s="4763"/>
      <c r="M18" s="507"/>
    </row>
    <row r="19" spans="1:13" ht="15.75">
      <c r="A19" s="510" t="s">
        <v>2660</v>
      </c>
      <c r="B19" s="507"/>
      <c r="C19" s="1022">
        <f>C18/C13</f>
        <v>200446.15480663595</v>
      </c>
      <c r="D19" s="507"/>
      <c r="E19" s="507"/>
      <c r="F19" s="510" t="s">
        <v>2660</v>
      </c>
      <c r="G19" s="507"/>
      <c r="H19" s="4765">
        <f>H18/C13</f>
        <v>78923.940886699507</v>
      </c>
      <c r="I19" s="4765"/>
      <c r="J19" s="507"/>
      <c r="K19" s="507"/>
      <c r="L19" s="507"/>
      <c r="M19" s="507"/>
    </row>
    <row r="20" spans="1:13" ht="15.75">
      <c r="A20" s="510" t="s">
        <v>2661</v>
      </c>
      <c r="B20" s="507"/>
      <c r="C20" s="1020">
        <f>C18/K13</f>
        <v>194.10661368004148</v>
      </c>
      <c r="D20" s="548"/>
      <c r="E20" s="548"/>
      <c r="F20" s="510" t="s">
        <v>2661</v>
      </c>
      <c r="G20" s="507"/>
      <c r="H20" s="4763">
        <f>H18/K13</f>
        <v>76.42780136430855</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Berkadia Commercial Mortgage, LLC</v>
      </c>
      <c r="C25" s="553">
        <f>'Part II-Sources of Funds'!I40</f>
        <v>19060000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19060000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17236276.215882543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19060000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0.46841320406638792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1.189646950733886</v>
      </c>
      <c r="D40" s="507"/>
      <c r="E40" s="507"/>
      <c r="F40" s="510"/>
      <c r="G40" s="510" t="s">
        <v>2681</v>
      </c>
      <c r="H40" s="507"/>
      <c r="I40" s="507"/>
      <c r="K40" s="555">
        <f>C30/C18</f>
        <v>0.42359388082134408</v>
      </c>
      <c r="L40" s="507"/>
      <c r="M40" s="507"/>
    </row>
    <row r="46" spans="1:13" ht="15.75">
      <c r="A46" s="550" t="s">
        <v>2682</v>
      </c>
      <c r="B46" s="540"/>
      <c r="C46" s="540"/>
      <c r="D46" s="540"/>
      <c r="E46" s="540"/>
      <c r="F46" s="540"/>
      <c r="G46" s="540"/>
      <c r="H46" s="540"/>
      <c r="I46" s="540"/>
      <c r="J46" s="540"/>
      <c r="K46" s="540"/>
      <c r="L46" s="540"/>
      <c r="M46" s="507"/>
    </row>
    <row r="47" spans="1:13" ht="15.75">
      <c r="A47" s="550" t="str">
        <f>C8</f>
        <v>Bon Air</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2759520</v>
      </c>
      <c r="D52" s="568"/>
      <c r="E52" s="568">
        <f>$C$52</f>
        <v>2759520</v>
      </c>
      <c r="F52" s="568"/>
      <c r="G52" s="568">
        <f>$C$52</f>
        <v>2759520</v>
      </c>
      <c r="H52" s="568"/>
      <c r="I52" s="568">
        <f>$C$52</f>
        <v>2759520</v>
      </c>
      <c r="J52" s="568"/>
      <c r="K52" s="568">
        <f>$C$52</f>
        <v>2759520</v>
      </c>
      <c r="L52" s="569"/>
      <c r="M52"/>
      <c r="N52"/>
    </row>
    <row r="53" spans="1:14" s="507" customFormat="1" ht="18.75" customHeight="1">
      <c r="B53" s="567" t="s">
        <v>2689</v>
      </c>
      <c r="C53" s="568">
        <f>'Part VI-Pro Forma'!B16</f>
        <v>55190.400000000001</v>
      </c>
      <c r="D53" s="568"/>
      <c r="E53" s="568">
        <f>$C$53</f>
        <v>55190.400000000001</v>
      </c>
      <c r="F53" s="568"/>
      <c r="G53" s="568">
        <f>$C$53</f>
        <v>55190.400000000001</v>
      </c>
      <c r="H53" s="568"/>
      <c r="I53" s="568">
        <f>$C$53</f>
        <v>55190.400000000001</v>
      </c>
      <c r="J53" s="568"/>
      <c r="K53" s="568">
        <f>$C$53</f>
        <v>55190.400000000001</v>
      </c>
      <c r="L53" s="569"/>
      <c r="M53"/>
      <c r="N53"/>
    </row>
    <row r="54" spans="1:14" s="507" customFormat="1" ht="18.75" customHeight="1">
      <c r="B54" s="567" t="s">
        <v>2687</v>
      </c>
      <c r="C54" s="568">
        <f>'Part VI-Pro Forma'!B17</f>
        <v>-140735.51999999999</v>
      </c>
      <c r="D54" s="568"/>
      <c r="E54" s="568">
        <f>-($C$52+E53)*F50</f>
        <v>-281471.03999999998</v>
      </c>
      <c r="F54" s="570"/>
      <c r="G54" s="568">
        <f>-($C$52+G53)*0.07</f>
        <v>-197029.728</v>
      </c>
      <c r="H54" s="568"/>
      <c r="I54" s="568">
        <f>-($C$52+I53)*0.07</f>
        <v>-197029.728</v>
      </c>
      <c r="J54" s="568"/>
      <c r="K54" s="568">
        <f>-($C$52+K53)*L54</f>
        <v>-281471.03999999998</v>
      </c>
      <c r="L54" s="571">
        <v>0.1</v>
      </c>
      <c r="M54"/>
      <c r="N54"/>
    </row>
    <row r="55" spans="1:14" s="507" customFormat="1" ht="18.75" customHeight="1">
      <c r="B55" s="567" t="s">
        <v>2688</v>
      </c>
      <c r="C55" s="568">
        <f>'Part VI-Pro Forma'!B18</f>
        <v>105576</v>
      </c>
      <c r="D55" s="568"/>
      <c r="E55" s="568">
        <f>$C$55</f>
        <v>105576</v>
      </c>
      <c r="F55" s="570"/>
      <c r="G55" s="568">
        <f>$C$55</f>
        <v>105576</v>
      </c>
      <c r="H55" s="568"/>
      <c r="I55" s="568">
        <f>$C$55</f>
        <v>105576</v>
      </c>
      <c r="J55" s="568"/>
      <c r="K55" s="568">
        <f>$C$55</f>
        <v>105576</v>
      </c>
      <c r="L55" s="572"/>
      <c r="M55"/>
      <c r="N55"/>
    </row>
    <row r="56" spans="1:14" s="507" customFormat="1" ht="18.75" customHeight="1">
      <c r="B56" s="573" t="s">
        <v>2690</v>
      </c>
      <c r="C56" s="574">
        <f>SUM(C52:C55)</f>
        <v>2779550.88</v>
      </c>
      <c r="D56" s="568"/>
      <c r="E56" s="574">
        <f>SUM(E52:E55)</f>
        <v>2638815.36</v>
      </c>
      <c r="F56" s="568"/>
      <c r="G56" s="574">
        <f>SUM(G52:G55)</f>
        <v>2723256.6719999998</v>
      </c>
      <c r="H56" s="568"/>
      <c r="I56" s="574">
        <f>SUM(I52:I55)</f>
        <v>2723256.6719999998</v>
      </c>
      <c r="J56" s="568"/>
      <c r="K56" s="574">
        <f>SUM(K52:K55)</f>
        <v>2638815.36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487514.95999999996</v>
      </c>
      <c r="D58" s="568"/>
      <c r="E58" s="568">
        <f>$C$58</f>
        <v>487514.95999999996</v>
      </c>
      <c r="F58" s="568"/>
      <c r="G58" s="568">
        <f>$C$58</f>
        <v>487514.95999999996</v>
      </c>
      <c r="H58" s="568"/>
      <c r="I58" s="568">
        <f>$C$58</f>
        <v>487514.95999999996</v>
      </c>
      <c r="J58" s="568"/>
      <c r="K58" s="568">
        <f>$C$58</f>
        <v>487514.95999999996</v>
      </c>
      <c r="L58" s="569"/>
      <c r="M58"/>
      <c r="N58"/>
    </row>
    <row r="59" spans="1:14" s="507" customFormat="1" ht="18.75" customHeight="1">
      <c r="B59" s="567" t="s">
        <v>2692</v>
      </c>
      <c r="C59" s="568">
        <f>+'Part V-Revenues &amp; Expenses'!F247</f>
        <v>111382</v>
      </c>
      <c r="D59" s="568"/>
      <c r="E59" s="568">
        <f>$C$59</f>
        <v>111382</v>
      </c>
      <c r="F59" s="568"/>
      <c r="G59" s="568">
        <f>$C$59</f>
        <v>111382</v>
      </c>
      <c r="H59" s="568"/>
      <c r="I59" s="568">
        <f>$C$59</f>
        <v>111382</v>
      </c>
      <c r="J59" s="568"/>
      <c r="K59" s="568">
        <f>$C$59*(1+$L$59)</f>
        <v>115837.28</v>
      </c>
      <c r="L59" s="575">
        <v>0.04</v>
      </c>
      <c r="M59"/>
      <c r="N59"/>
    </row>
    <row r="60" spans="1:14" s="507" customFormat="1" ht="18.75" customHeight="1">
      <c r="B60" s="567" t="s">
        <v>1297</v>
      </c>
      <c r="C60" s="568">
        <f>+'Part V-Revenues &amp; Expenses'!L241</f>
        <v>314948.92</v>
      </c>
      <c r="D60" s="568"/>
      <c r="E60" s="568">
        <f>$C$60</f>
        <v>314948.92</v>
      </c>
      <c r="F60" s="568"/>
      <c r="G60" s="568">
        <f>$C$60</f>
        <v>314948.92</v>
      </c>
      <c r="H60" s="568"/>
      <c r="I60" s="568">
        <f>$C$60*(1+$J$50)</f>
        <v>324397.38760000002</v>
      </c>
      <c r="J60" s="570"/>
      <c r="K60" s="568">
        <f>$C$60*(1+$J$50)</f>
        <v>324397.38760000002</v>
      </c>
      <c r="L60" s="571">
        <v>0.03</v>
      </c>
      <c r="M60"/>
      <c r="N60"/>
    </row>
    <row r="61" spans="1:14" s="507" customFormat="1" ht="18.75" customHeight="1">
      <c r="B61" s="567" t="s">
        <v>1298</v>
      </c>
      <c r="C61" s="568">
        <f>+'Part V-Revenues &amp; Expenses'!L247</f>
        <v>287991.48832440004</v>
      </c>
      <c r="D61" s="568"/>
      <c r="E61" s="568">
        <f>$C$61</f>
        <v>287991.48832440004</v>
      </c>
      <c r="F61" s="568"/>
      <c r="G61" s="568">
        <f>$C$61*(1+H50)</f>
        <v>302391.06274062005</v>
      </c>
      <c r="H61" s="570"/>
      <c r="I61" s="568">
        <f>$C$61</f>
        <v>287991.48832440004</v>
      </c>
      <c r="J61" s="568"/>
      <c r="K61" s="568">
        <f>$C$61*(1+$L$61)</f>
        <v>302391.06274062005</v>
      </c>
      <c r="L61" s="571">
        <v>0.05</v>
      </c>
      <c r="M61"/>
      <c r="N61"/>
    </row>
    <row r="62" spans="1:14" s="507" customFormat="1" ht="18.75" customHeight="1">
      <c r="B62" s="573" t="s">
        <v>2693</v>
      </c>
      <c r="C62" s="574">
        <f>SUM(C58:C61)</f>
        <v>1201837.3683243999</v>
      </c>
      <c r="D62" s="568"/>
      <c r="E62" s="574">
        <f>SUM(E58:E61)</f>
        <v>1201837.3683243999</v>
      </c>
      <c r="F62" s="568"/>
      <c r="G62" s="574">
        <f>SUM(G58:G61)</f>
        <v>1216236.9427406199</v>
      </c>
      <c r="H62" s="568"/>
      <c r="I62" s="574">
        <f>SUM(I58:I61)</f>
        <v>1211285.8359244</v>
      </c>
      <c r="J62" s="568"/>
      <c r="K62" s="574">
        <f>SUM(K58:K61)</f>
        <v>1230140.69034062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1577713.5116756</v>
      </c>
      <c r="D64" s="577"/>
      <c r="E64" s="577">
        <f>E56-E62</f>
        <v>1436977.9916755999</v>
      </c>
      <c r="F64" s="577"/>
      <c r="G64" s="577">
        <f>G56-G62</f>
        <v>1507019.7292593799</v>
      </c>
      <c r="H64" s="577"/>
      <c r="I64" s="577">
        <f>I56-I62</f>
        <v>1511970.8360755998</v>
      </c>
      <c r="J64" s="577"/>
      <c r="K64" s="577">
        <f>K56-K62</f>
        <v>1408674.6696593799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85260</v>
      </c>
      <c r="D66" s="568"/>
      <c r="E66" s="568">
        <f>$C$66</f>
        <v>85260</v>
      </c>
      <c r="F66" s="568"/>
      <c r="G66" s="568">
        <f>$C$66</f>
        <v>85260</v>
      </c>
      <c r="H66" s="568"/>
      <c r="I66" s="568">
        <f>$C$66</f>
        <v>85260</v>
      </c>
      <c r="J66" s="568"/>
      <c r="K66" s="568">
        <f>$C$66</f>
        <v>85260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97284</v>
      </c>
      <c r="D68" s="568"/>
      <c r="E68" s="568">
        <f>$C$68</f>
        <v>97284</v>
      </c>
      <c r="F68" s="568"/>
      <c r="G68" s="568">
        <f>$C$68</f>
        <v>97284</v>
      </c>
      <c r="H68" s="568"/>
      <c r="I68" s="568">
        <f>$C$68</f>
        <v>97284</v>
      </c>
      <c r="J68" s="568"/>
      <c r="K68" s="568">
        <f>$C$68</f>
        <v>97284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1395169.5116756</v>
      </c>
      <c r="D70" s="577"/>
      <c r="E70" s="580">
        <f>E64-E66-E68</f>
        <v>1254433.9916755999</v>
      </c>
      <c r="F70" s="577"/>
      <c r="G70" s="580">
        <f>G64-G66-G68</f>
        <v>1324475.7292593799</v>
      </c>
      <c r="H70" s="577"/>
      <c r="I70" s="580">
        <f>I64-I66-I68</f>
        <v>1329426.8360755998</v>
      </c>
      <c r="J70" s="577"/>
      <c r="K70" s="580">
        <f>K64-K66-K68</f>
        <v>1226130.6696593799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1.2650237828634161</v>
      </c>
      <c r="D72" s="581"/>
      <c r="E72" s="1004">
        <f>-E70/E75</f>
        <v>1.1374165076156715</v>
      </c>
      <c r="F72" s="581"/>
      <c r="G72" s="1004">
        <f>-G70/G75</f>
        <v>1.2009245352030475</v>
      </c>
      <c r="H72" s="581"/>
      <c r="I72" s="1004">
        <f>-I70/I75</f>
        <v>1.2054137874563404</v>
      </c>
      <c r="J72" s="581"/>
      <c r="K72" s="1004">
        <f>-K70/K75</f>
        <v>1.1117534070498061</v>
      </c>
      <c r="L72" s="4"/>
      <c r="M72" s="10"/>
      <c r="N72" s="10"/>
    </row>
    <row r="73" spans="1:14" s="507" customFormat="1" ht="18.75" customHeight="1">
      <c r="A73"/>
      <c r="B73" s="567" t="s">
        <v>2699</v>
      </c>
      <c r="C73" s="1005">
        <f>C76/C62</f>
        <v>0.2432021624003369</v>
      </c>
      <c r="D73" s="582"/>
      <c r="E73" s="1005">
        <f>E76/E62</f>
        <v>0.12610185938994434</v>
      </c>
      <c r="F73" s="582"/>
      <c r="G73" s="1005">
        <f>G76/G62</f>
        <v>0.18219777464946044</v>
      </c>
      <c r="H73" s="582"/>
      <c r="I73" s="1005">
        <f>I76/I62</f>
        <v>0.18702998459247527</v>
      </c>
      <c r="J73" s="582"/>
      <c r="K73" s="1005">
        <f>K76/K62</f>
        <v>0.10019228351813698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-1102880.0648455757</v>
      </c>
      <c r="D75" s="568"/>
      <c r="E75" s="568">
        <f>$C$75</f>
        <v>-1102880.0648455757</v>
      </c>
      <c r="F75" s="568"/>
      <c r="G75" s="568">
        <f>$C$75</f>
        <v>-1102880.0648455757</v>
      </c>
      <c r="H75" s="568"/>
      <c r="I75" s="568">
        <f>$C$75</f>
        <v>-1102880.0648455757</v>
      </c>
      <c r="J75" s="568"/>
      <c r="K75" s="568">
        <f>$C$75</f>
        <v>-1102880.0648455757</v>
      </c>
      <c r="L75" s="26"/>
      <c r="M75"/>
      <c r="N75"/>
    </row>
    <row r="76" spans="1:14" s="507" customFormat="1" ht="18.75" customHeight="1">
      <c r="A76"/>
      <c r="B76" s="567" t="s">
        <v>1096</v>
      </c>
      <c r="C76" s="568">
        <f>C70+C75</f>
        <v>292289.44683002424</v>
      </c>
      <c r="D76" s="568"/>
      <c r="E76" s="568">
        <f>E70+E75</f>
        <v>151553.92683002423</v>
      </c>
      <c r="F76" s="568"/>
      <c r="G76" s="568">
        <f>G70+G75</f>
        <v>221595.66441380419</v>
      </c>
      <c r="H76" s="568"/>
      <c r="I76" s="568">
        <f>I70+I75</f>
        <v>226546.77123002405</v>
      </c>
      <c r="J76" s="568"/>
      <c r="K76" s="568">
        <f>K70+K75</f>
        <v>123250.60481380415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40690569.425747097</v>
      </c>
    </row>
    <row r="5" spans="1:7">
      <c r="A5" s="953" t="s">
        <v>3449</v>
      </c>
      <c r="B5" s="954">
        <f>+B18+B26+B38</f>
        <v>16954583.267894052</v>
      </c>
    </row>
    <row r="6" spans="1:7">
      <c r="A6" s="953" t="s">
        <v>3419</v>
      </c>
      <c r="B6" s="955">
        <f>+B5-B4</f>
        <v>-23735986.157853045</v>
      </c>
    </row>
    <row r="7" spans="1:7">
      <c r="A7" s="953" t="s">
        <v>3420</v>
      </c>
      <c r="B7" s="956">
        <f>+B6/B4</f>
        <v>-0.58332892591161478</v>
      </c>
    </row>
    <row r="8" spans="1:7" ht="9" customHeight="1"/>
    <row r="9" spans="1:7">
      <c r="A9" s="953" t="s">
        <v>3421</v>
      </c>
      <c r="B9" s="954">
        <f>+B18+B26+B33</f>
        <v>13107694.584597973</v>
      </c>
    </row>
    <row r="10" spans="1:7">
      <c r="A10" s="953" t="s">
        <v>3419</v>
      </c>
      <c r="B10" s="955">
        <f>+B9-B4</f>
        <v>-27582874.841149122</v>
      </c>
    </row>
    <row r="11" spans="1:7">
      <c r="A11" s="953" t="s">
        <v>3420</v>
      </c>
      <c r="B11" s="956">
        <f>+B10/B4</f>
        <v>-0.67786898120172201</v>
      </c>
    </row>
    <row r="12" spans="1:7" ht="24" customHeight="1"/>
    <row r="13" spans="1:7">
      <c r="A13" s="952" t="s">
        <v>3422</v>
      </c>
      <c r="D13" s="1010" t="s">
        <v>3666</v>
      </c>
      <c r="E13" s="1011"/>
    </row>
    <row r="14" spans="1:7">
      <c r="A14" s="953" t="s">
        <v>3423</v>
      </c>
      <c r="B14" s="957">
        <f>+SUM('Part II-Sources of Funds'!L51:M52)</f>
        <v>17238000</v>
      </c>
      <c r="D14" s="1011"/>
      <c r="E14" s="1011"/>
    </row>
    <row r="15" spans="1:7">
      <c r="A15" s="953" t="s">
        <v>3424</v>
      </c>
      <c r="B15" s="958">
        <f>+'Part III-A-Uses of Funds'!J180</f>
        <v>1778368.0742451022</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-17238000</v>
      </c>
      <c r="D20" s="1011" t="s">
        <v>3671</v>
      </c>
      <c r="G20" s="1014">
        <f>+B14-G19</f>
        <v>17238000</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19060000</v>
      </c>
    </row>
    <row r="25" spans="1:7">
      <c r="A25" s="953" t="s">
        <v>3431</v>
      </c>
      <c r="B25" s="961">
        <f>IF('Part II-Sources of Funds'!E6="Yes","N/A",MAX(B46:P46))</f>
        <v>-59761.194884090917</v>
      </c>
    </row>
    <row r="26" spans="1:7">
      <c r="A26" s="953" t="s">
        <v>3432</v>
      </c>
      <c r="B26" s="951">
        <f>IFERROR(PV('Part II-Sources of Funds'!K40,'Part II-Sources of Funds'!L40,B25+B45),B24)</f>
        <v>13107694.584597973</v>
      </c>
    </row>
    <row r="27" spans="1:7" ht="9" customHeight="1">
      <c r="B27" s="951"/>
    </row>
    <row r="28" spans="1:7">
      <c r="A28" s="953" t="s">
        <v>3433</v>
      </c>
      <c r="B28" s="962">
        <f>+B26-B24</f>
        <v>-5952305.4154020268</v>
      </c>
      <c r="C28" s="963"/>
    </row>
    <row r="29" spans="1:7">
      <c r="A29" s="953" t="s">
        <v>3428</v>
      </c>
      <c r="B29" s="964">
        <f>+B28/B24</f>
        <v>-0.31229304383011686</v>
      </c>
    </row>
    <row r="30" spans="1:7" ht="24" customHeight="1"/>
    <row r="31" spans="1:7">
      <c r="A31" s="952" t="s">
        <v>3363</v>
      </c>
    </row>
    <row r="32" spans="1:7">
      <c r="A32" s="953" t="s">
        <v>3434</v>
      </c>
      <c r="B32" s="965">
        <f>+'Part II-Sources of Funds'!I45</f>
        <v>547879.11845102161</v>
      </c>
    </row>
    <row r="33" spans="1:11">
      <c r="A33" s="953" t="s">
        <v>3435</v>
      </c>
      <c r="B33" s="951"/>
    </row>
    <row r="34" spans="1:11" ht="9" customHeight="1">
      <c r="B34" s="951"/>
    </row>
    <row r="35" spans="1:11">
      <c r="A35" s="953" t="s">
        <v>3436</v>
      </c>
      <c r="B35" s="965">
        <f>+B33-B32</f>
        <v>-547879.11845102161</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3846888.6832960788</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1395169.5116756</v>
      </c>
      <c r="C44" s="954">
        <f>+'Part VI-Pro Forma'!C25</f>
        <v>1410201.6082258683</v>
      </c>
      <c r="D44" s="954">
        <f>+'Part VI-Pro Forma'!D25</f>
        <v>1425148.1374966439</v>
      </c>
      <c r="E44" s="954">
        <f>+'Part VI-Pro Forma'!E25</f>
        <v>1439996.5842660232</v>
      </c>
      <c r="F44" s="954">
        <f>+'Part VI-Pro Forma'!F25</f>
        <v>1454731.8354913737</v>
      </c>
      <c r="G44" s="954">
        <f>+'Part VI-Pro Forma'!G25</f>
        <v>1469340.1579274316</v>
      </c>
      <c r="H44" s="954">
        <f>+'Part VI-Pro Forma'!H25</f>
        <v>1483806.1749839988</v>
      </c>
      <c r="I44" s="954">
        <f>+'Part VI-Pro Forma'!I25</f>
        <v>1498113.8427986356</v>
      </c>
      <c r="J44" s="954">
        <f>+'Part VI-Pro Forma'!J25</f>
        <v>1512246.425499016</v>
      </c>
      <c r="K44" s="954">
        <f>+'Part VI-Pro Forma'!K25</f>
        <v>1526186.4696287357</v>
      </c>
    </row>
    <row r="45" spans="1:11">
      <c r="A45" s="953" t="s">
        <v>3440</v>
      </c>
      <c r="B45" s="954">
        <f>SUM('Part VI-Pro Forma'!B26:B29)</f>
        <v>-1102880.0648455757</v>
      </c>
      <c r="C45" s="954">
        <f>SUM('Part VI-Pro Forma'!C26:C29)</f>
        <v>-1102880.0648455757</v>
      </c>
      <c r="D45" s="954">
        <f>SUM('Part VI-Pro Forma'!D26:D29)</f>
        <v>-1102880.0648455757</v>
      </c>
      <c r="E45" s="954">
        <f>SUM('Part VI-Pro Forma'!E26:E29)</f>
        <v>-1102880.0648455757</v>
      </c>
      <c r="F45" s="954">
        <f>SUM('Part VI-Pro Forma'!F26:F29)</f>
        <v>-1102880.0648455757</v>
      </c>
      <c r="G45" s="954">
        <f>SUM('Part VI-Pro Forma'!G26:G29)</f>
        <v>-1102880.0648455757</v>
      </c>
      <c r="H45" s="954">
        <f>SUM('Part VI-Pro Forma'!H26:H29)</f>
        <v>-1102880.0648455757</v>
      </c>
      <c r="I45" s="954">
        <f>SUM('Part VI-Pro Forma'!I26:I29)</f>
        <v>-1102880.0648455757</v>
      </c>
      <c r="J45" s="954">
        <f>SUM('Part VI-Pro Forma'!J26:J29)</f>
        <v>-1102880.0648455757</v>
      </c>
      <c r="K45" s="954">
        <f>SUM('Part VI-Pro Forma'!K26:K29)</f>
        <v>-1102880.0648455757</v>
      </c>
    </row>
    <row r="46" spans="1:11">
      <c r="A46" s="953" t="s">
        <v>3441</v>
      </c>
      <c r="B46" s="955">
        <f t="shared" ref="B46:K46" si="0">-B44/B48-B45</f>
        <v>-59761.194884090917</v>
      </c>
      <c r="C46" s="955">
        <f t="shared" si="0"/>
        <v>-72287.942009314662</v>
      </c>
      <c r="D46" s="955">
        <f t="shared" si="0"/>
        <v>-84743.383068294264</v>
      </c>
      <c r="E46" s="955">
        <f t="shared" si="0"/>
        <v>-97117.088709443808</v>
      </c>
      <c r="F46" s="955">
        <f t="shared" si="0"/>
        <v>-109396.46473056916</v>
      </c>
      <c r="G46" s="955">
        <f t="shared" si="0"/>
        <v>-121570.06676061731</v>
      </c>
      <c r="H46" s="955">
        <f t="shared" si="0"/>
        <v>-133625.08097442333</v>
      </c>
      <c r="I46" s="955">
        <f t="shared" si="0"/>
        <v>-145548.13748662057</v>
      </c>
      <c r="J46" s="955">
        <f t="shared" si="0"/>
        <v>-157325.28973693773</v>
      </c>
      <c r="K46" s="955">
        <f t="shared" si="0"/>
        <v>-168941.99317837064</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1395169.5116756</v>
      </c>
      <c r="C51" s="955">
        <f t="shared" ref="C51:K51" si="2">+C44</f>
        <v>1410201.6082258683</v>
      </c>
      <c r="D51" s="955">
        <f t="shared" si="2"/>
        <v>1425148.1374966439</v>
      </c>
      <c r="E51" s="955">
        <f t="shared" si="2"/>
        <v>1439996.5842660232</v>
      </c>
      <c r="F51" s="955">
        <f t="shared" si="2"/>
        <v>1454731.8354913737</v>
      </c>
      <c r="G51" s="955">
        <f t="shared" si="2"/>
        <v>1469340.1579274316</v>
      </c>
      <c r="H51" s="955">
        <f t="shared" si="2"/>
        <v>1483806.1749839988</v>
      </c>
      <c r="I51" s="955">
        <f t="shared" si="2"/>
        <v>1498113.8427986356</v>
      </c>
      <c r="J51" s="955">
        <f t="shared" si="2"/>
        <v>1512246.425499016</v>
      </c>
      <c r="K51" s="955">
        <f t="shared" si="2"/>
        <v>1526186.4696287357</v>
      </c>
    </row>
    <row r="52" spans="1:17">
      <c r="A52" s="953" t="s">
        <v>3443</v>
      </c>
      <c r="B52" s="955">
        <f>IF($B$25="N/A",B45,B45+$B$25)</f>
        <v>-1162641.2597296666</v>
      </c>
      <c r="C52" s="955">
        <f t="shared" ref="C52:K52" si="3">IF($B$25="N/A",C45,C45+$B$25)</f>
        <v>-1162641.2597296666</v>
      </c>
      <c r="D52" s="955">
        <f t="shared" si="3"/>
        <v>-1162641.2597296666</v>
      </c>
      <c r="E52" s="955">
        <f t="shared" si="3"/>
        <v>-1162641.2597296666</v>
      </c>
      <c r="F52" s="955">
        <f t="shared" si="3"/>
        <v>-1162641.2597296666</v>
      </c>
      <c r="G52" s="955">
        <f t="shared" si="3"/>
        <v>-1162641.2597296666</v>
      </c>
      <c r="H52" s="955">
        <f t="shared" si="3"/>
        <v>-1162641.2597296666</v>
      </c>
      <c r="I52" s="955">
        <f t="shared" si="3"/>
        <v>-1162641.2597296666</v>
      </c>
      <c r="J52" s="955">
        <f t="shared" si="3"/>
        <v>-1162641.2597296666</v>
      </c>
      <c r="K52" s="955">
        <f t="shared" si="3"/>
        <v>-1162641.2597296666</v>
      </c>
    </row>
    <row r="53" spans="1:17">
      <c r="A53" s="953" t="s">
        <v>3444</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3445</v>
      </c>
      <c r="B54" s="955">
        <f>+SUM(B51:B53)</f>
        <v>225028.25194593333</v>
      </c>
      <c r="C54" s="955">
        <f t="shared" ref="C54:K54" si="4">+SUM(C51:C53)</f>
        <v>240060.34849620168</v>
      </c>
      <c r="D54" s="955">
        <f t="shared" si="4"/>
        <v>255006.8777669773</v>
      </c>
      <c r="E54" s="955">
        <f t="shared" si="4"/>
        <v>269855.32453635661</v>
      </c>
      <c r="F54" s="955">
        <f t="shared" si="4"/>
        <v>284590.57576170703</v>
      </c>
      <c r="G54" s="955">
        <f t="shared" si="4"/>
        <v>299198.898197765</v>
      </c>
      <c r="H54" s="955">
        <f t="shared" si="4"/>
        <v>313664.91525433213</v>
      </c>
      <c r="I54" s="955">
        <f t="shared" si="4"/>
        <v>327972.58306896896</v>
      </c>
      <c r="J54" s="955">
        <f t="shared" si="4"/>
        <v>342105.16576934932</v>
      </c>
      <c r="K54" s="955">
        <f t="shared" si="4"/>
        <v>356045.20989906904</v>
      </c>
    </row>
    <row r="55" spans="1:17">
      <c r="A55" s="953" t="s">
        <v>3363</v>
      </c>
      <c r="B55" s="955">
        <f>-B54</f>
        <v>-225028.25194593333</v>
      </c>
      <c r="C55" s="955">
        <f t="shared" ref="C55:K55" si="5">-C54</f>
        <v>-240060.34849620168</v>
      </c>
      <c r="D55" s="955">
        <f t="shared" si="5"/>
        <v>-255006.8777669773</v>
      </c>
      <c r="E55" s="955">
        <f t="shared" si="5"/>
        <v>-269855.32453635661</v>
      </c>
      <c r="F55" s="955">
        <f t="shared" si="5"/>
        <v>-284590.57576170703</v>
      </c>
      <c r="G55" s="955">
        <f t="shared" si="5"/>
        <v>-299198.898197765</v>
      </c>
      <c r="H55" s="955">
        <f t="shared" si="5"/>
        <v>-313664.91525433213</v>
      </c>
      <c r="I55" s="955">
        <f t="shared" si="5"/>
        <v>-327972.58306896896</v>
      </c>
      <c r="J55" s="955">
        <f t="shared" si="5"/>
        <v>-342105.16576934932</v>
      </c>
      <c r="K55" s="955">
        <f t="shared" si="5"/>
        <v>-356045.20989906904</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12588650.448332543</v>
      </c>
      <c r="C58" s="954">
        <f>IF($B$26="","",-FV('Part II-Sources of Funds'!$K$40/12,12,C52/12,B58))</f>
        <v>12043051.028971387</v>
      </c>
      <c r="D58" s="954">
        <f>IF($B$26="","",-FV('Part II-Sources of Funds'!$K$40/12,12,D52/12,C58))</f>
        <v>11469537.707832543</v>
      </c>
      <c r="E58" s="954">
        <f>IF($B$26="","",-FV('Part II-Sources of Funds'!$K$40/12,12,E52/12,D58))</f>
        <v>10866682.35672378</v>
      </c>
      <c r="F58" s="954">
        <f>IF($B$26="","",-FV('Part II-Sources of Funds'!$K$40/12,12,F52/12,E58))</f>
        <v>10232983.781704133</v>
      </c>
      <c r="G58" s="954">
        <f>IF($B$26="","",-FV('Part II-Sources of Funds'!$K$40/12,12,G52/12,F58))</f>
        <v>9566863.9849015325</v>
      </c>
      <c r="H58" s="954">
        <f>IF($B$26="","",-FV('Part II-Sources of Funds'!$K$40/12,12,H52/12,G58))</f>
        <v>8866664.2350779157</v>
      </c>
      <c r="I58" s="954">
        <f>IF($B$26="","",-FV('Part II-Sources of Funds'!$K$40/12,12,I52/12,H58))</f>
        <v>8130640.9371570088</v>
      </c>
      <c r="J58" s="954">
        <f>IF($B$26="","",-FV('Part II-Sources of Funds'!$K$40/12,12,J52/12,I58))</f>
        <v>7356961.290429296</v>
      </c>
      <c r="K58" s="954">
        <f>IF($B$26="","",-FV('Part II-Sources of Funds'!$K$40/12,12,K52/12,J58))</f>
        <v>6543698.7246225234</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1539916.7777096417</v>
      </c>
      <c r="C64" s="954">
        <f>+'Part VI-Pro Forma'!C57</f>
        <v>1553417.3809128148</v>
      </c>
      <c r="D64" s="954">
        <f>+'Part VI-Pro Forma'!D57</f>
        <v>1566669.5108095226</v>
      </c>
      <c r="E64" s="954">
        <f>+'Part VI-Pro Forma'!E57</f>
        <v>1579651.5701725169</v>
      </c>
      <c r="F64" s="954">
        <f>+'Part VI-Pro Forma'!F57</f>
        <v>1592343.1027971765</v>
      </c>
      <c r="G64" s="954">
        <f>+'Part VI-Pro Forma'!G57</f>
        <v>1604721.7623109631</v>
      </c>
      <c r="H64" s="954">
        <f>+'Part VI-Pro Forma'!H57</f>
        <v>1616764.2799387632</v>
      </c>
      <c r="I64" s="954">
        <f>+'Part VI-Pro Forma'!I57</f>
        <v>1628445.4311905664</v>
      </c>
      <c r="J64" s="954">
        <f>+'Part VI-Pro Forma'!J57</f>
        <v>1639740.0014369953</v>
      </c>
      <c r="K64" s="954">
        <f>+'Part VI-Pro Forma'!K57</f>
        <v>1650622.7503370314</v>
      </c>
    </row>
    <row r="65" spans="1:11">
      <c r="A65" s="953" t="s">
        <v>3440</v>
      </c>
      <c r="B65" s="954">
        <f>SUM('Part VI-Pro Forma'!B58:B61)</f>
        <v>-1102880.0648455757</v>
      </c>
      <c r="C65" s="954">
        <f>SUM('Part VI-Pro Forma'!C58:C61)</f>
        <v>-1102880.0648455757</v>
      </c>
      <c r="D65" s="954">
        <f>SUM('Part VI-Pro Forma'!D58:D61)</f>
        <v>-1102880.0648455757</v>
      </c>
      <c r="E65" s="954">
        <f>SUM('Part VI-Pro Forma'!E58:E61)</f>
        <v>-1102880.0648455757</v>
      </c>
      <c r="F65" s="954">
        <f>SUM('Part VI-Pro Forma'!F58:F61)</f>
        <v>-1102880.0648455757</v>
      </c>
      <c r="G65" s="954">
        <f>SUM('Part VI-Pro Forma'!G58:G61)</f>
        <v>-1102880.0648455757</v>
      </c>
      <c r="H65" s="954">
        <f>SUM('Part VI-Pro Forma'!H58:H61)</f>
        <v>-1102880.0648455757</v>
      </c>
      <c r="I65" s="954">
        <f>SUM('Part VI-Pro Forma'!I58:I61)</f>
        <v>-1102880.0648455757</v>
      </c>
      <c r="J65" s="954">
        <f>SUM('Part VI-Pro Forma'!J58:J61)</f>
        <v>-1102880.0648455757</v>
      </c>
      <c r="K65" s="954">
        <f>SUM('Part VI-Pro Forma'!K58:K61)</f>
        <v>-1102880.0648455757</v>
      </c>
    </row>
    <row r="66" spans="1:11">
      <c r="A66" s="953" t="s">
        <v>3441</v>
      </c>
      <c r="B66" s="955">
        <f t="shared" ref="B66:K66" si="7">-B64/B68-B65</f>
        <v>-180383.91657912568</v>
      </c>
      <c r="C66" s="955">
        <f t="shared" si="7"/>
        <v>-191634.41924843658</v>
      </c>
      <c r="D66" s="955">
        <f t="shared" si="7"/>
        <v>-202677.86082902644</v>
      </c>
      <c r="E66" s="955">
        <f t="shared" si="7"/>
        <v>-213496.24363152171</v>
      </c>
      <c r="F66" s="955">
        <f t="shared" si="7"/>
        <v>-224072.52081873803</v>
      </c>
      <c r="G66" s="955">
        <f t="shared" si="7"/>
        <v>-234388.07041356037</v>
      </c>
      <c r="H66" s="955">
        <f t="shared" si="7"/>
        <v>-244423.50177006028</v>
      </c>
      <c r="I66" s="955">
        <f t="shared" si="7"/>
        <v>-254157.79447989631</v>
      </c>
      <c r="J66" s="955">
        <f t="shared" si="7"/>
        <v>-263569.93635192048</v>
      </c>
      <c r="K66" s="955">
        <f t="shared" si="7"/>
        <v>-272638.89376861718</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1539916.7777096417</v>
      </c>
      <c r="C71" s="955">
        <f t="shared" si="9"/>
        <v>1553417.3809128148</v>
      </c>
      <c r="D71" s="955">
        <f t="shared" si="9"/>
        <v>1566669.5108095226</v>
      </c>
      <c r="E71" s="955">
        <f t="shared" si="9"/>
        <v>1579651.5701725169</v>
      </c>
      <c r="F71" s="955">
        <f t="shared" si="9"/>
        <v>1592343.1027971765</v>
      </c>
      <c r="G71" s="955">
        <f t="shared" si="9"/>
        <v>1604721.7623109631</v>
      </c>
      <c r="H71" s="955">
        <f>+H64</f>
        <v>1616764.2799387632</v>
      </c>
      <c r="I71" s="955">
        <f>+I64</f>
        <v>1628445.4311905664</v>
      </c>
      <c r="J71" s="955">
        <f>+J64</f>
        <v>1639740.0014369953</v>
      </c>
      <c r="K71" s="955">
        <f>+K64</f>
        <v>1650622.7503370314</v>
      </c>
    </row>
    <row r="72" spans="1:11">
      <c r="A72" s="953" t="s">
        <v>3443</v>
      </c>
      <c r="B72" s="955">
        <f t="shared" ref="B72:G72" si="10">IF($B$25="N/A",B65,B65+$B$25)</f>
        <v>-1162641.2597296666</v>
      </c>
      <c r="C72" s="955">
        <f t="shared" si="10"/>
        <v>-1162641.2597296666</v>
      </c>
      <c r="D72" s="955">
        <f t="shared" si="10"/>
        <v>-1162641.2597296666</v>
      </c>
      <c r="E72" s="955">
        <f t="shared" si="10"/>
        <v>-1162641.2597296666</v>
      </c>
      <c r="F72" s="955">
        <f t="shared" si="10"/>
        <v>-1162641.2597296666</v>
      </c>
      <c r="G72" s="955">
        <f t="shared" si="10"/>
        <v>-1162641.2597296666</v>
      </c>
      <c r="H72" s="955">
        <f>IF($B$25="N/A",H65,H65+$B$25)</f>
        <v>-1162641.2597296666</v>
      </c>
      <c r="I72" s="955">
        <f>IF($B$25="N/A",I65,I65+$B$25)</f>
        <v>-1162641.2597296666</v>
      </c>
      <c r="J72" s="955">
        <f>IF($B$25="N/A",J65,J65+$B$25)</f>
        <v>-1162641.2597296666</v>
      </c>
      <c r="K72" s="955">
        <f>IF($B$25="N/A",K65,K65+$B$25)</f>
        <v>-1162641.2597296666</v>
      </c>
    </row>
    <row r="73" spans="1:11">
      <c r="A73" s="953" t="s">
        <v>3444</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3445</v>
      </c>
      <c r="B74" s="955">
        <f t="shared" ref="B74:G74" si="11">+SUM(B71:B73)</f>
        <v>369775.51797997509</v>
      </c>
      <c r="C74" s="955">
        <f t="shared" si="11"/>
        <v>383276.12118314812</v>
      </c>
      <c r="D74" s="955">
        <f t="shared" si="11"/>
        <v>396528.25107985595</v>
      </c>
      <c r="E74" s="955">
        <f t="shared" si="11"/>
        <v>409510.31044285023</v>
      </c>
      <c r="F74" s="955">
        <f t="shared" si="11"/>
        <v>422201.84306750982</v>
      </c>
      <c r="G74" s="955">
        <f t="shared" si="11"/>
        <v>434580.50258129649</v>
      </c>
      <c r="H74" s="955">
        <f>+SUM(H71:H73)</f>
        <v>446623.0202090966</v>
      </c>
      <c r="I74" s="955">
        <f>+SUM(I71:I73)</f>
        <v>458304.17146089976</v>
      </c>
      <c r="J74" s="955">
        <f>+SUM(J71:J73)</f>
        <v>469598.74170732871</v>
      </c>
      <c r="K74" s="955">
        <f>+SUM(K71:K73)</f>
        <v>480481.4906073648</v>
      </c>
    </row>
    <row r="75" spans="1:11">
      <c r="A75" s="953" t="s">
        <v>3363</v>
      </c>
      <c r="B75" s="955">
        <f t="shared" ref="B75:G75" si="12">-B74</f>
        <v>-369775.51797997509</v>
      </c>
      <c r="C75" s="955">
        <f t="shared" si="12"/>
        <v>-383276.12118314812</v>
      </c>
      <c r="D75" s="955">
        <f t="shared" si="12"/>
        <v>-396528.25107985595</v>
      </c>
      <c r="E75" s="955">
        <f t="shared" si="12"/>
        <v>-409510.31044285023</v>
      </c>
      <c r="F75" s="955">
        <f t="shared" si="12"/>
        <v>-422201.84306750982</v>
      </c>
      <c r="G75" s="955">
        <f t="shared" si="12"/>
        <v>-434580.50258129649</v>
      </c>
      <c r="H75" s="955">
        <f>-H74</f>
        <v>-446623.0202090966</v>
      </c>
      <c r="I75" s="955">
        <f>-I74</f>
        <v>-458304.17146089976</v>
      </c>
      <c r="J75" s="955">
        <f>-J74</f>
        <v>-469598.74170732871</v>
      </c>
      <c r="K75" s="955">
        <f>-K74</f>
        <v>-480481.4906073648</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5688828.1024729079</v>
      </c>
      <c r="C78" s="954">
        <f>IF($B$26="","",-FV('Part II-Sources of Funds'!$K$40/12,12,C72/12,B78))</f>
        <v>4790220.6768507799</v>
      </c>
      <c r="D78" s="954">
        <f>IF($B$26="","",-FV('Part II-Sources of Funds'!$K$40/12,12,D72/12,C78))</f>
        <v>3845638.7898832057</v>
      </c>
      <c r="E78" s="954">
        <f>IF($B$26="","",-FV('Part II-Sources of Funds'!$K$40/12,12,E72/12,D78))</f>
        <v>2852730.3008736605</v>
      </c>
      <c r="F78" s="954">
        <f>IF($B$26="","",-FV('Part II-Sources of Funds'!$K$40/12,12,F72/12,E78))</f>
        <v>1809022.7291435034</v>
      </c>
      <c r="G78" s="954">
        <f>IF($B$26="","",-FV('Part II-Sources of Funds'!$K$40/12,12,G72/12,F78))</f>
        <v>711917.09721009573</v>
      </c>
      <c r="H78" s="954">
        <f>IF($B$26="","",-FV('Part II-Sources of Funds'!$K$40/12,12,H72/12,G78))</f>
        <v>-441318.54102976341</v>
      </c>
      <c r="I78" s="954">
        <f>IF($B$26="","",-FV('Part II-Sources of Funds'!$K$40/12,12,I72/12,H78))</f>
        <v>-1653555.9032268259</v>
      </c>
      <c r="J78" s="954">
        <f>IF($B$26="","",-FV('Part II-Sources of Funds'!$K$40/12,12,J72/12,I78))</f>
        <v>-2927813.6295570363</v>
      </c>
      <c r="K78" s="954">
        <f>IF($B$26="","",-FV('Part II-Sources of Funds'!$K$40/12,12,K72/12,J78))</f>
        <v>-4267264.7995567629</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Bon Air</v>
      </c>
    </row>
    <row r="2" spans="1:15" ht="13.5" customHeight="1"/>
    <row r="3" spans="1:15" ht="13.5" customHeight="1">
      <c r="A3" s="517" t="s">
        <v>2706</v>
      </c>
      <c r="C3" s="516" t="s">
        <v>2707</v>
      </c>
      <c r="E3" s="586">
        <f>SUM('Part III-A-Uses of Funds'!J162,'Part III-A-Uses of Funds'!M162,'Part III-A-Uses of Funds'!P162)</f>
        <v>23261212.747008782</v>
      </c>
      <c r="F3" s="1024" t="s">
        <v>2708</v>
      </c>
      <c r="H3" s="1006">
        <v>27.5</v>
      </c>
      <c r="I3" s="516" t="s">
        <v>2273</v>
      </c>
      <c r="K3" s="521" t="s">
        <v>2729</v>
      </c>
      <c r="M3" s="1024"/>
      <c r="O3" s="587"/>
    </row>
    <row r="4" spans="1:15" ht="13.5" customHeight="1">
      <c r="C4" s="516" t="s">
        <v>3128</v>
      </c>
      <c r="E4" s="586">
        <f>SUM('Part III-A-Uses of Funds'!G97:H101)</f>
        <v>48750</v>
      </c>
      <c r="F4" s="1024" t="s">
        <v>3663</v>
      </c>
      <c r="H4" s="517">
        <f>'Part II-Sources of Funds'!M40</f>
        <v>40</v>
      </c>
      <c r="I4" s="516" t="s">
        <v>2273</v>
      </c>
      <c r="K4" s="588" t="s">
        <v>2957</v>
      </c>
      <c r="M4" s="1024"/>
    </row>
    <row r="5" spans="1:15" ht="13.5" customHeight="1">
      <c r="C5" s="516" t="s">
        <v>3129</v>
      </c>
      <c r="E5" s="586">
        <f>SUM('Part III-A-Uses of Funds'!G105:H111)</f>
        <v>286800</v>
      </c>
      <c r="F5" s="1024" t="s">
        <v>3662</v>
      </c>
      <c r="H5" s="1006">
        <v>15</v>
      </c>
      <c r="I5" s="516" t="s">
        <v>2273</v>
      </c>
      <c r="K5" s="587">
        <f>-E6</f>
        <v>-17236276.215882543</v>
      </c>
    </row>
    <row r="6" spans="1:15" ht="13.5" customHeight="1">
      <c r="C6" s="516" t="s">
        <v>2709</v>
      </c>
      <c r="E6" s="589">
        <f>'Part II-Sources of Funds'!$I$51+'Part II-Sources of Funds'!$I$52</f>
        <v>17236276.215882543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284789.44683002424</v>
      </c>
      <c r="D9" s="594">
        <f>'Part VI-Pro Forma'!C33</f>
        <v>220892.5433802926</v>
      </c>
      <c r="E9" s="594">
        <f>'Part VI-Pro Forma'!D33</f>
        <v>143027.07265106821</v>
      </c>
      <c r="F9" s="594">
        <f>'Part VI-Pro Forma'!E33</f>
        <v>146663.51942044753</v>
      </c>
      <c r="G9" s="594">
        <f>'Part VI-Pro Forma'!F33</f>
        <v>230095.77064579795</v>
      </c>
      <c r="H9" s="594">
        <f>'Part VI-Pro Forma'!G33</f>
        <v>358960.09308185591</v>
      </c>
      <c r="I9" s="594">
        <f>'Part VI-Pro Forma'!H33</f>
        <v>373426.11013842304</v>
      </c>
      <c r="K9" s="587" t="e">
        <f>F24</f>
        <v>#VALUE!</v>
      </c>
      <c r="N9" s="595" t="s">
        <v>2715</v>
      </c>
    </row>
    <row r="10" spans="1:15" ht="13.5" customHeight="1">
      <c r="A10" s="516" t="s">
        <v>2714</v>
      </c>
      <c r="C10" s="978">
        <f>'Part II-Sources of Funds'!I40-'Part VI-Pro Forma'!B40</f>
        <v>153362.97144273669</v>
      </c>
      <c r="D10" s="596">
        <f>'Part VI-Pro Forma'!B40-'Part VI-Pro Forma'!C40</f>
        <v>161209.31212652847</v>
      </c>
      <c r="E10" s="596">
        <f>'Part VI-Pro Forma'!C40-'Part VI-Pro Forma'!D40</f>
        <v>169457.08649113029</v>
      </c>
      <c r="F10" s="596">
        <f>'Part VI-Pro Forma'!D40-'Part VI-Pro Forma'!E40</f>
        <v>178126.83264552802</v>
      </c>
      <c r="G10" s="596">
        <f>'Part VI-Pro Forma'!E40-'Part VI-Pro Forma'!F40</f>
        <v>187240.13946733251</v>
      </c>
      <c r="H10" s="596">
        <f>'Part VI-Pro Forma'!F40-'Part VI-Pro Forma'!G40</f>
        <v>196819.70036212355</v>
      </c>
      <c r="I10" s="596">
        <f>'Part VI-Pro Forma'!G40-'Part VI-Pro Forma'!H40</f>
        <v>206889.36977316439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-85260</v>
      </c>
      <c r="D13" s="979">
        <f>'Part VI-Pro Forma'!C23</f>
        <v>-87817.8</v>
      </c>
      <c r="E13" s="979">
        <f>'Part VI-Pro Forma'!D23</f>
        <v>-90452.334000000003</v>
      </c>
      <c r="F13" s="979">
        <f>'Part VI-Pro Forma'!E23</f>
        <v>-93165.904020000002</v>
      </c>
      <c r="G13" s="979">
        <f>'Part VI-Pro Forma'!F23</f>
        <v>-95960.881140599988</v>
      </c>
      <c r="H13" s="979">
        <f>'Part VI-Pro Forma'!G23</f>
        <v>-98839.707574817992</v>
      </c>
      <c r="I13" s="979">
        <f>'Part VI-Pro Forma'!H23</f>
        <v>-101804.89880206253</v>
      </c>
      <c r="K13" s="587" t="e">
        <f>C44</f>
        <v>#VALUE!</v>
      </c>
      <c r="O13" s="592"/>
    </row>
    <row r="14" spans="1:15" ht="13.5" customHeight="1">
      <c r="A14" s="598" t="s">
        <v>3131</v>
      </c>
      <c r="B14" s="598"/>
      <c r="C14" s="979">
        <f>'Part VI-Pro Forma'!B32</f>
        <v>0</v>
      </c>
      <c r="D14" s="979">
        <f>'Part VI-Pro Forma'!C32</f>
        <v>-78929</v>
      </c>
      <c r="E14" s="979">
        <f>'Part VI-Pro Forma'!D32</f>
        <v>-171741</v>
      </c>
      <c r="F14" s="979">
        <f>'Part VI-Pro Forma'!E32</f>
        <v>-182953</v>
      </c>
      <c r="G14" s="979">
        <f>'Part VI-Pro Forma'!F32</f>
        <v>-114256</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845862.28170941025</v>
      </c>
      <c r="D15" s="599">
        <f t="shared" si="0"/>
        <v>845862.28170941025</v>
      </c>
      <c r="E15" s="599">
        <f t="shared" si="0"/>
        <v>845862.28170941025</v>
      </c>
      <c r="F15" s="599">
        <f t="shared" si="0"/>
        <v>845862.28170941025</v>
      </c>
      <c r="G15" s="599">
        <f t="shared" si="0"/>
        <v>845862.28170941025</v>
      </c>
      <c r="H15" s="599">
        <f t="shared" si="0"/>
        <v>845862.28170941025</v>
      </c>
      <c r="I15" s="599">
        <f t="shared" si="0"/>
        <v>845862.28170941025</v>
      </c>
      <c r="K15" s="587" t="e">
        <f>E44</f>
        <v>#VALUE!</v>
      </c>
      <c r="O15" s="592"/>
    </row>
    <row r="16" spans="1:15" ht="13.5" customHeight="1">
      <c r="A16" s="516" t="s">
        <v>2719</v>
      </c>
      <c r="C16" s="599">
        <f>IF(C$8&lt;=$H$4,($E$4/$H$4),0)+IF(C$8&lt;=$H$5,($E$5/$H$5),0)</f>
        <v>20338.75</v>
      </c>
      <c r="D16" s="599">
        <f t="shared" ref="D16:I16" si="1">IF(D$8&lt;=$H$4,($E$4/$H$4),0)+IF(D$8&lt;=$H$5,($E$5/$H$5),0)</f>
        <v>20338.75</v>
      </c>
      <c r="E16" s="599">
        <f t="shared" si="1"/>
        <v>20338.75</v>
      </c>
      <c r="F16" s="599">
        <f t="shared" si="1"/>
        <v>20338.75</v>
      </c>
      <c r="G16" s="599">
        <f t="shared" si="1"/>
        <v>20338.75</v>
      </c>
      <c r="H16" s="599">
        <f t="shared" si="1"/>
        <v>20338.75</v>
      </c>
      <c r="I16" s="599">
        <f t="shared" si="1"/>
        <v>20338.75</v>
      </c>
      <c r="K16" s="587" t="e">
        <f>F44</f>
        <v>#VALUE!</v>
      </c>
      <c r="M16" s="516" t="s">
        <v>2723</v>
      </c>
      <c r="O16" s="592">
        <f>E3</f>
        <v>23261212.747008782</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16917245.634188205</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6343967.1128205769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6343967.1128205769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-6343967.1128205769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387733.77795305988</v>
      </c>
      <c r="D29" s="594">
        <f>'Part VI-Pro Forma'!J33</f>
        <v>401866.36065344024</v>
      </c>
      <c r="E29" s="594">
        <f>'Part VI-Pro Forma'!K33</f>
        <v>415806.40478315996</v>
      </c>
      <c r="F29" s="594">
        <f>'Part VI-Pro Forma'!B65</f>
        <v>429536.71286406601</v>
      </c>
      <c r="G29" s="594">
        <f>'Part VI-Pro Forma'!C65</f>
        <v>443037.31606723904</v>
      </c>
      <c r="H29" s="594">
        <f>'Part VI-Pro Forma'!D65</f>
        <v>456289.44596394687</v>
      </c>
      <c r="I29" s="594">
        <f>'Part VI-Pro Forma'!E65</f>
        <v>469271.50532694114</v>
      </c>
      <c r="N29" s="603"/>
      <c r="O29" s="603"/>
    </row>
    <row r="30" spans="1:17" ht="13.5" customHeight="1">
      <c r="A30" s="516" t="s">
        <v>2714</v>
      </c>
      <c r="C30" s="596">
        <f>'Part VI-Pro Forma'!H40-'Part VI-Pro Forma'!I40</f>
        <v>217474.22258231416</v>
      </c>
      <c r="D30" s="596">
        <f>'Part VI-Pro Forma'!I40-'Part VI-Pro Forma'!J40</f>
        <v>228600.6165499799</v>
      </c>
      <c r="E30" s="596">
        <f>'Part VI-Pro Forma'!J40-'Part VI-Pro Forma'!K40</f>
        <v>240296.25794961303</v>
      </c>
      <c r="F30" s="976">
        <f>'Part VI-Pro Forma'!K40-'Part VI-Pro Forma'!B72</f>
        <v>252590.27056019381</v>
      </c>
      <c r="G30" s="976">
        <f>'Part VI-Pro Forma'!B72-'Part VI-Pro Forma'!C72</f>
        <v>265513.26818851568</v>
      </c>
      <c r="H30" s="976">
        <f>'Part VI-Pro Forma'!C72-'Part VI-Pro Forma'!D72</f>
        <v>279097.4309018217</v>
      </c>
      <c r="I30" s="976">
        <f>'Part VI-Pro Forma'!D72-'Part VI-Pro Forma'!E72</f>
        <v>293376.58516067266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-1268793.4225641154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-104859.04576612441</v>
      </c>
      <c r="D33" s="979">
        <f>'Part VI-Pro Forma'!J23</f>
        <v>-108004.81713910814</v>
      </c>
      <c r="E33" s="979">
        <f>'Part VI-Pro Forma'!K23</f>
        <v>-111244.96165328138</v>
      </c>
      <c r="F33" s="979">
        <f>'Part VI-Pro Forma'!B55</f>
        <v>-114582.31050287982</v>
      </c>
      <c r="G33" s="979">
        <f>'Part VI-Pro Forma'!C55</f>
        <v>-118019.77981796622</v>
      </c>
      <c r="H33" s="979">
        <f>'Part VI-Pro Forma'!D55</f>
        <v>-121560.37321250519</v>
      </c>
      <c r="I33" s="979">
        <f>'Part VI-Pro Forma'!E55</f>
        <v>-125207.18440888033</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845862.28170941025</v>
      </c>
      <c r="D35" s="599">
        <f t="shared" si="8"/>
        <v>845862.28170941025</v>
      </c>
      <c r="E35" s="599">
        <f t="shared" si="8"/>
        <v>845862.28170941025</v>
      </c>
      <c r="F35" s="599">
        <f t="shared" si="8"/>
        <v>845862.28170941025</v>
      </c>
      <c r="G35" s="599">
        <f t="shared" si="8"/>
        <v>845862.28170941025</v>
      </c>
      <c r="H35" s="599">
        <f t="shared" si="8"/>
        <v>845862.28170941025</v>
      </c>
      <c r="I35" s="599">
        <f t="shared" si="8"/>
        <v>845862.28170941025</v>
      </c>
    </row>
    <row r="36" spans="1:15" ht="13.5" customHeight="1">
      <c r="A36" s="516" t="s">
        <v>2719</v>
      </c>
      <c r="C36" s="594">
        <f>IF(C$28&lt;=$H$4,($E$4/$H$4),0)+IF(C$28&lt;=$H$5,($E$5/$H$5),0)</f>
        <v>20338.75</v>
      </c>
      <c r="D36" s="594">
        <f t="shared" ref="D36:I36" si="9">IF(D$28&lt;=$H$4,($E$4/$H$4),0)+IF(D$28&lt;=$H$5,($E$5/$H$5),0)</f>
        <v>20338.75</v>
      </c>
      <c r="E36" s="594">
        <f t="shared" si="9"/>
        <v>20338.75</v>
      </c>
      <c r="F36" s="594">
        <f t="shared" si="9"/>
        <v>20338.75</v>
      </c>
      <c r="G36" s="594">
        <f t="shared" si="9"/>
        <v>20338.75</v>
      </c>
      <c r="H36" s="594">
        <f t="shared" si="9"/>
        <v>20338.75</v>
      </c>
      <c r="I36" s="594">
        <f t="shared" si="9"/>
        <v>20338.75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481963.03795160074</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308386.2880515568</v>
      </c>
      <c r="D50" s="977">
        <f>'Part VI-Pro Forma'!F72-'Part VI-Pro Forma'!G72</f>
        <v>324163.91582897678</v>
      </c>
      <c r="E50" s="977">
        <f>'Part VI-Pro Forma'!G72-'Part VI-Pro Forma'!H72</f>
        <v>340748.75698756054</v>
      </c>
      <c r="F50" s="977">
        <f>'Part VI-Pro Forma'!H72-'Part VI-Pro Forma'!I72</f>
        <v>358182.11009588651</v>
      </c>
      <c r="G50" s="977">
        <f>'Part VI-Pro Forma'!I72-'Part VI-Pro Forma'!J72</f>
        <v>376507.38663567603</v>
      </c>
      <c r="H50" s="977">
        <f>'Part VI-Pro Forma'!J72-'Part VI-Pro Forma'!K72</f>
        <v>395770.21910244785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-128963.39994114677</v>
      </c>
      <c r="D53" s="979">
        <f>'Part VI-Pro Forma'!G55</f>
        <v>-132832.30193938117</v>
      </c>
      <c r="E53" s="979">
        <f>'Part VI-Pro Forma'!H55</f>
        <v>-136817.27099756259</v>
      </c>
      <c r="F53" s="979">
        <f>'Part VI-Pro Forma'!I55</f>
        <v>-140921.78912748946</v>
      </c>
      <c r="G53" s="979">
        <f>'Part VI-Pro Forma'!J55</f>
        <v>-145149.44280131414</v>
      </c>
      <c r="H53" s="979">
        <f>'Part VI-Pro Forma'!K55</f>
        <v>-149503.92608535357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845862.28170941025</v>
      </c>
      <c r="D55" s="599">
        <f t="shared" si="14"/>
        <v>845862.28170941025</v>
      </c>
      <c r="E55" s="599">
        <f t="shared" si="14"/>
        <v>845862.28170941025</v>
      </c>
      <c r="F55" s="599">
        <f t="shared" si="14"/>
        <v>845862.28170941025</v>
      </c>
      <c r="G55" s="599">
        <f t="shared" si="14"/>
        <v>845862.28170941025</v>
      </c>
      <c r="H55" s="599">
        <f t="shared" si="14"/>
        <v>845862.28170941025</v>
      </c>
    </row>
    <row r="56" spans="1:10" ht="13.5" customHeight="1">
      <c r="A56" s="516" t="s">
        <v>2719</v>
      </c>
      <c r="C56" s="594">
        <f t="shared" ref="C56:H56" si="15">IF(C$48&lt;=$H$4,($E$4/$H$4),0)+IF(C$48&lt;=$H$5,($E$5/$H$5),0)</f>
        <v>20338.75</v>
      </c>
      <c r="D56" s="594">
        <f t="shared" si="15"/>
        <v>1218.75</v>
      </c>
      <c r="E56" s="594">
        <f t="shared" si="15"/>
        <v>1218.75</v>
      </c>
      <c r="F56" s="594">
        <f t="shared" si="15"/>
        <v>1218.75</v>
      </c>
      <c r="G56" s="594">
        <f t="shared" si="15"/>
        <v>1218.75</v>
      </c>
      <c r="H56" s="594">
        <f t="shared" si="15"/>
        <v>1218.75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Bon Air</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6062</v>
      </c>
      <c r="B4" s="4770"/>
      <c r="C4" s="1476"/>
      <c r="D4" s="4770" t="s">
        <v>6063</v>
      </c>
      <c r="E4" s="4770"/>
      <c r="F4" s="523"/>
      <c r="G4" s="4770" t="s">
        <v>6064</v>
      </c>
      <c r="H4" s="4770"/>
      <c r="I4" s="523"/>
      <c r="J4" s="4770" t="s">
        <v>6179</v>
      </c>
      <c r="K4" s="4770"/>
    </row>
    <row r="5" spans="1:11" ht="25.9" customHeight="1">
      <c r="A5" s="4771" t="str">
        <f>'Part II-Sources of Funds'!E40</f>
        <v>Berkadia Commercial Mortgage, LLC</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91906.672070464643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91906.672070464643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91906.672070464643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91906.672070464643</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91906.672070464643</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91906.672070464643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91906.672070464643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91906.672070464643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91906.672070464643</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91906.672070464643</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91906.672070464643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91906.672070464643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91906.672070464643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91906.672070464643</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91906.672070464643</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91906.672070464643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91906.672070464643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91906.672070464643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91906.672070464643</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91906.672070464643</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91906.672070464643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91906.672070464643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91906.672070464643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91906.672070464643</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91906.672070464643</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91906.672070464643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91906.672070464643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91906.672070464643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91906.672070464643</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91906.672070464643</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91906.672070464643</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91906.672070464643</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91906.672070464643</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91906.672070464643</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91906.672070464643</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Bon Air</v>
      </c>
      <c r="B1" s="4773"/>
      <c r="C1" s="4773"/>
      <c r="D1" s="4773"/>
      <c r="E1" s="4773"/>
      <c r="F1" s="4773"/>
      <c r="G1" s="4773"/>
      <c r="H1" s="4773"/>
    </row>
    <row r="3" spans="1:11" ht="12" customHeight="1">
      <c r="A3" s="4774" t="s">
        <v>3105</v>
      </c>
      <c r="B3" s="4774"/>
      <c r="C3" s="4774"/>
      <c r="D3" s="4774"/>
      <c r="E3" s="4774"/>
      <c r="F3" s="4774"/>
      <c r="G3" s="4774"/>
      <c r="H3" s="4774"/>
      <c r="I3" s="1027"/>
      <c r="J3" s="4776" t="s">
        <v>3460</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3465</v>
      </c>
      <c r="E11" s="4777"/>
      <c r="F11" s="4777"/>
      <c r="G11" s="4777"/>
      <c r="H11" s="4777"/>
    </row>
    <row r="12" spans="1:11" ht="12" customHeight="1">
      <c r="C12" s="432" t="s">
        <v>3461</v>
      </c>
      <c r="E12" s="1991"/>
    </row>
    <row r="13" spans="1:11" ht="12" customHeight="1">
      <c r="C13" s="432" t="s">
        <v>3464</v>
      </c>
      <c r="E13" s="1991"/>
    </row>
    <row r="14" spans="1:11" ht="3" customHeight="1"/>
    <row r="15" spans="1:11" ht="12" customHeight="1">
      <c r="A15" s="432">
        <v>3</v>
      </c>
      <c r="C15" s="432" t="s">
        <v>2743</v>
      </c>
      <c r="E15" s="620" t="str">
        <f>'Sensitivity Analysis'!C8</f>
        <v>Bon Air</v>
      </c>
    </row>
    <row r="16" spans="1:11" ht="12" customHeight="1">
      <c r="C16" s="432" t="s">
        <v>2744</v>
      </c>
      <c r="E16" s="4777"/>
      <c r="F16" s="4777"/>
      <c r="G16" s="4777"/>
      <c r="H16" s="4777"/>
    </row>
    <row r="17" spans="1:8" ht="12" customHeight="1">
      <c r="E17" s="438" t="str">
        <f>'Part I-Project Identification'!$F$26</f>
        <v>Augusta</v>
      </c>
      <c r="F17" s="609" t="s">
        <v>791</v>
      </c>
      <c r="G17" s="4778" t="s">
        <v>6752</v>
      </c>
      <c r="H17" s="4778"/>
    </row>
    <row r="18" spans="1:8" ht="12" customHeight="1">
      <c r="E18" s="620" t="str">
        <f>(CONCATENATE('Part I-Project Identification'!$J$26," County"))</f>
        <v>Richmond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3461</v>
      </c>
      <c r="E23" s="1991"/>
    </row>
    <row r="24" spans="1:8" ht="12" customHeight="1">
      <c r="C24" s="432" t="s">
        <v>3464</v>
      </c>
      <c r="E24" s="1991"/>
    </row>
    <row r="25" spans="1:8" ht="12" customHeight="1">
      <c r="C25" s="432" t="s">
        <v>3465</v>
      </c>
      <c r="E25" s="4777"/>
      <c r="F25" s="4777"/>
      <c r="G25" s="4777"/>
      <c r="H25" s="4777"/>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32100000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3467</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203</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1</v>
      </c>
      <c r="G57" s="432" t="s">
        <v>3466</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13926187.259096241</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6163</v>
      </c>
    </row>
    <row r="65" spans="1:7" ht="12" customHeight="1">
      <c r="E65" s="1036" t="s">
        <v>3107</v>
      </c>
      <c r="F65" s="1037" t="s">
        <v>3108</v>
      </c>
      <c r="G65" s="1036" t="s">
        <v>6164</v>
      </c>
    </row>
    <row r="66" spans="1:7" ht="12" customHeight="1">
      <c r="E66" s="1036" t="s">
        <v>3107</v>
      </c>
      <c r="F66" s="1037" t="s">
        <v>3108</v>
      </c>
      <c r="G66" s="1036" t="s">
        <v>6165</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1207205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2960</v>
      </c>
      <c r="B1" s="4782"/>
      <c r="C1" s="4782"/>
      <c r="D1" s="4782"/>
      <c r="E1" s="4782"/>
      <c r="F1" s="4782"/>
      <c r="G1" s="4782"/>
      <c r="H1" s="4782"/>
      <c r="I1" s="4782"/>
      <c r="J1" s="4782"/>
    </row>
    <row r="2" spans="1:13" ht="15">
      <c r="A2" s="4782" t="str">
        <f>'Sensitivity Analysis'!E8&amp;"  "&amp;'Sensitivity Analysis'!C8</f>
        <v>2023-0  Bon Air</v>
      </c>
      <c r="B2" s="4782"/>
      <c r="C2" s="4782"/>
      <c r="D2" s="4782"/>
      <c r="E2" s="4782"/>
      <c r="F2" s="4782"/>
      <c r="G2" s="4782"/>
      <c r="H2" s="4782"/>
      <c r="I2" s="4782"/>
      <c r="J2" s="4782"/>
    </row>
    <row r="3" spans="1:13" ht="6" customHeight="1">
      <c r="K3" s="4776" t="s">
        <v>3460</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Bon Air</v>
      </c>
      <c r="I28" s="560"/>
    </row>
    <row r="29" spans="1:9" ht="3" customHeight="1">
      <c r="C29" s="613"/>
      <c r="I29" s="560"/>
    </row>
    <row r="30" spans="1:9" ht="12" customHeight="1">
      <c r="A30" s="432" t="s">
        <v>2791</v>
      </c>
      <c r="C30" s="613">
        <f>'Preview term'!E16</f>
        <v>0</v>
      </c>
      <c r="I30" s="560"/>
    </row>
    <row r="31" spans="1:9">
      <c r="C31" s="560" t="str">
        <f>'Preview term'!E17</f>
        <v>Augusta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1</v>
      </c>
      <c r="E37" s="560" t="s">
        <v>2797</v>
      </c>
      <c r="I37" s="560"/>
    </row>
    <row r="38" spans="1:10" ht="3" customHeight="1">
      <c r="G38" s="616"/>
      <c r="H38" s="560"/>
      <c r="I38" s="560"/>
    </row>
    <row r="39" spans="1:10" ht="25.5" customHeight="1">
      <c r="A39" s="617" t="s">
        <v>6166</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6167</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3109</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3110</v>
      </c>
      <c r="E53" s="4786"/>
      <c r="F53" s="4786"/>
      <c r="G53" s="4786"/>
      <c r="H53" s="4786"/>
      <c r="I53" s="4786"/>
      <c r="J53" s="4786"/>
    </row>
    <row r="54" spans="1:10" ht="12" customHeight="1">
      <c r="A54" s="617"/>
      <c r="B54" s="617"/>
      <c r="C54" s="617"/>
      <c r="D54" s="619" t="s">
        <v>3111</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32100000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204</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6168</v>
      </c>
      <c r="G84" s="560"/>
    </row>
    <row r="85" spans="1:9" ht="3" customHeight="1">
      <c r="G85" s="560"/>
      <c r="H85" s="560"/>
      <c r="I85" s="560"/>
    </row>
    <row r="86" spans="1:9" ht="12" customHeight="1">
      <c r="A86" s="432" t="s">
        <v>2825</v>
      </c>
      <c r="C86" s="1557">
        <f>'Subsidy Layering Memo'!L70</f>
        <v>13926187.259096241</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Berkadia Commercial Mortgage, LLC</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Berkadia Commercial Mortgage, LLC</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6171</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726060.44077448919</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1207205</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85260</v>
      </c>
      <c r="F174" s="560" t="s">
        <v>2871</v>
      </c>
    </row>
    <row r="175" spans="1:9">
      <c r="E175" s="632">
        <f>E174/12</f>
        <v>7105</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6155</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6158</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Bon Air</v>
      </c>
      <c r="E3" s="4167"/>
      <c r="F3" s="4167"/>
      <c r="G3" s="4167"/>
      <c r="H3" s="4167"/>
      <c r="I3" s="4167"/>
      <c r="J3" s="4820" t="s">
        <v>3972</v>
      </c>
      <c r="K3" s="4821"/>
    </row>
    <row r="4" spans="1:11" ht="15" customHeight="1">
      <c r="A4" s="1332" t="s">
        <v>3970</v>
      </c>
      <c r="B4" s="1333"/>
      <c r="C4" s="1334"/>
      <c r="D4" s="4816">
        <f>'Preview term'!$E$16</f>
        <v>0</v>
      </c>
      <c r="E4" s="4817"/>
      <c r="F4" s="4817"/>
      <c r="G4" s="4817"/>
      <c r="H4" s="4817"/>
      <c r="I4" s="4817"/>
      <c r="J4" s="4172" t="s">
        <v>4011</v>
      </c>
      <c r="K4" s="4173"/>
    </row>
    <row r="5" spans="1:11" ht="15" customHeight="1" thickBot="1">
      <c r="A5" s="1335" t="s">
        <v>3971</v>
      </c>
      <c r="B5" s="1336"/>
      <c r="C5" s="1337"/>
      <c r="D5" s="4818"/>
      <c r="E5" s="4819"/>
      <c r="F5" s="4819"/>
      <c r="G5" s="4819"/>
      <c r="H5" s="4819"/>
      <c r="I5" s="4819"/>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365">
        <v>1</v>
      </c>
      <c r="D8" s="1352" t="s">
        <v>3974</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365">
        <v>2</v>
      </c>
      <c r="D11" s="1352" t="s">
        <v>3976</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366">
        <v>3</v>
      </c>
      <c r="D14" s="1356" t="s">
        <v>3978</v>
      </c>
      <c r="E14" s="1356"/>
      <c r="F14" s="1356"/>
      <c r="G14" s="1356"/>
      <c r="H14" s="1356"/>
      <c r="I14" s="1356"/>
      <c r="J14" s="4793"/>
      <c r="K14" s="4794"/>
    </row>
    <row r="15" spans="1:11" ht="14.25" customHeight="1">
      <c r="A15" s="1333"/>
      <c r="B15" s="1333"/>
      <c r="C15" s="1367">
        <v>4</v>
      </c>
      <c r="D15" s="1333" t="s">
        <v>3979</v>
      </c>
      <c r="E15" s="1333"/>
      <c r="F15" s="1333"/>
      <c r="G15" s="1333"/>
      <c r="H15" s="1333"/>
      <c r="I15" s="1333"/>
      <c r="J15" s="4791"/>
      <c r="K15" s="4792"/>
    </row>
    <row r="16" spans="1:11" ht="14.25" customHeight="1">
      <c r="A16" s="1333"/>
      <c r="B16" s="1333"/>
      <c r="C16" s="1367">
        <v>5</v>
      </c>
      <c r="D16" s="1333" t="s">
        <v>3980</v>
      </c>
      <c r="E16" s="1333"/>
      <c r="F16" s="1333"/>
      <c r="G16" s="1333"/>
      <c r="H16" s="1333"/>
      <c r="I16" s="1333"/>
      <c r="J16" s="4791"/>
      <c r="K16" s="4792"/>
    </row>
    <row r="17" spans="1:13" ht="14.25" customHeight="1">
      <c r="A17" s="1333"/>
      <c r="B17" s="1333"/>
      <c r="C17" s="1368">
        <v>6</v>
      </c>
      <c r="D17" s="1336" t="s">
        <v>3981</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3982</v>
      </c>
      <c r="E19" s="1356"/>
      <c r="F19" s="1356"/>
      <c r="G19" s="1356"/>
      <c r="H19" s="1356"/>
      <c r="I19" s="1356"/>
      <c r="J19" s="4115" t="str">
        <f>IF(J17="No",J14-J15,IF(J17="Yes",J14-J15-J16,"Error"))</f>
        <v>Error</v>
      </c>
      <c r="K19" s="4116"/>
    </row>
    <row r="20" spans="1:13" ht="14.25" customHeight="1">
      <c r="A20" s="1333"/>
      <c r="B20" s="1333"/>
      <c r="C20" s="1368">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805" t="s">
        <v>3972</v>
      </c>
      <c r="C31" s="4805"/>
      <c r="D31" s="4805"/>
      <c r="E31" s="4805"/>
      <c r="F31" s="4805"/>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810" t="s">
        <v>3998</v>
      </c>
      <c r="H57" s="4811"/>
      <c r="I57" s="4136" t="s">
        <v>4012</v>
      </c>
      <c r="J57" s="4137"/>
      <c r="K57" s="4140"/>
    </row>
    <row r="58" spans="1:13" ht="15" customHeight="1">
      <c r="A58" s="1465"/>
      <c r="B58" s="1381"/>
      <c r="C58" s="1359">
        <f>SUMIF(C33:C51, "0", H33:H51)</f>
        <v>0</v>
      </c>
      <c r="D58" s="1484">
        <f t="shared" ref="D58:D63" si="4">ROUNDUP(C58*1.1,0)</f>
        <v>0</v>
      </c>
      <c r="E58" s="4142" t="s">
        <v>3999</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4000</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4001</v>
      </c>
      <c r="F63" s="4134"/>
      <c r="G63" s="4806">
        <f>'DCA Underwriting Assumptions'!H133</f>
        <v>316236</v>
      </c>
      <c r="H63" s="4807"/>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Bon Air</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222831.24</v>
      </c>
      <c r="K4" s="1008" t="s">
        <v>3665</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17236276.215882543</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4082</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4087</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4080</v>
      </c>
      <c r="D29" s="638" t="s">
        <v>4081</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4085</v>
      </c>
      <c r="E33" s="4822" t="s">
        <v>3122</v>
      </c>
      <c r="F33" s="4822"/>
      <c r="G33" s="4822"/>
      <c r="H33" s="4822"/>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4085</v>
      </c>
      <c r="E38" s="4822" t="s">
        <v>3122</v>
      </c>
      <c r="F38" s="4822"/>
      <c r="G38" s="4822"/>
      <c r="H38" s="4822"/>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4085</v>
      </c>
      <c r="E43" s="4822" t="s">
        <v>3122</v>
      </c>
      <c r="F43" s="4822"/>
      <c r="G43" s="4822"/>
      <c r="H43" s="4822"/>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4085</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4085</v>
      </c>
      <c r="E55" s="4822" t="s">
        <v>3122</v>
      </c>
      <c r="F55" s="4822"/>
      <c r="G55" s="4822"/>
      <c r="H55" s="4822"/>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4085</v>
      </c>
      <c r="E60" s="4822" t="s">
        <v>3122</v>
      </c>
      <c r="F60" s="4822"/>
      <c r="G60" s="4822"/>
      <c r="H60" s="4822"/>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4085</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4085</v>
      </c>
      <c r="E72" s="4822" t="s">
        <v>3122</v>
      </c>
      <c r="F72" s="4822"/>
      <c r="G72" s="4822"/>
      <c r="H72" s="4822"/>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4085</v>
      </c>
      <c r="E77" s="4822" t="s">
        <v>3122</v>
      </c>
      <c r="F77" s="4822"/>
      <c r="G77" s="4822"/>
      <c r="H77" s="4822"/>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4085</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4085</v>
      </c>
      <c r="E89" s="4822" t="s">
        <v>3122</v>
      </c>
      <c r="F89" s="4822"/>
      <c r="G89" s="4822"/>
      <c r="H89" s="4822"/>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4085</v>
      </c>
      <c r="E94" s="4822" t="s">
        <v>3122</v>
      </c>
      <c r="F94" s="4822"/>
      <c r="G94" s="4822"/>
      <c r="H94" s="4822"/>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4083</v>
      </c>
      <c r="D97" s="638" t="s">
        <v>4084</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4088</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4080</v>
      </c>
      <c r="D108" s="638" t="s">
        <v>4081</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4085</v>
      </c>
      <c r="E112" s="4822" t="s">
        <v>3122</v>
      </c>
      <c r="F112" s="4822"/>
      <c r="G112" s="4822"/>
      <c r="H112" s="4822"/>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4085</v>
      </c>
      <c r="E117" s="4822" t="s">
        <v>3122</v>
      </c>
      <c r="F117" s="4822"/>
      <c r="G117" s="4822"/>
      <c r="H117" s="4822"/>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4085</v>
      </c>
      <c r="E122" s="4822" t="s">
        <v>3122</v>
      </c>
      <c r="F122" s="4822"/>
      <c r="G122" s="4822"/>
      <c r="H122" s="4822"/>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4085</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4085</v>
      </c>
      <c r="E134" s="4822" t="s">
        <v>3122</v>
      </c>
      <c r="F134" s="4822"/>
      <c r="G134" s="4822"/>
      <c r="H134" s="4822"/>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4085</v>
      </c>
      <c r="E139" s="4822" t="s">
        <v>3122</v>
      </c>
      <c r="F139" s="4822"/>
      <c r="G139" s="4822"/>
      <c r="H139" s="4822"/>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4085</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4085</v>
      </c>
      <c r="E151" s="4822" t="s">
        <v>3122</v>
      </c>
      <c r="F151" s="4822"/>
      <c r="G151" s="4822"/>
      <c r="H151" s="4822"/>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4085</v>
      </c>
      <c r="E156" s="4822" t="s">
        <v>3122</v>
      </c>
      <c r="F156" s="4822"/>
      <c r="G156" s="4822"/>
      <c r="H156" s="4822"/>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4085</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4085</v>
      </c>
      <c r="E168" s="4822" t="s">
        <v>3122</v>
      </c>
      <c r="F168" s="4822"/>
      <c r="G168" s="4822"/>
      <c r="H168" s="4822"/>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4085</v>
      </c>
      <c r="E173" s="4822" t="s">
        <v>3122</v>
      </c>
      <c r="F173" s="4822"/>
      <c r="G173" s="4822"/>
      <c r="H173" s="4822"/>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4083</v>
      </c>
      <c r="D176" s="638" t="s">
        <v>4084</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4089</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4080</v>
      </c>
      <c r="D187" s="638" t="s">
        <v>4081</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4085</v>
      </c>
      <c r="E191" s="4822" t="s">
        <v>3122</v>
      </c>
      <c r="F191" s="4822"/>
      <c r="G191" s="4822"/>
      <c r="H191" s="4822"/>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4085</v>
      </c>
      <c r="E196" s="4822" t="s">
        <v>3122</v>
      </c>
      <c r="F196" s="4822"/>
      <c r="G196" s="4822"/>
      <c r="H196" s="4822"/>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4085</v>
      </c>
      <c r="E201" s="4822" t="s">
        <v>3122</v>
      </c>
      <c r="F201" s="4822"/>
      <c r="G201" s="4822"/>
      <c r="H201" s="4822"/>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4085</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4085</v>
      </c>
      <c r="E213" s="4822" t="s">
        <v>3122</v>
      </c>
      <c r="F213" s="4822"/>
      <c r="G213" s="4822"/>
      <c r="H213" s="4822"/>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4085</v>
      </c>
      <c r="E218" s="4822" t="s">
        <v>3122</v>
      </c>
      <c r="F218" s="4822"/>
      <c r="G218" s="4822"/>
      <c r="H218" s="4822"/>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4085</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4085</v>
      </c>
      <c r="E230" s="4822" t="s">
        <v>3122</v>
      </c>
      <c r="F230" s="4822"/>
      <c r="G230" s="4822"/>
      <c r="H230" s="4822"/>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4085</v>
      </c>
      <c r="E235" s="4822" t="s">
        <v>3122</v>
      </c>
      <c r="F235" s="4822"/>
      <c r="G235" s="4822"/>
      <c r="H235" s="4822"/>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4085</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4085</v>
      </c>
      <c r="E247" s="4822" t="s">
        <v>3122</v>
      </c>
      <c r="F247" s="4822"/>
      <c r="G247" s="4822"/>
      <c r="H247" s="4822"/>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4085</v>
      </c>
      <c r="E252" s="4822" t="s">
        <v>3122</v>
      </c>
      <c r="F252" s="4822"/>
      <c r="G252" s="4822"/>
      <c r="H252" s="4822"/>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4083</v>
      </c>
      <c r="D255" s="638" t="s">
        <v>4084</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4086</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4080</v>
      </c>
      <c r="D266" s="638" t="s">
        <v>4081</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4085</v>
      </c>
      <c r="E270" s="4822" t="s">
        <v>3122</v>
      </c>
      <c r="F270" s="4822"/>
      <c r="G270" s="4822"/>
      <c r="H270" s="4822"/>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4085</v>
      </c>
      <c r="E275" s="4822" t="s">
        <v>3122</v>
      </c>
      <c r="F275" s="4822"/>
      <c r="G275" s="4822"/>
      <c r="H275" s="4822"/>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4085</v>
      </c>
      <c r="E280" s="4822" t="s">
        <v>3122</v>
      </c>
      <c r="F280" s="4822"/>
      <c r="G280" s="4822"/>
      <c r="H280" s="4822"/>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4085</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4085</v>
      </c>
      <c r="E292" s="4822" t="s">
        <v>3122</v>
      </c>
      <c r="F292" s="4822"/>
      <c r="G292" s="4822"/>
      <c r="H292" s="4822"/>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4085</v>
      </c>
      <c r="E297" s="4822" t="s">
        <v>3122</v>
      </c>
      <c r="F297" s="4822"/>
      <c r="G297" s="4822"/>
      <c r="H297" s="4822"/>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4085</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4085</v>
      </c>
      <c r="E309" s="4822" t="s">
        <v>3122</v>
      </c>
      <c r="F309" s="4822"/>
      <c r="G309" s="4822"/>
      <c r="H309" s="4822"/>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4085</v>
      </c>
      <c r="E314" s="4822" t="s">
        <v>3122</v>
      </c>
      <c r="F314" s="4822"/>
      <c r="G314" s="4822"/>
      <c r="H314" s="4822"/>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4085</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4085</v>
      </c>
      <c r="E326" s="4822" t="s">
        <v>3122</v>
      </c>
      <c r="F326" s="4822"/>
      <c r="G326" s="4822"/>
      <c r="H326" s="4822"/>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4085</v>
      </c>
      <c r="E331" s="4822" t="s">
        <v>3122</v>
      </c>
      <c r="F331" s="4822"/>
      <c r="G331" s="4822"/>
      <c r="H331" s="4822"/>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4083</v>
      </c>
      <c r="D334" s="638" t="s">
        <v>4084</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4090</v>
      </c>
      <c r="B344" s="4822"/>
      <c r="C344" s="4822"/>
      <c r="D344" s="4822"/>
      <c r="E344" s="4822"/>
      <c r="F344" s="4822"/>
      <c r="G344" s="4822"/>
      <c r="H344" s="4822"/>
    </row>
    <row r="345" spans="1:8" ht="9" customHeight="1">
      <c r="A345" s="611"/>
    </row>
    <row r="346" spans="1:8">
      <c r="A346" s="620" t="s">
        <v>2980</v>
      </c>
      <c r="B346" s="637">
        <f>IF('Part V-Revenues &amp; Expenses'!$K$58=0,"",'Part V-Revenues &amp; Expenses'!$K$58)</f>
        <v>26</v>
      </c>
      <c r="C346" s="620" t="s">
        <v>4080</v>
      </c>
      <c r="D346" s="638" t="s">
        <v>4081</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4085</v>
      </c>
      <c r="E350" s="4822" t="s">
        <v>3122</v>
      </c>
      <c r="F350" s="4822"/>
      <c r="G350" s="4822"/>
      <c r="H350" s="4822"/>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4085</v>
      </c>
      <c r="E355" s="4822" t="s">
        <v>3122</v>
      </c>
      <c r="F355" s="4822"/>
      <c r="G355" s="4822"/>
      <c r="H355" s="4822"/>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4085</v>
      </c>
      <c r="E360" s="4822" t="s">
        <v>3122</v>
      </c>
      <c r="F360" s="4822"/>
      <c r="G360" s="4822"/>
      <c r="H360" s="4822"/>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176</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4085</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4085</v>
      </c>
      <c r="E372" s="4822" t="s">
        <v>3122</v>
      </c>
      <c r="F372" s="4822"/>
      <c r="G372" s="4822"/>
      <c r="H372" s="4822"/>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4085</v>
      </c>
      <c r="E377" s="4822" t="s">
        <v>3122</v>
      </c>
      <c r="F377" s="4822"/>
      <c r="G377" s="4822"/>
      <c r="H377" s="4822"/>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t="str">
        <f>IF('Part V-Revenues &amp; Expenses'!$M$58=0,"",'Part V-Revenues &amp; Expenses'!$M$58)</f>
        <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4085</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4085</v>
      </c>
      <c r="E389" s="4822" t="s">
        <v>3122</v>
      </c>
      <c r="F389" s="4822"/>
      <c r="G389" s="4822"/>
      <c r="H389" s="4822"/>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4085</v>
      </c>
      <c r="E394" s="4822" t="s">
        <v>3122</v>
      </c>
      <c r="F394" s="4822"/>
      <c r="G394" s="4822"/>
      <c r="H394" s="4822"/>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4085</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4085</v>
      </c>
      <c r="E406" s="4822" t="s">
        <v>3122</v>
      </c>
      <c r="F406" s="4822"/>
      <c r="G406" s="4822"/>
      <c r="H406" s="4822"/>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4085</v>
      </c>
      <c r="E411" s="4822" t="s">
        <v>3122</v>
      </c>
      <c r="F411" s="4822"/>
      <c r="G411" s="4822"/>
      <c r="H411" s="4822"/>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4083</v>
      </c>
      <c r="D414" s="638" t="s">
        <v>4084</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4091</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4080</v>
      </c>
      <c r="D425" s="638" t="s">
        <v>4081</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4085</v>
      </c>
      <c r="E429" s="4822" t="s">
        <v>3122</v>
      </c>
      <c r="F429" s="4822"/>
      <c r="G429" s="4822"/>
      <c r="H429" s="4822"/>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4085</v>
      </c>
      <c r="E434" s="4822" t="s">
        <v>3122</v>
      </c>
      <c r="F434" s="4822"/>
      <c r="G434" s="4822"/>
      <c r="H434" s="4822"/>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4085</v>
      </c>
      <c r="E439" s="4822" t="s">
        <v>3122</v>
      </c>
      <c r="F439" s="4822"/>
      <c r="G439" s="4822"/>
      <c r="H439" s="4822"/>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4085</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4085</v>
      </c>
      <c r="E451" s="4822" t="s">
        <v>3122</v>
      </c>
      <c r="F451" s="4822"/>
      <c r="G451" s="4822"/>
      <c r="H451" s="4822"/>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4085</v>
      </c>
      <c r="E456" s="4822" t="s">
        <v>3122</v>
      </c>
      <c r="F456" s="4822"/>
      <c r="G456" s="4822"/>
      <c r="H456" s="4822"/>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4085</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4085</v>
      </c>
      <c r="E468" s="4822" t="s">
        <v>3122</v>
      </c>
      <c r="F468" s="4822"/>
      <c r="G468" s="4822"/>
      <c r="H468" s="4822"/>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4085</v>
      </c>
      <c r="E473" s="4822" t="s">
        <v>3122</v>
      </c>
      <c r="F473" s="4822"/>
      <c r="G473" s="4822"/>
      <c r="H473" s="4822"/>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4085</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4085</v>
      </c>
      <c r="E485" s="4822" t="s">
        <v>3122</v>
      </c>
      <c r="F485" s="4822"/>
      <c r="G485" s="4822"/>
      <c r="H485" s="4822"/>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4085</v>
      </c>
      <c r="E490" s="4822" t="s">
        <v>3122</v>
      </c>
      <c r="F490" s="4822"/>
      <c r="G490" s="4822"/>
      <c r="H490" s="4822"/>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4083</v>
      </c>
      <c r="D493" s="638" t="s">
        <v>4084</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4092</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4080</v>
      </c>
      <c r="D504" s="638" t="s">
        <v>4081</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4085</v>
      </c>
      <c r="E508" s="4822" t="s">
        <v>3122</v>
      </c>
      <c r="F508" s="4822"/>
      <c r="G508" s="4822"/>
      <c r="H508" s="4822"/>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4085</v>
      </c>
      <c r="E513" s="4822" t="s">
        <v>3122</v>
      </c>
      <c r="F513" s="4822"/>
      <c r="G513" s="4822"/>
      <c r="H513" s="4822"/>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4085</v>
      </c>
      <c r="E518" s="4822" t="s">
        <v>3122</v>
      </c>
      <c r="F518" s="4822"/>
      <c r="G518" s="4822"/>
      <c r="H518" s="4822"/>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4085</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4085</v>
      </c>
      <c r="E530" s="4822" t="s">
        <v>3122</v>
      </c>
      <c r="F530" s="4822"/>
      <c r="G530" s="4822"/>
      <c r="H530" s="4822"/>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4085</v>
      </c>
      <c r="E535" s="4822" t="s">
        <v>3122</v>
      </c>
      <c r="F535" s="4822"/>
      <c r="G535" s="4822"/>
      <c r="H535" s="4822"/>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4085</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4085</v>
      </c>
      <c r="E547" s="4822" t="s">
        <v>3122</v>
      </c>
      <c r="F547" s="4822"/>
      <c r="G547" s="4822"/>
      <c r="H547" s="4822"/>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4085</v>
      </c>
      <c r="E552" s="4822" t="s">
        <v>3122</v>
      </c>
      <c r="F552" s="4822"/>
      <c r="G552" s="4822"/>
      <c r="H552" s="4822"/>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4085</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4085</v>
      </c>
      <c r="E564" s="4822" t="s">
        <v>3122</v>
      </c>
      <c r="F564" s="4822"/>
      <c r="G564" s="4822"/>
      <c r="H564" s="4822"/>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4085</v>
      </c>
      <c r="E569" s="4822" t="s">
        <v>3122</v>
      </c>
      <c r="F569" s="4822"/>
      <c r="G569" s="4822"/>
      <c r="H569" s="4822"/>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4083</v>
      </c>
      <c r="D572" s="638" t="s">
        <v>4084</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Bon Air, Augusta, Richmond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3463</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3462</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3463</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3463</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3463</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3463</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3463</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3463</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3463</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3463</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3463</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3463</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3463</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3463</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3463</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3463</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3463</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3463</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6224</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6224</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6224</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6224</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6224</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6224</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6224</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6224</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3.5" thickBot="1">
      <c r="A153" s="3180" t="s">
        <v>3298</v>
      </c>
      <c r="B153" s="3180"/>
      <c r="C153" s="3180"/>
      <c r="D153" s="3180"/>
      <c r="E153" s="3180"/>
      <c r="H153" s="1263" t="s">
        <v>2308</v>
      </c>
      <c r="I153" s="3174" t="s">
        <v>6518</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3840</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6222</v>
      </c>
      <c r="E155" s="256"/>
      <c r="H155" s="1216" t="s">
        <v>3840</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3840</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3840</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3840</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3840</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3840</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3891</v>
      </c>
      <c r="E161" s="256"/>
      <c r="H161" s="1216" t="s">
        <v>3840</v>
      </c>
      <c r="I161" s="3076"/>
      <c r="J161" s="3077"/>
      <c r="K161" s="3077"/>
      <c r="L161" s="3077"/>
      <c r="M161" s="3077"/>
      <c r="N161" s="3077"/>
      <c r="O161" s="3077"/>
      <c r="P161" s="3077"/>
      <c r="Q161" s="3077"/>
      <c r="R161" s="3077"/>
      <c r="S161" s="3078"/>
      <c r="Z161" s="1706">
        <v>161</v>
      </c>
    </row>
    <row r="162" spans="1:26" s="144" customFormat="1" ht="15" customHeight="1" thickBot="1">
      <c r="B162" s="476" t="s">
        <v>3890</v>
      </c>
      <c r="C162" s="3177" t="s">
        <v>6475</v>
      </c>
      <c r="D162" s="3178"/>
      <c r="E162" s="3178"/>
      <c r="F162" s="3178"/>
      <c r="G162" s="3179"/>
      <c r="H162" s="1216" t="s">
        <v>3840</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6476</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3840</v>
      </c>
      <c r="J171" s="477" t="s">
        <v>3840</v>
      </c>
      <c r="K171" s="477"/>
      <c r="L171" s="649"/>
      <c r="M171" s="482" t="s">
        <v>3840</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3840</v>
      </c>
      <c r="J172" s="478" t="s">
        <v>3840</v>
      </c>
      <c r="K172" s="478"/>
      <c r="L172" s="650"/>
      <c r="M172" s="483" t="s">
        <v>3840</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3840</v>
      </c>
      <c r="J173" s="478" t="s">
        <v>3840</v>
      </c>
      <c r="K173" s="478"/>
      <c r="L173" s="650"/>
      <c r="M173" s="483" t="s">
        <v>3840</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3840</v>
      </c>
      <c r="J174" s="478" t="s">
        <v>3840</v>
      </c>
      <c r="K174" s="478"/>
      <c r="L174" s="650"/>
      <c r="M174" s="483" t="s">
        <v>3840</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3840</v>
      </c>
      <c r="J175" s="478" t="s">
        <v>3840</v>
      </c>
      <c r="K175" s="478"/>
      <c r="L175" s="650"/>
      <c r="M175" s="483" t="s">
        <v>3840</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3840</v>
      </c>
      <c r="J176" s="478" t="s">
        <v>3840</v>
      </c>
      <c r="K176" s="478"/>
      <c r="L176" s="650"/>
      <c r="M176" s="483" t="s">
        <v>3840</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3840</v>
      </c>
      <c r="J177" s="478" t="s">
        <v>3840</v>
      </c>
      <c r="K177" s="478"/>
      <c r="L177" s="650"/>
      <c r="M177" s="483" t="s">
        <v>3840</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3840</v>
      </c>
      <c r="J178" s="478" t="s">
        <v>3840</v>
      </c>
      <c r="K178" s="478"/>
      <c r="L178" s="650"/>
      <c r="M178" s="483" t="s">
        <v>3840</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3840</v>
      </c>
      <c r="J179" s="478" t="s">
        <v>3840</v>
      </c>
      <c r="K179" s="478"/>
      <c r="L179" s="650"/>
      <c r="M179" s="483" t="s">
        <v>3840</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3840</v>
      </c>
      <c r="J180" s="478" t="s">
        <v>3840</v>
      </c>
      <c r="K180" s="478"/>
      <c r="L180" s="650"/>
      <c r="M180" s="483" t="s">
        <v>3840</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3840</v>
      </c>
      <c r="J181" s="478" t="s">
        <v>3840</v>
      </c>
      <c r="K181" s="478"/>
      <c r="L181" s="650"/>
      <c r="M181" s="483" t="s">
        <v>3840</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3840</v>
      </c>
      <c r="J182" s="478" t="s">
        <v>3840</v>
      </c>
      <c r="K182" s="478"/>
      <c r="L182" s="650"/>
      <c r="M182" s="483" t="s">
        <v>3840</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3840</v>
      </c>
      <c r="J183" s="479" t="s">
        <v>3840</v>
      </c>
      <c r="K183" s="479"/>
      <c r="L183" s="651"/>
      <c r="M183" s="484" t="s">
        <v>3840</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Bon Air</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222831.24</v>
      </c>
      <c r="M4" s="4868"/>
      <c r="N4" s="1493" t="s">
        <v>3665</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17236276.215882543</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4082</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26</v>
      </c>
      <c r="F27" s="1585">
        <f>'Part V-Revenues &amp; Expenses'!L58</f>
        <v>176</v>
      </c>
      <c r="G27" s="1585">
        <f>'Part V-Revenues &amp; Expenses'!M58</f>
        <v>0</v>
      </c>
      <c r="H27" s="1585">
        <f>'Part V-Revenues &amp; Expenses'!N58</f>
        <v>0</v>
      </c>
      <c r="I27" s="1585">
        <f>'Part V-Revenues &amp; Expenses'!O58</f>
        <v>0</v>
      </c>
      <c r="J27" s="1586">
        <f>'Part V-Revenues &amp; Expenses'!P58</f>
        <v>202</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26</v>
      </c>
      <c r="F32" s="1579">
        <f>'Part V-Revenues &amp; Expenses'!L63</f>
        <v>176</v>
      </c>
      <c r="G32" s="1579">
        <f>'Part V-Revenues &amp; Expenses'!M63</f>
        <v>0</v>
      </c>
      <c r="H32" s="1579">
        <f>'Part V-Revenues &amp; Expenses'!N63</f>
        <v>0</v>
      </c>
      <c r="I32" s="1579">
        <f>'Part V-Revenues &amp; Expenses'!O63</f>
        <v>0</v>
      </c>
      <c r="J32" s="1588">
        <f>'Part V-Revenues &amp; Expenses'!P63</f>
        <v>202</v>
      </c>
      <c r="K32" s="432"/>
      <c r="S32" s="432"/>
    </row>
    <row r="33" spans="1:12" s="432" customFormat="1" ht="13.15" customHeight="1" thickBot="1">
      <c r="K33" s="1492"/>
    </row>
    <row r="34" spans="1:12" s="432" customFormat="1" ht="14.25" customHeight="1" thickBot="1">
      <c r="A34" s="1492"/>
      <c r="B34" s="4842" t="s">
        <v>6173</v>
      </c>
      <c r="E34" s="4843" t="s">
        <v>6069</v>
      </c>
      <c r="F34" s="4844"/>
      <c r="G34" s="4844"/>
      <c r="H34" s="4844"/>
      <c r="I34" s="4844"/>
      <c r="J34" s="4844"/>
      <c r="K34" s="4844"/>
      <c r="L34" s="4845"/>
    </row>
    <row r="35" spans="1:12" s="432" customFormat="1" ht="14.25" customHeight="1">
      <c r="A35" s="1492"/>
      <c r="B35" s="4842"/>
      <c r="C35" s="4846" t="s">
        <v>6174</v>
      </c>
      <c r="D35" s="4842" t="s">
        <v>6175</v>
      </c>
      <c r="E35" s="4847" t="s">
        <v>6072</v>
      </c>
      <c r="F35" s="4848"/>
      <c r="G35" s="4851" t="s">
        <v>1275</v>
      </c>
      <c r="H35" s="4853" t="s">
        <v>6068</v>
      </c>
      <c r="I35" s="4854"/>
      <c r="J35" s="4854"/>
      <c r="K35" s="4854"/>
      <c r="L35" s="4855"/>
    </row>
    <row r="36" spans="1:12" s="432" customFormat="1" ht="23.25" customHeight="1">
      <c r="A36" s="4846" t="s">
        <v>975</v>
      </c>
      <c r="B36" s="4842"/>
      <c r="C36" s="4846"/>
      <c r="D36" s="4842"/>
      <c r="E36" s="4849"/>
      <c r="F36" s="4850"/>
      <c r="G36" s="4852"/>
      <c r="H36" s="4856" t="s">
        <v>6070</v>
      </c>
      <c r="I36" s="4857"/>
      <c r="J36" s="4860" t="s">
        <v>1275</v>
      </c>
      <c r="K36" s="4857" t="s">
        <v>6071</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60</v>
      </c>
      <c r="B39" s="1572">
        <f>'Part V-Revenues &amp; Expenses'!E18</f>
        <v>26</v>
      </c>
      <c r="C39" s="1573" t="str">
        <f>_xlfn.CONCAT('Part V-Revenues &amp; Expenses'!C18," / ",'Part V-Revenues &amp; Expenses'!D18)</f>
        <v>Efficiency / 1</v>
      </c>
      <c r="D39" s="1572">
        <f>'Part V-Revenues &amp; Expenses'!F18</f>
        <v>700</v>
      </c>
      <c r="E39" s="4866">
        <f>'Part V-Revenues &amp; Expenses'!H18</f>
        <v>1060</v>
      </c>
      <c r="F39" s="4867"/>
      <c r="G39" s="439"/>
      <c r="H39" s="4836"/>
      <c r="I39" s="4837"/>
      <c r="J39" s="4837"/>
      <c r="K39" s="4837"/>
      <c r="L39" s="4838"/>
    </row>
    <row r="40" spans="1:12" s="432" customFormat="1" ht="13.15" customHeight="1">
      <c r="A40" s="1574">
        <f>'Part V-Revenues &amp; Expenses'!B19</f>
        <v>60</v>
      </c>
      <c r="B40" s="1575">
        <f>'Part V-Revenues &amp; Expenses'!E19</f>
        <v>176</v>
      </c>
      <c r="C40" s="1576" t="str">
        <f>_xlfn.CONCAT('Part V-Revenues &amp; Expenses'!C19," / ",'Part V-Revenues &amp; Expenses'!D19)</f>
        <v>1 / 1</v>
      </c>
      <c r="D40" s="1575">
        <f>'Part V-Revenues &amp; Expenses'!F19</f>
        <v>800</v>
      </c>
      <c r="E40" s="4834">
        <f>'Part V-Revenues &amp; Expenses'!H19</f>
        <v>1150</v>
      </c>
      <c r="F40" s="4835"/>
      <c r="G40" s="439"/>
      <c r="H40" s="4831"/>
      <c r="I40" s="4832"/>
      <c r="J40" s="4832"/>
      <c r="K40" s="4832"/>
      <c r="L40" s="4833"/>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3481</v>
      </c>
      <c r="C1" s="4726"/>
      <c r="D1" s="4726"/>
      <c r="E1" s="4726"/>
      <c r="F1" s="4726"/>
      <c r="G1" s="4726"/>
      <c r="H1" s="4726"/>
      <c r="I1" s="4726"/>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Bon Air</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3471</v>
      </c>
      <c r="I9" s="1043" t="str">
        <f>'Closing term sheet'!D12</f>
        <v>&lt;&lt;Select&gt;&gt;</v>
      </c>
    </row>
    <row r="10" spans="2:13" ht="7.5" customHeight="1"/>
    <row r="11" spans="2:13" ht="14.25">
      <c r="B11" s="605" t="s">
        <v>3468</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3472</v>
      </c>
      <c r="E16" s="523" t="s">
        <v>3057</v>
      </c>
      <c r="I16" s="1050"/>
    </row>
    <row r="17" spans="2:9" ht="7.5" customHeight="1">
      <c r="B17" s="1047"/>
      <c r="I17" s="1049"/>
    </row>
    <row r="18" spans="2:9">
      <c r="B18" s="1047" t="s">
        <v>2895</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6" t="s">
        <v>3489</v>
      </c>
      <c r="I35" s="4891"/>
    </row>
    <row r="36" spans="2:9">
      <c r="B36" s="1059" t="s">
        <v>3488</v>
      </c>
      <c r="C36" s="523"/>
      <c r="D36" s="523"/>
      <c r="F36" s="1258"/>
      <c r="G36" s="617"/>
      <c r="H36" s="4826"/>
      <c r="I36" s="4891"/>
    </row>
    <row r="37" spans="2:9">
      <c r="B37" s="1059" t="s">
        <v>3486</v>
      </c>
      <c r="D37" s="523"/>
      <c r="F37" s="1259"/>
      <c r="G37" s="617"/>
      <c r="H37" s="4826"/>
      <c r="I37" s="4891"/>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3491</v>
      </c>
      <c r="C52" s="4871" t="str">
        <f>'Part I-Project Identification'!F26</f>
        <v>Augusta</v>
      </c>
      <c r="D52" s="4872"/>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2909</v>
      </c>
      <c r="I55" s="1049"/>
    </row>
    <row r="56" spans="2:9">
      <c r="B56" s="1061" t="s">
        <v>3659</v>
      </c>
      <c r="D56" s="1069">
        <f>'Closing term sheet'!$D$63</f>
        <v>32100000</v>
      </c>
      <c r="E56" s="1070"/>
      <c r="F56" s="560" t="s">
        <v>2910</v>
      </c>
      <c r="I56" s="1049"/>
    </row>
    <row r="57" spans="2:9">
      <c r="B57" s="1059" t="s">
        <v>3658</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32100000</v>
      </c>
      <c r="G84" s="4895"/>
      <c r="I84" s="1049"/>
    </row>
    <row r="85" spans="2:9">
      <c r="B85" s="1047"/>
      <c r="C85" s="432" t="s">
        <v>2928</v>
      </c>
      <c r="F85" s="4870">
        <f>'Part II-Sources of Funds'!I47+'Part II-Sources of Funds'!L47</f>
        <v>547879.09460481314</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32658879.094604813</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32658879.094604813</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4" t="s">
        <v>6619</v>
      </c>
      <c r="R11" s="4924"/>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3142</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3909</v>
      </c>
      <c r="R13" s="4906"/>
      <c r="S13" s="144"/>
      <c r="T13" s="144"/>
      <c r="U13" s="144"/>
      <c r="AA13" s="68"/>
      <c r="AB13" s="68"/>
    </row>
    <row r="14" spans="1:28" s="145" customFormat="1" ht="12.75" hidden="1" customHeight="1">
      <c r="A14" s="147"/>
      <c r="B14" s="147"/>
      <c r="C14" s="147"/>
      <c r="K14" s="236" t="s">
        <v>3910</v>
      </c>
      <c r="L14" s="236"/>
      <c r="N14" s="234"/>
      <c r="O14" s="147"/>
      <c r="P14" s="144"/>
      <c r="Q14" s="4904">
        <v>0.2</v>
      </c>
      <c r="R14" s="4905"/>
      <c r="S14" s="144"/>
      <c r="T14" s="144"/>
      <c r="U14" s="144"/>
      <c r="AA14" s="68"/>
      <c r="AB14" s="68"/>
    </row>
    <row r="15" spans="1:28" s="145" customFormat="1" ht="12.75" hidden="1" customHeight="1">
      <c r="A15" s="147"/>
      <c r="B15" s="147"/>
      <c r="C15" s="147"/>
      <c r="K15" s="236" t="s">
        <v>3911</v>
      </c>
      <c r="L15" s="236"/>
      <c r="N15" s="234"/>
      <c r="O15" s="147"/>
      <c r="P15" s="144"/>
      <c r="Q15" s="4927">
        <v>0.15</v>
      </c>
      <c r="R15" s="4928"/>
      <c r="S15" s="144"/>
      <c r="T15" s="144"/>
      <c r="U15" s="144"/>
      <c r="AA15" s="68"/>
      <c r="AB15" s="68"/>
    </row>
    <row r="16" spans="1:28" s="145" customFormat="1" ht="12.75" hidden="1" customHeight="1">
      <c r="A16" s="147"/>
      <c r="B16" s="147"/>
      <c r="C16" s="147"/>
      <c r="K16" s="236" t="s">
        <v>3912</v>
      </c>
      <c r="L16" s="236"/>
      <c r="N16" s="234"/>
      <c r="O16" s="147"/>
      <c r="P16" s="144"/>
      <c r="Q16" s="4927">
        <v>0.15</v>
      </c>
      <c r="R16" s="4928"/>
      <c r="S16" s="144"/>
      <c r="T16" s="144"/>
      <c r="U16" s="144"/>
      <c r="AA16" s="68"/>
      <c r="AB16" s="68"/>
    </row>
    <row r="17" spans="1:28" s="145" customFormat="1" ht="12.75" hidden="1" customHeight="1">
      <c r="A17" s="147"/>
      <c r="B17" s="147"/>
      <c r="C17" s="147"/>
      <c r="K17" s="236" t="s">
        <v>3913</v>
      </c>
      <c r="L17" s="236"/>
      <c r="N17" s="234"/>
      <c r="O17" s="147"/>
      <c r="P17" s="144"/>
      <c r="Q17" s="4927">
        <v>0.1</v>
      </c>
      <c r="R17" s="4928"/>
      <c r="S17" s="144"/>
      <c r="T17" s="144"/>
      <c r="U17" s="144"/>
      <c r="AA17" s="68"/>
      <c r="AB17" s="68"/>
    </row>
    <row r="18" spans="1:28" s="145" customFormat="1" ht="12.75" hidden="1" customHeight="1">
      <c r="A18" s="147"/>
      <c r="B18" s="147"/>
      <c r="C18" s="147"/>
      <c r="K18" s="236" t="s">
        <v>3914</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3917</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2510</v>
      </c>
      <c r="I113" s="144"/>
      <c r="J113" s="225" t="s">
        <v>2445</v>
      </c>
      <c r="K113" s="147"/>
      <c r="L113" s="147"/>
      <c r="M113" s="147"/>
      <c r="O113" s="147"/>
      <c r="P113" s="144"/>
      <c r="Q113" s="4952" t="s">
        <v>6762</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6102</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6758</v>
      </c>
      <c r="B125" s="4968"/>
      <c r="C125" s="2002"/>
      <c r="D125" s="4970"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6756</v>
      </c>
      <c r="J127" s="142" t="s">
        <v>748</v>
      </c>
      <c r="K127" s="142"/>
      <c r="L127" s="223"/>
    </row>
    <row r="128" spans="1:28" ht="13.5">
      <c r="C128" s="715" t="s">
        <v>751</v>
      </c>
      <c r="D128" s="1304" t="s">
        <v>2995</v>
      </c>
      <c r="F128" s="715" t="s">
        <v>6754</v>
      </c>
      <c r="H128" s="4966"/>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2996</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3403</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3304</v>
      </c>
      <c r="O140" s="434" t="s">
        <v>3494</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4059</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3963</v>
      </c>
      <c r="D303" s="4948" t="s">
        <v>3964</v>
      </c>
      <c r="E303" s="4948" t="s">
        <v>3965</v>
      </c>
      <c r="F303" s="4948" t="s">
        <v>3966</v>
      </c>
      <c r="G303" s="4945" t="s">
        <v>3963</v>
      </c>
      <c r="H303" s="4948" t="s">
        <v>3964</v>
      </c>
      <c r="I303" s="4948" t="s">
        <v>3965</v>
      </c>
      <c r="J303" s="4948" t="s">
        <v>3966</v>
      </c>
      <c r="L303" s="4945" t="s">
        <v>3963</v>
      </c>
      <c r="M303" s="4948" t="s">
        <v>3964</v>
      </c>
      <c r="N303" s="4948" t="s">
        <v>3965</v>
      </c>
      <c r="O303" s="4948" t="s">
        <v>3966</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3018</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3018</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ht="13.5">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ht="13.5">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ht="13.5">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ht="13.5">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ht="13.5">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ht="13.5">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ht="13.5">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ht="13.5">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ht="13.5">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ht="13.5">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ht="13.5">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ht="13.5">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ht="13.5">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ht="13.5">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ht="13.5">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ht="13.5">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ht="13.5">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ht="13.5">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ht="13.5">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ht="13.5">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ht="13.5">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ht="13.5">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ht="13.5">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ht="13.5">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ht="13.5">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ht="13.5">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ht="13.5">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ht="13.5">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ht="13.5">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ht="13.5">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ht="13.5">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ht="13.5">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ht="13.5">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ht="13.5">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ht="13.5">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ht="13.5">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ht="13.5">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ht="13.5">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ht="13.5">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ht="13.5">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ht="13.5">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ht="13.5">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ht="13.5">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ht="13.5">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ht="13.5">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ht="13.5">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ht="13.5">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ht="13.5">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ht="13.5">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ht="13.5">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ht="13.5">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ht="13.5">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ht="13.5">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ht="13.5">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ht="13.5">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ht="13.5">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ht="13.5">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ht="13.5">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ht="13.5">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ht="13.5">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ht="13.5">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ht="13.5">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ht="13.5">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ht="13.5">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ht="13.5">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ht="13.5">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ht="13.5">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ht="13.5">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ht="13.5">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ht="13.5">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ht="13.5">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ht="13.5">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ht="13.5">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ht="13.5">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ht="13.5">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ht="13.5">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ht="13.5">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ht="13.5">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ht="13.5">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ht="13.5">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ht="13.5">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ht="13.5">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ht="13.5">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ht="13.5">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ht="13.5">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ht="13.5">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ht="13.5">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ht="13.5">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ht="13.5">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ht="13.5">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ht="13.5">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ht="13.5">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ht="13.5">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ht="13.5">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ht="13.5">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ht="13.5">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ht="13.5">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ht="13.5">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ht="13.5">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ht="13.5">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ht="13.5">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ht="13.5">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ht="13.5">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ht="13.5">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ht="13.5">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ht="13.5">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ht="13.5">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ht="13.5">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ht="13.5">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ht="13.5">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ht="13.5">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ht="13.5">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ht="13.5">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ht="13.5">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ht="13.5">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ht="13.5">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ht="13.5">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ht="13.5">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ht="13.5">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ht="13.5">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ht="13.5">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ht="13.5">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ht="13.5">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ht="13.5">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ht="13.5">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ht="13.5">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ht="13.5">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ht="13.5">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ht="13.5">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ht="13.5">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ht="13.5">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ht="13.5">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ht="13.5">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ht="13.5">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ht="13.5">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ht="13.5">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ht="13.5">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ht="13.5">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ht="13.5">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ht="13.5">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ht="13.5">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ht="13.5">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ht="13.5">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ht="13.5">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ht="13.5">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ht="13.5">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ht="13.5">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ht="13.5">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ht="13.5">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ht="13.5">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ht="13.5">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ht="13.5">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ht="13.5">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ht="13.5">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ht="13.5">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ht="13.5">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ht="13.5">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ht="13.5">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ht="13.5">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ht="13.5">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ht="13.5">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ht="13.5">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ht="13.5">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ht="13.5">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ht="13.5">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ht="13.5">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ht="13.5">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ht="13.5">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ht="13.5">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ht="13.5">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ht="13.5">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ht="13.5">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ht="13.5">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ht="13.5">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ht="13.5">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ht="13.5">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ht="13.5">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ht="13.5">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ht="13.5">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ht="13.5">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ht="13.5">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ht="13.5">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ht="13.5">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ht="13.5">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ht="13.5">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ht="13.5">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ht="13.5">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ht="13.5">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ht="13.5">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ht="13.5">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ht="13.5">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ht="13.5">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ht="13.5">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ht="13.5">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ht="13.5">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ht="13.5">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ht="13.5">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ht="13.5">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ht="13.5">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ht="13.5">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ht="13.5">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ht="13.5">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ht="13.5">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ht="13.5">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ht="13.5">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ht="13.5">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ht="13.5">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ht="13.5">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ht="13.5">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ht="13.5">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ht="13.5">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ht="13.5">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ht="13.5">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ht="13.5">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ht="13.5">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ht="13.5">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ht="13.5">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ht="13.5">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ht="13.5">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ht="13.5">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ht="13.5">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ht="13.5">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ht="13.5">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ht="13.5">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ht="13.5">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ht="13.5">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ht="13.5">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ht="13.5">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ht="13.5">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ht="13.5">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ht="13.5">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ht="13.5">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ht="13.5">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ht="13.5">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ht="13.5">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ht="13.5">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ht="13.5">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ht="13.5">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ht="13.5">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ht="13.5">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ht="13.5">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ht="13.5">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ht="13.5">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ht="13.5">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ht="13.5">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ht="13.5">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ht="13.5">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ht="13.5">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ht="13.5">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ht="13.5">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ht="13.5">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ht="13.5">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ht="13.5">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ht="13.5">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ht="13.5">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ht="13.5">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ht="13.5">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ht="13.5">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ht="13.5">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ht="13.5">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ht="13.5">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ht="13.5">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ht="13.5">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ht="13.5">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ht="13.5">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ht="13.5">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ht="13.5">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ht="13.5">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ht="13.5">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ht="13.5">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ht="13.5">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ht="13.5">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ht="13.5">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ht="13.5">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ht="13.5">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ht="13.5">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ht="13.5">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ht="13.5">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ht="13.5">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ht="13.5">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ht="13.5">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ht="13.5">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ht="13.5">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ht="13.5">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ht="13.5">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ht="13.5">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ht="13.5">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ht="13.5">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ht="13.5">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ht="13.5">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ht="13.5">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ht="13.5">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ht="13.5">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ht="13.5">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ht="13.5">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ht="13.5">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ht="13.5">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ht="13.5">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ht="13.5">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ht="13.5">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ht="13.5">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ht="13.5">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ht="13.5">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ht="13.5">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ht="13.5">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ht="13.5">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ht="13.5">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ht="13.5">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ht="13.5">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ht="13.5">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ht="13.5">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ht="13.5">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ht="13.5">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ht="13.5">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ht="13.5">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ht="13.5">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ht="13.5">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ht="13.5">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ht="13.5">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ht="13.5">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ht="13.5">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ht="13.5">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ht="13.5">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ht="13.5">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ht="13.5">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ht="13.5">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ht="13.5">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ht="13.5">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ht="13.5">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ht="13.5">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ht="13.5">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ht="13.5">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ht="13.5">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ht="13.5">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ht="13.5">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ht="13.5">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ht="13.5">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ht="13.5">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ht="13.5">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ht="13.5">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ht="13.5">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ht="13.5">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ht="13.5">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ht="13.5">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ht="13.5">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ht="13.5">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ht="13.5">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ht="13.5">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ht="13.5">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ht="13.5">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ht="13.5">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ht="13.5">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ht="13.5">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ht="13.5">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ht="13.5">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ht="13.5">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ht="13.5">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ht="13.5">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ht="13.5">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ht="13.5">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ht="13.5">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ht="13.5">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ht="13.5">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ht="13.5">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ht="13.5">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ht="13.5">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ht="13.5">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ht="13.5">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ht="13.5">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ht="13.5">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ht="13.5">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ht="13.5">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ht="13.5">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ht="13.5">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ht="13.5">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ht="13.5">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ht="13.5">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ht="13.5">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ht="13.5">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ht="13.5">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ht="13.5">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ht="13.5">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ht="13.5">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ht="13.5">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ht="13.5">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ht="13.5">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ht="13.5">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ht="13.5">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ht="13.5">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ht="13.5">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ht="13.5">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ht="13.5">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ht="13.5">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ht="13.5">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ht="13.5">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ht="13.5">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ht="13.5">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ht="13.5">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ht="13.5">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ht="13.5">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ht="13.5">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ht="13.5">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ht="13.5">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ht="13.5">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ht="13.5">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ht="13.5">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ht="13.5">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ht="13.5">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ht="13.5">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ht="13.5">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ht="13.5">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ht="13.5">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ht="13.5">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ht="13.5">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ht="13.5">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ht="13.5">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ht="13.5">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ht="13.5">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ht="13.5">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ht="13.5">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ht="13.5">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ht="13.5">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ht="13.5">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ht="13.5">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ht="13.5">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ht="13.5">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ht="13.5">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ht="13.5">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ht="13.5">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ht="13.5">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ht="13.5">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ht="13.5">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ht="13.5">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ht="13.5">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ht="13.5">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ht="13.5">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ht="13.5">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ht="13.5">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ht="13.5">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ht="13.5">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ht="13.5">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ht="13.5">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ht="13.5">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ht="13.5">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ht="13.5">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ht="13.5">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ht="13.5">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ht="13.5">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ht="13.5">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ht="13.5">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ht="13.5">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ht="13.5">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ht="13.5">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ht="13.5">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ht="13.5">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ht="13.5">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ht="13.5">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ht="13.5">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ht="13.5">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ht="13.5">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ht="13.5">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ht="13.5">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ht="13.5">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ht="13.5">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ht="13.5">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ht="13.5">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ht="13.5">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ht="13.5">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ht="13.5">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ht="13.5">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ht="13.5">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ht="13.5">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ht="13.5">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ht="13.5">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ht="13.5">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ht="13.5">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ht="13.5">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ht="13.5">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ht="13.5">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ht="13.5">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ht="13.5">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ht="13.5">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ht="13.5">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ht="13.5">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ht="13.5">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ht="13.5">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ht="13.5">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ht="13.5">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ht="13.5">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ht="13.5">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ht="13.5">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ht="13.5">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ht="13.5">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ht="13.5">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ht="13.5">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ht="13.5">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ht="13.5">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ht="13.5">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ht="13.5">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ht="13.5">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ht="13.5">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ht="13.5">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ht="13.5">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ht="13.5">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ht="13.5">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ht="13.5">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ht="13.5">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ht="13.5">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ht="13.5">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ht="13.5">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ht="13.5">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ht="13.5">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ht="13.5">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ht="13.5">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ht="13.5">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ht="13.5">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ht="13.5">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ht="13.5">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ht="13.5">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ht="13.5">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ht="13.5">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ht="13.5">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ht="13.5">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ht="13.5">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ht="13.5">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ht="13.5">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ht="13.5">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ht="13.5">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ht="13.5">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ht="13.5">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ht="13.5">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ht="13.5">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ht="13.5">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ht="13.5">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ht="13.5">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ht="13.5">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ht="13.5">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ht="13.5">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ht="13.5">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ht="13.5">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ht="13.5">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ht="13.5">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ht="13.5">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ht="13.5">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ht="13.5">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ht="13.5">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ht="13.5">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ht="13.5">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ht="13.5">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ht="13.5">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ht="13.5">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ht="13.5">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ht="13.5">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ht="13.5">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ht="13.5">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ht="13.5">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ht="13.5">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ht="13.5">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ht="13.5">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ht="13.5">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ht="13.5">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ht="13.5">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ht="13.5">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ht="13.5">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ht="13.5">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ht="13.5">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ht="13.5">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ht="13.5">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ht="13.5">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ht="13.5">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ht="13.5">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ht="13.5">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ht="13.5">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ht="13.5">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ht="13.5">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ht="13.5">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ht="13.5">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ht="13.5">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ht="13.5">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ht="13.5">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ht="13.5">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ht="13.5">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ht="13.5">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ht="13.5">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ht="13.5">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ht="13.5">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ht="13.5">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ht="13.5">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ht="13.5">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ht="13.5">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ht="13.5">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ht="13.5">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ht="13.5">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ht="13.5">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ht="13.5">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ht="13.5">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ht="13.5">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ht="13.5">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ht="13.5">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ht="13.5">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ht="13.5">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ht="13.5">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ht="13.5">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ht="13.5">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ht="13.5">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ht="13.5">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ht="13.5">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ht="13.5">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ht="13.5">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ht="13.5">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ht="13.5">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ht="13.5">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ht="13.5">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ht="13.5">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ht="13.5">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ht="13.5">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ht="13.5">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ht="13.5">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ht="13.5">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ht="13.5">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ht="13.5">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ht="13.5">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ht="13.5">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ht="13.5">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ht="13.5">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ht="13.5">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ht="13.5">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ht="13.5">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ht="13.5">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ht="13.5">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ht="13.5">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ht="13.5">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ht="13.5">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ht="13.5">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ht="13.5">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ht="13.5">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ht="13.5">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ht="13.5">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ht="13.5">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ht="13.5">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ht="13.5">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ht="13.5">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ht="13.5">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ht="13.5">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ht="13.5">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ht="13.5">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ht="13.5">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ht="13.5">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ht="13.5">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ht="13.5">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ht="13.5">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ht="13.5">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ht="13.5">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ht="13.5">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ht="13.5">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ht="13.5">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ht="13.5">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ht="13.5">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ht="13.5">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ht="13.5">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ht="13.5">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ht="13.5">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ht="13.5">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ht="13.5">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ht="13.5">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ht="13.5">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ht="13.5">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ht="13.5">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ht="13.5">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ht="13.5">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ht="13.5">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ht="13.5">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ht="13.5">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ht="13.5">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ht="13.5">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ht="13.5">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ht="13.5">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ht="13.5">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ht="13.5">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ht="13.5">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ht="13.5">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ht="13.5">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ht="13.5">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ht="13.5">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ht="13.5">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ht="13.5">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ht="13.5">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ht="13.5">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ht="13.5">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ht="13.5">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ht="13.5">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ht="13.5">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ht="13.5">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ht="13.5">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ht="13.5">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ht="13.5">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ht="13.5">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ht="13.5">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ht="13.5">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ht="13.5">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ht="13.5">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ht="13.5">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ht="13.5">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ht="13.5">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ht="13.5">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ht="13.5">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ht="13.5">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ht="13.5">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ht="13.5">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ht="13.5">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ht="13.5">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ht="13.5">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ht="13.5">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ht="13.5">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ht="13.5">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ht="13.5">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ht="13.5">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ht="13.5">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ht="13.5">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ht="13.5">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ht="13.5">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ht="13.5">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ht="13.5">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ht="13.5">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ht="13.5">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ht="13.5">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ht="13.5">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ht="13.5">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ht="13.5">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ht="13.5">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ht="13.5">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ht="13.5">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ht="13.5">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ht="13.5">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ht="13.5">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ht="13.5">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ht="13.5">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ht="13.5">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ht="13.5">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ht="13.5">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ht="13.5">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ht="13.5">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ht="13.5">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ht="13.5">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ht="13.5">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ht="13.5">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ht="13.5">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ht="13.5">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ht="13.5">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ht="13.5">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ht="13.5">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ht="13.5">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ht="13.5">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ht="13.5">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ht="13.5">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ht="13.5">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ht="13.5">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ht="13.5">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ht="13.5">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ht="13.5">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ht="13.5">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ht="13.5">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ht="13.5">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ht="13.5">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ht="13.5">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ht="13.5">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ht="13.5">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ht="13.5">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ht="13.5">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ht="13.5">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ht="13.5">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ht="13.5">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ht="13.5">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ht="13.5">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ht="13.5">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ht="13.5">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ht="13.5">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ht="13.5">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ht="13.5">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ht="13.5">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ht="13.5">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ht="13.5">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ht="13.5">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ht="13.5">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ht="13.5">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ht="13.5">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ht="13.5">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ht="13.5">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ht="13.5">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ht="13.5">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ht="13.5">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ht="13.5">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ht="13.5">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ht="13.5">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ht="13.5">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ht="13.5">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ht="13.5">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ht="13.5">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ht="13.5">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ht="13.5">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ht="13.5">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ht="13.5">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ht="13.5">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ht="13.5">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ht="13.5">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ht="13.5">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ht="13.5">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ht="13.5">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ht="13.5">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ht="13.5">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ht="13.5">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ht="13.5">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ht="13.5">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ht="13.5">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ht="13.5">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ht="13.5">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ht="13.5">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ht="13.5">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ht="13.5">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ht="13.5">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ht="13.5">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ht="13.5">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ht="13.5">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ht="13.5">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ht="13.5">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ht="13.5">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ht="13.5">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ht="13.5">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ht="13.5">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ht="13.5">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ht="13.5">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ht="13.5">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ht="13.5">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ht="13.5">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ht="13.5">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ht="13.5">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ht="13.5">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ht="13.5">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ht="13.5">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ht="13.5">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ht="13.5">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ht="13.5">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ht="13.5">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ht="13.5">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ht="13.5">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ht="13.5">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ht="13.5">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ht="13.5">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ht="13.5">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ht="13.5">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ht="13.5">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ht="13.5">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ht="13.5">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ht="13.5">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ht="13.5">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ht="13.5">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ht="13.5">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ht="13.5">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ht="13.5">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ht="13.5">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ht="13.5">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ht="13.5">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ht="13.5">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ht="13.5">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ht="13.5">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ht="13.5">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ht="13.5">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ht="13.5">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ht="13.5">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ht="13.5">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ht="13.5">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ht="13.5">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ht="13.5">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ht="13.5">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ht="13.5">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ht="13.5">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ht="13.5">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ht="13.5">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ht="13.5">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ht="13.5">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ht="13.5">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ht="13.5">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ht="13.5">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ht="13.5">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ht="13.5">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ht="13.5">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ht="13.5">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ht="13.5">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ht="13.5">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ht="13.5">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ht="13.5">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ht="13.5">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ht="13.5">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ht="13.5">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ht="13.5">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ht="13.5">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ht="13.5">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ht="13.5">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ht="13.5">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ht="13.5">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ht="13.5">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ht="13.5">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ht="13.5">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ht="13.5">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ht="13.5">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ht="13.5">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ht="13.5">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ht="13.5">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ht="13.5">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ht="13.5">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ht="13.5">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ht="13.5">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ht="13.5">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ht="13.5">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ht="13.5">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ht="13.5">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ht="13.5">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ht="13.5">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ht="13.5">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ht="13.5">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ht="13.5">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ht="13.5">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ht="13.5">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ht="13.5">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ht="13.5">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ht="13.5">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ht="13.5">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ht="13.5">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ht="13.5">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ht="13.5">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ht="13.5">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ht="13.5">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ht="13.5">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ht="13.5">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ht="13.5">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ht="13.5">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ht="13.5">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ht="13.5">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ht="13.5">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ht="13.5">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ht="13.5">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ht="13.5">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ht="13.5">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ht="13.5">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ht="13.5">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ht="13.5">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ht="13.5">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ht="13.5">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ht="13.5">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ht="13.5">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ht="13.5">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ht="13.5">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ht="13.5">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ht="13.5">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ht="13.5">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ht="13.5">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ht="13.5">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ht="13.5">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ht="13.5">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ht="13.5">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ht="13.5">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ht="13.5">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ht="13.5">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ht="13.5">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ht="13.5">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ht="13.5">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ht="13.5">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ht="13.5">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ht="13.5">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ht="13.5">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ht="13.5">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ht="13.5">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ht="13.5">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ht="13.5">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ht="13.5">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ht="13.5">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ht="13.5">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ht="13.5">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ht="13.5">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ht="13.5">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ht="13.5">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ht="13.5">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ht="13.5">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ht="13.5">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ht="13.5">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ht="13.5">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ht="13.5">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ht="13.5">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ht="13.5">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ht="13.5">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ht="13.5">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ht="13.5">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ht="13.5">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ht="13.5">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ht="13.5">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ht="13.5">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ht="13.5">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ht="13.5">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ht="13.5">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ht="13.5">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ht="13.5">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ht="13.5">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ht="13.5">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ht="13.5">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ht="13.5">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ht="13.5">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ht="13.5">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ht="13.5">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ht="13.5">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ht="13.5">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ht="13.5">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ht="13.5">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ht="13.5">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ht="13.5">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ht="13.5">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ht="13.5">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ht="13.5">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ht="13.5">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ht="13.5">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ht="13.5">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ht="13.5">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ht="13.5">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ht="13.5">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ht="13.5">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ht="13.5">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ht="13.5">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ht="13.5">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ht="13.5">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ht="13.5">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ht="13.5">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ht="13.5">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ht="13.5">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ht="13.5">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ht="13.5">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ht="13.5">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ht="13.5">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ht="13.5">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ht="13.5">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ht="13.5">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ht="13.5">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ht="13.5">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ht="13.5">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ht="13.5">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ht="13.5">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ht="13.5">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ht="13.5">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ht="13.5">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ht="13.5">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ht="13.5">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ht="13.5">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ht="13.5">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ht="13.5">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ht="13.5">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ht="13.5">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ht="13.5">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ht="13.5">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ht="13.5">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ht="13.5">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ht="13.5">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ht="13.5">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ht="13.5">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ht="13.5">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ht="13.5">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ht="13.5">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ht="13.5">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ht="13.5">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ht="13.5">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ht="13.5">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ht="13.5">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ht="13.5">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ht="13.5">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ht="13.5">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ht="13.5">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ht="13.5">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ht="13.5">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ht="13.5">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ht="13.5">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ht="13.5">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ht="13.5">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ht="13.5">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ht="13.5">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ht="13.5">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ht="13.5">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ht="13.5">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ht="13.5">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ht="13.5">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ht="13.5">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ht="13.5">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ht="13.5">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ht="13.5">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ht="13.5">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ht="13.5">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ht="13.5">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ht="13.5">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ht="13.5">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ht="13.5">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ht="13.5">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ht="13.5">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ht="13.5">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ht="13.5">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ht="13.5">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ht="13.5">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ht="13.5">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ht="13.5">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ht="13.5">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ht="13.5">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ht="13.5">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ht="13.5">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ht="13.5">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ht="13.5">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ht="13.5">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ht="13.5">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ht="13.5">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ht="13.5">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ht="13.5">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ht="13.5">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ht="13.5">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ht="13.5">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ht="13.5">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ht="13.5">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ht="13.5">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ht="13.5">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ht="13.5">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ht="13.5">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ht="13.5">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ht="13.5">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ht="13.5">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ht="13.5">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ht="13.5">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ht="13.5">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ht="13.5">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ht="13.5">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ht="13.5">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ht="13.5">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ht="13.5">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ht="13.5">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ht="13.5">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ht="13.5">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ht="13.5">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ht="13.5">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ht="13.5">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ht="13.5">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ht="13.5">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ht="13.5">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ht="13.5">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ht="13.5">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ht="13.5">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ht="13.5">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ht="13.5">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ht="13.5">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ht="13.5">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ht="13.5">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ht="13.5">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ht="13.5">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ht="13.5">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ht="13.5">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ht="13.5">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ht="13.5">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ht="13.5">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ht="13.5">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ht="13.5">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ht="13.5">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ht="13.5">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ht="13.5">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ht="13.5">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ht="13.5">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ht="13.5">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ht="13.5">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ht="13.5">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ht="13.5">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ht="13.5">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ht="13.5">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ht="13.5">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ht="13.5">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ht="13.5">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ht="13.5">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ht="13.5">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ht="13.5">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ht="13.5">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ht="13.5">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ht="13.5">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ht="13.5">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ht="13.5">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ht="13.5">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ht="13.5">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ht="13.5">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ht="13.5">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ht="13.5">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ht="13.5">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ht="13.5">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ht="13.5">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ht="13.5">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ht="13.5">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ht="13.5">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ht="13.5">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ht="13.5">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ht="13.5">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ht="13.5">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ht="13.5">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ht="13.5">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ht="13.5">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ht="13.5">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ht="13.5">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ht="13.5">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ht="13.5">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ht="13.5">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ht="13.5">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ht="13.5">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ht="13.5">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ht="13.5">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ht="13.5">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ht="13.5">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ht="13.5">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ht="13.5">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ht="13.5">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ht="13.5">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ht="13.5">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ht="13.5">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ht="13.5">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ht="13.5">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ht="13.5">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ht="13.5">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ht="13.5">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ht="13.5">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ht="13.5">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ht="13.5">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ht="13.5">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ht="13.5">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ht="13.5">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ht="13.5">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ht="13.5">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ht="13.5">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ht="13.5">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ht="13.5">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ht="13.5">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ht="13.5">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ht="13.5">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ht="13.5">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ht="13.5">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ht="13.5">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ht="13.5">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ht="13.5">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ht="13.5">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ht="13.5">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ht="13.5">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ht="13.5">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ht="13.5">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ht="13.5">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ht="13.5">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ht="13.5">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ht="13.5">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ht="13.5">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ht="13.5">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ht="13.5">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ht="13.5">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ht="13.5">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ht="13.5">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ht="13.5">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ht="13.5">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ht="13.5">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ht="13.5">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ht="13.5">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ht="13.5">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ht="13.5">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ht="13.5">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ht="13.5">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ht="13.5">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ht="13.5">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ht="13.5">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ht="13.5">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ht="13.5">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ht="13.5">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ht="13.5">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ht="13.5">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ht="13.5">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ht="13.5">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ht="13.5">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ht="13.5">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ht="13.5">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ht="13.5">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ht="13.5">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ht="13.5">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ht="13.5">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ht="13.5">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ht="13.5">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ht="13.5">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ht="13.5">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ht="13.5">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ht="13.5">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ht="13.5">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ht="13.5">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ht="13.5">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ht="13.5">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ht="13.5">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ht="13.5">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ht="13.5">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ht="13.5">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ht="13.5">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ht="13.5">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ht="13.5">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ht="13.5">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ht="13.5">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ht="13.5">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ht="13.5">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ht="13.5">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ht="13.5">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ht="13.5">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ht="13.5">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ht="13.5">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ht="13.5">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ht="13.5">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ht="13.5">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ht="13.5">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ht="13.5">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ht="13.5">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ht="13.5">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ht="13.5">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ht="13.5">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ht="13.5">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ht="13.5">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ht="13.5">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ht="13.5">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ht="13.5">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ht="13.5">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ht="13.5">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ht="13.5">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ht="13.5">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ht="13.5">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ht="13.5">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ht="13.5">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ht="13.5">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ht="13.5">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ht="13.5">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ht="13.5">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ht="13.5">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ht="13.5">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ht="13.5">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ht="13.5">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ht="13.5">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ht="13.5">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ht="13.5">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ht="13.5">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ht="13.5">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ht="13.5">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ht="13.5">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ht="13.5">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ht="13.5">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ht="13.5">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ht="13.5">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ht="13.5">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ht="13.5">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ht="13.5">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ht="13.5">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ht="13.5">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ht="13.5">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ht="13.5">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ht="13.5">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ht="13.5">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ht="13.5">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ht="13.5">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ht="13.5">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ht="13.5">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ht="13.5">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ht="13.5">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ht="13.5">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ht="13.5">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ht="13.5">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ht="13.5">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ht="13.5">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ht="13.5">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ht="13.5">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ht="13.5">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ht="13.5">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ht="13.5">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ht="13.5">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ht="13.5">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ht="13.5">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ht="13.5">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ht="13.5">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ht="13.5">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ht="13.5">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ht="13.5">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ht="13.5">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ht="13.5">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ht="13.5">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ht="13.5">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ht="13.5">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ht="13.5">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ht="13.5">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ht="13.5">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ht="13.5">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ht="13.5">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ht="13.5">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ht="13.5">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ht="13.5">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ht="13.5">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ht="13.5">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ht="13.5">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ht="13.5">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ht="13.5">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ht="13.5">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ht="13.5">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ht="13.5">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ht="13.5">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ht="13.5">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ht="13.5">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ht="13.5">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ht="13.5">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ht="13.5">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ht="13.5">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ht="13.5">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ht="13.5">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ht="13.5">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ht="13.5">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ht="13.5">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ht="13.5">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ht="13.5">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ht="13.5">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ht="13.5">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ht="13.5">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ht="13.5">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ht="13.5">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ht="13.5">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ht="13.5">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ht="13.5">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ht="13.5">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ht="13.5">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ht="13.5">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ht="13.5">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ht="13.5">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ht="13.5">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ht="13.5">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ht="13.5">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ht="13.5">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ht="13.5">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ht="13.5">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ht="13.5">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ht="13.5">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ht="13.5">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ht="13.5">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ht="13.5">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ht="13.5">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ht="13.5">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ht="13.5">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ht="13.5">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ht="13.5">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ht="13.5">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ht="13.5">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ht="13.5">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ht="13.5">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ht="13.5">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ht="13.5">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ht="13.5">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ht="13.5">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ht="13.5">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ht="13.5">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ht="13.5">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ht="13.5">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ht="13.5">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ht="13.5">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ht="13.5">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ht="13.5">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ht="13.5">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ht="13.5">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ht="13.5">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ht="13.5">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ht="13.5">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ht="13.5">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ht="13.5">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ht="13.5">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ht="13.5">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ht="13.5">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ht="13.5">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ht="13.5">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ht="13.5">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ht="13.5">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ht="13.5">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ht="13.5">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ht="13.5">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ht="13.5">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ht="13.5">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ht="13.5">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ht="13.5">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ht="13.5">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ht="13.5">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ht="13.5">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ht="13.5">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ht="13.5">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ht="13.5">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ht="13.5">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ht="13.5">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ht="13.5">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ht="13.5">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ht="13.5">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ht="13.5">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ht="13.5">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ht="13.5">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ht="13.5">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ht="13.5">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ht="13.5">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ht="13.5">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Augusta, Bon Air,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3291</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3268</v>
      </c>
      <c r="G9" s="1819"/>
      <c r="H9" s="1819"/>
      <c r="I9" s="2543">
        <f>'Part III-A-Uses of Funds'!$J$191</f>
        <v>1105000</v>
      </c>
      <c r="J9" s="2543"/>
      <c r="K9" s="1819"/>
      <c r="L9" s="1819" t="s">
        <v>3269</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2023PA-075</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3674</v>
      </c>
      <c r="C13" s="1819"/>
      <c r="D13" s="2623"/>
      <c r="E13" s="1622"/>
      <c r="F13" s="1819"/>
      <c r="G13" s="1622"/>
      <c r="H13" s="1622"/>
      <c r="I13" s="1622"/>
      <c r="J13" s="1819"/>
      <c r="K13" s="1819"/>
      <c r="L13" s="2625"/>
      <c r="M13" s="1819"/>
      <c r="N13" s="1819"/>
      <c r="O13" s="1819"/>
      <c r="P13" s="1819"/>
    </row>
    <row r="14" spans="1:26">
      <c r="A14" s="1819"/>
      <c r="B14" s="1819" t="s">
        <v>3297</v>
      </c>
      <c r="C14" s="1819"/>
      <c r="D14" s="1819"/>
      <c r="E14" s="1819"/>
      <c r="F14" s="1819" t="str">
        <f>'Part I-Project Identification'!F15</f>
        <v>Bon Air Apartments, LP</v>
      </c>
      <c r="G14" s="1819"/>
      <c r="H14" s="1819"/>
      <c r="I14" s="1819" t="s">
        <v>1670</v>
      </c>
      <c r="J14" s="1819" t="str">
        <f>'Part I-Project Identification'!J15</f>
        <v>Lauren Valdez</v>
      </c>
      <c r="K14" s="1819"/>
      <c r="L14" s="1819"/>
      <c r="M14" s="2623" t="s">
        <v>1839</v>
      </c>
      <c r="N14" s="1819" t="str">
        <f>'Part I-Project Identification'!N15</f>
        <v>Project Manager</v>
      </c>
      <c r="O14" s="1819"/>
      <c r="P14" s="1819"/>
    </row>
    <row r="15" spans="1:26" s="1819" customFormat="1" ht="12.75" customHeight="1">
      <c r="B15" s="2623" t="s">
        <v>1599</v>
      </c>
      <c r="F15" s="2628">
        <f>'Part I-Project Identification'!F16</f>
        <v>2066882087</v>
      </c>
      <c r="G15" s="2628"/>
      <c r="H15" s="2628"/>
      <c r="I15" s="2623" t="s">
        <v>1598</v>
      </c>
      <c r="J15" s="2629">
        <f>'Part I-Project Identification'!J16</f>
        <v>0</v>
      </c>
      <c r="M15" s="2623" t="s">
        <v>1600</v>
      </c>
      <c r="N15" s="2628">
        <f>'Part I-Project Identification'!N16</f>
        <v>2066882087</v>
      </c>
      <c r="O15" s="2628"/>
      <c r="P15" s="2628"/>
      <c r="Q15" s="357"/>
      <c r="R15" s="357"/>
      <c r="S15" s="357"/>
      <c r="V15" s="2630"/>
      <c r="W15" s="2630"/>
      <c r="X15" s="2630"/>
      <c r="Z15" s="1622">
        <v>18</v>
      </c>
    </row>
    <row r="16" spans="1:26" s="1819" customFormat="1">
      <c r="B16" s="2623" t="s">
        <v>1842</v>
      </c>
      <c r="F16" s="2631" t="str">
        <f>'Part I-Project Identification'!F17</f>
        <v>lauren.valdez@redwoodhousing.com</v>
      </c>
      <c r="G16" s="2631"/>
      <c r="H16" s="2631"/>
      <c r="I16" s="2631"/>
      <c r="J16" s="2631"/>
      <c r="K16" s="2631"/>
      <c r="L16" s="2631"/>
      <c r="M16" s="2623" t="s">
        <v>1838</v>
      </c>
      <c r="N16" s="2628">
        <f>'Part I-Project Identification'!N17</f>
        <v>2066882087</v>
      </c>
      <c r="O16" s="2628"/>
      <c r="P16" s="2628"/>
      <c r="Q16" s="357"/>
      <c r="R16" s="357"/>
      <c r="S16" s="357"/>
      <c r="U16" s="2630"/>
      <c r="V16" s="2630"/>
      <c r="W16" s="2630"/>
      <c r="X16" s="2630"/>
      <c r="Z16" s="1622">
        <v>19</v>
      </c>
    </row>
    <row r="17" spans="1:26">
      <c r="A17" s="2615"/>
      <c r="B17" s="2614" t="s">
        <v>3673</v>
      </c>
      <c r="C17" s="378"/>
      <c r="D17" s="1819"/>
      <c r="E17" s="1819"/>
      <c r="F17" s="1819"/>
      <c r="G17" s="1819"/>
      <c r="H17" s="1622"/>
      <c r="I17" s="1819"/>
      <c r="J17" s="378"/>
      <c r="K17" s="1819"/>
      <c r="L17" s="1819"/>
      <c r="M17" s="1819"/>
      <c r="N17" s="1819"/>
      <c r="O17" s="1819"/>
      <c r="P17" s="1622"/>
    </row>
    <row r="18" spans="1:26">
      <c r="A18" s="1819"/>
      <c r="B18" s="1819" t="s">
        <v>3297</v>
      </c>
      <c r="C18" s="1819"/>
      <c r="D18" s="1819"/>
      <c r="E18" s="1819"/>
      <c r="F18" s="1819" t="str">
        <f>'Part I-Project Identification'!F19</f>
        <v>Bon Air Apartments, LP</v>
      </c>
      <c r="G18" s="1819"/>
      <c r="H18" s="1819"/>
      <c r="I18" s="1819" t="s">
        <v>1670</v>
      </c>
      <c r="J18" s="1819" t="str">
        <f>'Part I-Project Identification'!J19</f>
        <v>Alyssa Alcantara</v>
      </c>
      <c r="K18" s="1819"/>
      <c r="L18" s="1819"/>
      <c r="M18" s="2623" t="s">
        <v>1839</v>
      </c>
      <c r="N18" s="1819" t="str">
        <f>'Part I-Project Identification'!N19</f>
        <v>Senior Associate</v>
      </c>
      <c r="O18" s="1819"/>
      <c r="P18" s="1819"/>
    </row>
    <row r="19" spans="1:26" s="1819" customFormat="1" ht="12.75" customHeight="1">
      <c r="B19" s="2623" t="s">
        <v>1599</v>
      </c>
      <c r="F19" s="2628">
        <f>'Part I-Project Identification'!F20</f>
        <v>2066492939</v>
      </c>
      <c r="G19" s="2628"/>
      <c r="H19" s="2628"/>
      <c r="I19" s="2623" t="s">
        <v>1598</v>
      </c>
      <c r="J19" s="2629">
        <f>'Part I-Project Identification'!J20</f>
        <v>0</v>
      </c>
      <c r="M19" s="2623" t="s">
        <v>1600</v>
      </c>
      <c r="N19" s="2628">
        <f>'Part I-Project Identification'!N20</f>
        <v>2066492939</v>
      </c>
      <c r="O19" s="2628"/>
      <c r="P19" s="2628"/>
      <c r="Q19" s="357"/>
      <c r="R19" s="357"/>
      <c r="S19" s="357"/>
      <c r="V19" s="2630"/>
      <c r="W19" s="2630"/>
      <c r="X19" s="2630"/>
      <c r="Z19" s="1622">
        <v>18</v>
      </c>
    </row>
    <row r="20" spans="1:26" s="1819" customFormat="1">
      <c r="B20" s="2623" t="s">
        <v>1842</v>
      </c>
      <c r="F20" s="2631" t="str">
        <f>'Part I-Project Identification'!F21</f>
        <v>alyssa.alcantara@redwoodhousing.com</v>
      </c>
      <c r="G20" s="2631"/>
      <c r="H20" s="2631"/>
      <c r="I20" s="2631"/>
      <c r="J20" s="2631"/>
      <c r="K20" s="2631"/>
      <c r="L20" s="2631"/>
      <c r="M20" s="2623" t="s">
        <v>1838</v>
      </c>
      <c r="N20" s="2628">
        <f>'Part I-Project Identification'!N21</f>
        <v>2066492939</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Bon Air</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Augusta</v>
      </c>
      <c r="G25" s="1819"/>
      <c r="H25" s="1819"/>
      <c r="I25" s="2632" t="s">
        <v>576</v>
      </c>
      <c r="J25" s="1819" t="str">
        <f>'Part I-Project Identification'!J26</f>
        <v>Richmond</v>
      </c>
      <c r="K25" s="1819"/>
      <c r="L25" s="1819"/>
      <c r="M25" s="2623" t="s">
        <v>426</v>
      </c>
      <c r="N25" s="1819"/>
      <c r="O25" s="1819"/>
      <c r="P25" s="2545" t="str">
        <f>'Part I-Project Identification'!P26</f>
        <v>No</v>
      </c>
    </row>
    <row r="26" spans="1:26" ht="13.5">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9.26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Augusta-Richmond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6655</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6654</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3934</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Bon Air, Augusta, Richmond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Yes</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5">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Yes</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5">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5">
      <c r="A58" s="2615"/>
      <c r="B58" s="1622" t="str">
        <f>'Part II-Sources of Funds'!B15</f>
        <v>No</v>
      </c>
      <c r="C58" s="2641" t="s">
        <v>3219</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5">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5">
      <c r="A60" s="2615"/>
      <c r="B60" s="2641" t="s">
        <v>3880</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ht="51">
      <c r="A65" s="1819"/>
      <c r="B65" s="1819" t="s">
        <v>1486</v>
      </c>
      <c r="C65" s="1819"/>
      <c r="D65" s="1819"/>
      <c r="E65" s="1819"/>
      <c r="F65" s="1819"/>
      <c r="G65" s="1819"/>
      <c r="H65" s="2645" t="str">
        <f>'Part II-Sources of Funds'!H22</f>
        <v>Berkadia Commercial Mortgage, LLC</v>
      </c>
      <c r="I65" s="2645"/>
      <c r="J65" s="2645"/>
      <c r="K65" s="2645"/>
      <c r="L65" s="2547">
        <f>'Part II-Sources of Funds'!L22</f>
        <v>32100000</v>
      </c>
      <c r="M65" s="2547"/>
      <c r="N65" s="2548">
        <f>'Part II-Sources of Funds'!N22</f>
        <v>0.05</v>
      </c>
      <c r="O65" s="2548"/>
      <c r="P65" s="2549">
        <f>'Part II-Sources of Funds'!P22</f>
        <v>36</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51">
      <c r="A70" s="1819"/>
      <c r="B70" s="1819" t="s">
        <v>595</v>
      </c>
      <c r="C70" s="1819"/>
      <c r="D70" s="1819"/>
      <c r="E70" s="1819"/>
      <c r="F70" s="2641"/>
      <c r="G70" s="2641"/>
      <c r="H70" s="2645" t="str">
        <f>'Part II-Sources of Funds'!H27</f>
        <v>Redwood Housing Services, LLC</v>
      </c>
      <c r="I70" s="2645"/>
      <c r="J70" s="2645"/>
      <c r="K70" s="2645"/>
      <c r="L70" s="2547">
        <f>'Part II-Sources of Funds'!L27</f>
        <v>726061</v>
      </c>
      <c r="M70" s="2547"/>
      <c r="N70" s="2548"/>
      <c r="O70" s="2548"/>
      <c r="P70" s="1819"/>
      <c r="Q70" s="1819"/>
    </row>
    <row r="71" spans="1:17" ht="13.5">
      <c r="A71" s="1819"/>
      <c r="B71" s="1819" t="s">
        <v>746</v>
      </c>
      <c r="C71" s="1819"/>
      <c r="D71" s="1819"/>
      <c r="E71" s="1819"/>
      <c r="F71" s="2641"/>
      <c r="G71" s="2641"/>
      <c r="H71" s="2645" t="str">
        <f>'Part II-Sources of Funds'!H28</f>
        <v>US bancorp</v>
      </c>
      <c r="I71" s="2645"/>
      <c r="J71" s="2645"/>
      <c r="K71" s="2645"/>
      <c r="L71" s="2547">
        <f>'Part II-Sources of Funds'!L28</f>
        <v>2292645.7125000004</v>
      </c>
      <c r="M71" s="2547"/>
      <c r="N71" s="1819"/>
      <c r="O71" s="2641"/>
      <c r="P71" s="2641"/>
      <c r="Q71" s="1819"/>
    </row>
    <row r="72" spans="1:17" ht="13.5">
      <c r="A72" s="1819"/>
      <c r="B72" s="1819" t="s">
        <v>747</v>
      </c>
      <c r="C72" s="1819"/>
      <c r="D72" s="1819"/>
      <c r="E72" s="1819"/>
      <c r="F72" s="2641"/>
      <c r="G72" s="2641"/>
      <c r="H72" s="2645" t="str">
        <f>'Part II-Sources of Funds'!H29</f>
        <v>US bancorp</v>
      </c>
      <c r="I72" s="2645"/>
      <c r="J72" s="2645"/>
      <c r="K72" s="2645"/>
      <c r="L72" s="2547">
        <f>'Part II-Sources of Funds'!L29</f>
        <v>2419708.0049999999</v>
      </c>
      <c r="M72" s="2547"/>
      <c r="N72" s="1819"/>
      <c r="O72" s="2641"/>
      <c r="P72" s="2641"/>
      <c r="Q72" s="1819"/>
    </row>
    <row r="73" spans="1:17" ht="25.5">
      <c r="A73" s="1819"/>
      <c r="B73" s="1819" t="s">
        <v>232</v>
      </c>
      <c r="C73" s="1819"/>
      <c r="D73" s="2645" t="str">
        <f>'Part II-Sources of Funds'!D30</f>
        <v>Historic Tax Credit</v>
      </c>
      <c r="E73" s="2645"/>
      <c r="F73" s="2645"/>
      <c r="G73" s="2645"/>
      <c r="H73" s="2645" t="str">
        <f>'Part II-Sources of Funds'!H30</f>
        <v>US bancorp</v>
      </c>
      <c r="I73" s="2645"/>
      <c r="J73" s="2645"/>
      <c r="K73" s="2645"/>
      <c r="L73" s="2547">
        <f>'Part II-Sources of Funds'!L30</f>
        <v>535774.43352936418</v>
      </c>
      <c r="M73" s="2547"/>
      <c r="N73" s="1819"/>
      <c r="O73" s="2641"/>
      <c r="P73" s="2641"/>
      <c r="Q73" s="1819"/>
    </row>
    <row r="74" spans="1:17" ht="38.25">
      <c r="A74" s="1819"/>
      <c r="B74" s="1819" t="s">
        <v>232</v>
      </c>
      <c r="C74" s="1819"/>
      <c r="D74" s="2645" t="str">
        <f>'Part II-Sources of Funds'!D31</f>
        <v>Income from Operations</v>
      </c>
      <c r="E74" s="2645"/>
      <c r="F74" s="2645"/>
      <c r="G74" s="2645"/>
      <c r="H74" s="2645">
        <f>'Part II-Sources of Funds'!H31</f>
        <v>0</v>
      </c>
      <c r="I74" s="2645"/>
      <c r="J74" s="2645"/>
      <c r="K74" s="2645"/>
      <c r="L74" s="2547">
        <f>'Part II-Sources of Funds'!L31</f>
        <v>670000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38744189.151029363</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38724335.425747097</v>
      </c>
      <c r="M77" s="2550"/>
      <c r="N77" s="2646"/>
      <c r="O77" s="2641"/>
      <c r="P77" s="2641"/>
      <c r="Q77" s="2641"/>
    </row>
    <row r="78" spans="1:17" ht="13.5">
      <c r="A78" s="1819"/>
      <c r="B78" s="2623" t="s">
        <v>2002</v>
      </c>
      <c r="C78" s="1819"/>
      <c r="D78" s="1819"/>
      <c r="E78" s="1819"/>
      <c r="F78" s="1819"/>
      <c r="G78" s="1819"/>
      <c r="H78" s="1819"/>
      <c r="I78" s="1819"/>
      <c r="J78" s="2641"/>
      <c r="K78" s="2641"/>
      <c r="L78" s="2647">
        <f>L76-L77</f>
        <v>19853.725282266736</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Berkadia Commercial Mortgage, LLC</v>
      </c>
      <c r="F83" s="2645"/>
      <c r="G83" s="2645"/>
      <c r="H83" s="2645"/>
      <c r="I83" s="2648">
        <f>'Part II-Sources of Funds'!I40</f>
        <v>19060000</v>
      </c>
      <c r="J83" s="1819"/>
      <c r="K83" s="2649">
        <f>'Part II-Sources of Funds'!K40</f>
        <v>0.05</v>
      </c>
      <c r="L83" s="1622">
        <f>'Part II-Sources of Funds'!L40</f>
        <v>17</v>
      </c>
      <c r="M83" s="1622">
        <f>'Part II-Sources of Funds'!M40</f>
        <v>40</v>
      </c>
      <c r="N83" s="1819" t="str">
        <f>'Part II-Sources of Funds'!N40</f>
        <v>Amortizing</v>
      </c>
      <c r="O83" s="1819"/>
      <c r="P83" s="2551">
        <f>'Part II-Sources of Funds'!P40</f>
        <v>1102880.0648455757</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0.27393955922551083</v>
      </c>
      <c r="E88" s="2645" t="str">
        <f>'Part II-Sources of Funds'!E45</f>
        <v>Redwood Housing Services, LLC</v>
      </c>
      <c r="F88" s="2645"/>
      <c r="G88" s="2645"/>
      <c r="H88" s="2645"/>
      <c r="I88" s="2648">
        <f>'Part II-Sources of Funds'!I45</f>
        <v>547879.11845102161</v>
      </c>
      <c r="J88" s="1819"/>
      <c r="K88" s="2649">
        <f>'Part II-Sources of Funds'!K45</f>
        <v>0</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3407</v>
      </c>
      <c r="C90" s="1819"/>
      <c r="D90" s="2641"/>
      <c r="E90" s="2641" t="s">
        <v>3365</v>
      </c>
      <c r="F90" s="2653">
        <f>'Part II-Sources of Funds'!F47</f>
        <v>5791238.1177113634</v>
      </c>
      <c r="G90" s="2641"/>
      <c r="H90" s="2654" t="s">
        <v>3406</v>
      </c>
      <c r="I90" s="2653">
        <f>'Part II-Sources of Funds'!I47</f>
        <v>547879</v>
      </c>
      <c r="J90" s="2641"/>
      <c r="K90" s="2654" t="s">
        <v>3408</v>
      </c>
      <c r="L90" s="2655">
        <f>'Part II-Sources of Funds'!L47</f>
        <v>9.4604813144260086E-2</v>
      </c>
      <c r="M90" s="2655"/>
      <c r="N90" s="2551" t="s">
        <v>3849</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US bancorp</v>
      </c>
      <c r="F94" s="2645"/>
      <c r="G94" s="2645"/>
      <c r="H94" s="2645"/>
      <c r="I94" s="2648">
        <f>'Part II-Sources of Funds'!I51</f>
        <v>9170582.8499999996</v>
      </c>
      <c r="J94" s="1819"/>
      <c r="K94" s="2641"/>
      <c r="L94" s="2659">
        <f>'Part II-Sources of Funds'!L51</f>
        <v>9171500</v>
      </c>
      <c r="M94" s="2659"/>
      <c r="N94" s="2660">
        <f>I94-L94</f>
        <v>-917.15000000037253</v>
      </c>
      <c r="O94" s="2660"/>
      <c r="P94" s="2661">
        <f>I94/I104</f>
        <v>0.2253736671524012</v>
      </c>
      <c r="Q94" s="1819"/>
    </row>
    <row r="95" spans="1:17" ht="13.5">
      <c r="A95" s="1819"/>
      <c r="B95" s="1819" t="s">
        <v>747</v>
      </c>
      <c r="C95" s="1819"/>
      <c r="D95" s="1819"/>
      <c r="E95" s="2645" t="str">
        <f>'Part II-Sources of Funds'!E52</f>
        <v>US bancorp</v>
      </c>
      <c r="F95" s="2645"/>
      <c r="G95" s="2645"/>
      <c r="H95" s="2645"/>
      <c r="I95" s="2648">
        <f>'Part II-Sources of Funds'!I52</f>
        <v>8065693.3658825429</v>
      </c>
      <c r="J95" s="1819"/>
      <c r="K95" s="2641"/>
      <c r="L95" s="2659">
        <f>'Part II-Sources of Funds'!L52</f>
        <v>8066500</v>
      </c>
      <c r="M95" s="2659"/>
      <c r="N95" s="2660">
        <f>I95-L95</f>
        <v>-806.63411745708436</v>
      </c>
      <c r="O95" s="2660"/>
      <c r="P95" s="2661">
        <f>I95/I104</f>
        <v>0.19822021366894285</v>
      </c>
      <c r="Q95" s="1819"/>
    </row>
    <row r="96" spans="1:17" ht="13.5">
      <c r="A96" s="1819"/>
      <c r="B96" s="1819" t="s">
        <v>1331</v>
      </c>
      <c r="C96" s="1819"/>
      <c r="D96" s="1819"/>
      <c r="E96" s="2645" t="str">
        <f>'Part II-Sources of Funds'!E53</f>
        <v>US bancorp</v>
      </c>
      <c r="F96" s="2645"/>
      <c r="G96" s="2645"/>
      <c r="H96" s="2645"/>
      <c r="I96" s="2648">
        <f>'Part II-Sources of Funds'!I53</f>
        <v>2143097.7341174567</v>
      </c>
      <c r="J96" s="1819"/>
      <c r="K96" s="2641"/>
      <c r="L96" s="2641"/>
      <c r="M96" s="2641"/>
      <c r="N96" s="2641"/>
      <c r="O96" s="2641"/>
      <c r="P96" s="2661">
        <f>SUM(P94:P95)</f>
        <v>0.42359388082134408</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1703790.9491786221</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40691044.017629638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40690569.425747097</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474.5918825417757</v>
      </c>
      <c r="J105" s="2647"/>
      <c r="K105" s="1819"/>
      <c r="L105" s="1622"/>
      <c r="M105" s="2645"/>
      <c r="N105" s="2645"/>
      <c r="O105" s="2645"/>
      <c r="P105" s="2645"/>
      <c r="Q105" s="1819"/>
    </row>
    <row r="106" spans="1:17">
      <c r="A106" s="1819" t="s">
        <v>3946</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Bon Air,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12500</v>
      </c>
      <c r="H122" s="2547"/>
      <c r="I122" s="1819"/>
      <c r="J122" s="2547">
        <f>'Part III-A-Uses of Funds'!J9</f>
        <v>0</v>
      </c>
      <c r="K122" s="2547"/>
      <c r="L122" s="2545"/>
      <c r="M122" s="2547">
        <f>'Part III-A-Uses of Funds'!M9</f>
        <v>0</v>
      </c>
      <c r="N122" s="2547"/>
      <c r="O122" s="1819"/>
      <c r="P122" s="2547">
        <f>'Part III-A-Uses of Funds'!P9</f>
        <v>12500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17500</v>
      </c>
      <c r="H123" s="2547"/>
      <c r="I123" s="1819"/>
      <c r="J123" s="2547">
        <f>'Part III-A-Uses of Funds'!J10</f>
        <v>0</v>
      </c>
      <c r="K123" s="2547"/>
      <c r="L123" s="2545"/>
      <c r="M123" s="2547">
        <f>'Part III-A-Uses of Funds'!M10</f>
        <v>0</v>
      </c>
      <c r="N123" s="2547"/>
      <c r="O123" s="1819"/>
      <c r="P123" s="2547">
        <f>'Part III-A-Uses of Funds'!P10</f>
        <v>17500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15000</v>
      </c>
      <c r="H124" s="2547"/>
      <c r="I124" s="1819"/>
      <c r="J124" s="2547">
        <f>'Part III-A-Uses of Funds'!J11</f>
        <v>0</v>
      </c>
      <c r="K124" s="2547"/>
      <c r="L124" s="2545"/>
      <c r="M124" s="2547">
        <f>'Part III-A-Uses of Funds'!M11</f>
        <v>0</v>
      </c>
      <c r="N124" s="2547"/>
      <c r="O124" s="1819"/>
      <c r="P124" s="2547">
        <f>'Part III-A-Uses of Funds'!P11</f>
        <v>15000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0</v>
      </c>
      <c r="H126" s="2547"/>
      <c r="I126" s="1819"/>
      <c r="J126" s="2547">
        <f>'Part III-A-Uses of Funds'!J13</f>
        <v>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20000</v>
      </c>
      <c r="H127" s="2547"/>
      <c r="I127" s="1819"/>
      <c r="J127" s="2547">
        <f>'Part III-A-Uses of Funds'!J14</f>
        <v>0</v>
      </c>
      <c r="K127" s="2547"/>
      <c r="L127" s="2545"/>
      <c r="M127" s="2547">
        <f>'Part III-A-Uses of Funds'!M14</f>
        <v>0</v>
      </c>
      <c r="N127" s="2547"/>
      <c r="O127" s="1819"/>
      <c r="P127" s="2547">
        <f>'Part III-A-Uses of Funds'!P14</f>
        <v>20000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PCNA</v>
      </c>
      <c r="D128" s="2667"/>
      <c r="E128" s="2667"/>
      <c r="F128" s="2667"/>
      <c r="G128" s="2547">
        <f>'Part III-A-Uses of Funds'!G15</f>
        <v>25000</v>
      </c>
      <c r="H128" s="2547"/>
      <c r="I128" s="1819"/>
      <c r="J128" s="2547">
        <f>'Part III-A-Uses of Funds'!J15</f>
        <v>0</v>
      </c>
      <c r="K128" s="2547"/>
      <c r="L128" s="2545"/>
      <c r="M128" s="2547">
        <f>'Part III-A-Uses of Funds'!M15</f>
        <v>0</v>
      </c>
      <c r="N128" s="2547"/>
      <c r="O128" s="1819"/>
      <c r="P128" s="2547">
        <f>'Part III-A-Uses of Funds'!P15</f>
        <v>25000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Historical Consultant Report</v>
      </c>
      <c r="D129" s="2667"/>
      <c r="E129" s="2667"/>
      <c r="F129" s="2667"/>
      <c r="G129" s="2547">
        <f>'Part III-A-Uses of Funds'!G16</f>
        <v>50000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50000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140000</v>
      </c>
      <c r="H131" s="2547"/>
      <c r="I131" s="1819"/>
      <c r="J131" s="2547">
        <f>SUM(J122:J130)</f>
        <v>0</v>
      </c>
      <c r="K131" s="2547"/>
      <c r="L131" s="2545"/>
      <c r="M131" s="2547">
        <f>SUM(M122:M130)</f>
        <v>0</v>
      </c>
      <c r="N131" s="2547"/>
      <c r="O131" s="1819"/>
      <c r="P131" s="2547">
        <f>SUM(P122:P130)</f>
        <v>90000</v>
      </c>
      <c r="Q131" s="2547"/>
      <c r="R131" s="1819"/>
      <c r="S131" s="2547">
        <f>SUM(S122:S130)</f>
        <v>50000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164686.82505399568</v>
      </c>
      <c r="G133" s="2547">
        <f>'Part III-A-Uses of Funds'!G20</f>
        <v>1525000</v>
      </c>
      <c r="H133" s="2547"/>
      <c r="I133" s="1819"/>
      <c r="J133" s="2545"/>
      <c r="K133" s="2547"/>
      <c r="L133" s="2545"/>
      <c r="M133" s="2545"/>
      <c r="N133" s="2547"/>
      <c r="O133" s="1819"/>
      <c r="P133" s="2545"/>
      <c r="Q133" s="2547"/>
      <c r="R133" s="1819"/>
      <c r="S133" s="2547">
        <f>'Part III-A-Uses of Funds'!S20</f>
        <v>1525000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13725000</v>
      </c>
      <c r="H136" s="2547"/>
      <c r="I136" s="1819"/>
      <c r="J136" s="2545"/>
      <c r="K136" s="2547"/>
      <c r="L136" s="2545"/>
      <c r="M136" s="2547">
        <f>'Part III-A-Uses of Funds'!M23</f>
        <v>0</v>
      </c>
      <c r="N136" s="2547"/>
      <c r="O136" s="1819"/>
      <c r="P136" s="2545"/>
      <c r="Q136" s="2547"/>
      <c r="R136" s="1819"/>
      <c r="S136" s="2547">
        <f>'Part III-A-Uses of Funds'!S23</f>
        <v>13725000</v>
      </c>
      <c r="T136" s="2547"/>
      <c r="U136" s="1819"/>
      <c r="V136" s="2665"/>
    </row>
    <row r="137" spans="1:22">
      <c r="A137" s="1819"/>
      <c r="B137" s="1819"/>
      <c r="C137" s="1819"/>
      <c r="D137" s="1819"/>
      <c r="E137" s="1819"/>
      <c r="F137" s="2669" t="s">
        <v>184</v>
      </c>
      <c r="G137" s="2547">
        <f>SUM(G133:G136)</f>
        <v>15250000</v>
      </c>
      <c r="H137" s="2547"/>
      <c r="I137" s="1819"/>
      <c r="J137" s="2545"/>
      <c r="K137" s="2547"/>
      <c r="L137" s="2545"/>
      <c r="M137" s="2547">
        <f>SUM(M135:M136)</f>
        <v>0</v>
      </c>
      <c r="N137" s="2547"/>
      <c r="O137" s="1819"/>
      <c r="P137" s="2545"/>
      <c r="Q137" s="2547"/>
      <c r="R137" s="1819"/>
      <c r="S137" s="2547">
        <f>SUM(S133:S136)</f>
        <v>15250000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37791.792656587473</v>
      </c>
      <c r="G139" s="2547">
        <f>'Part III-A-Uses of Funds'!G26</f>
        <v>349952</v>
      </c>
      <c r="H139" s="2547"/>
      <c r="I139" s="1819"/>
      <c r="J139" s="2547">
        <f>'Part III-A-Uses of Funds'!J26</f>
        <v>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349952</v>
      </c>
      <c r="H141" s="2547"/>
      <c r="I141" s="1819"/>
      <c r="J141" s="2547">
        <f>SUM(J139:J140)</f>
        <v>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13704048</v>
      </c>
      <c r="H144" s="2547"/>
      <c r="I144" s="1819"/>
      <c r="J144" s="2547">
        <f>'Part III-A-Uses of Funds'!J31</f>
        <v>0</v>
      </c>
      <c r="K144" s="2547"/>
      <c r="L144" s="2545"/>
      <c r="M144" s="2547">
        <f>'Part III-A-Uses of Funds'!M31</f>
        <v>0</v>
      </c>
      <c r="N144" s="2547"/>
      <c r="O144" s="1819"/>
      <c r="P144" s="2547">
        <f>'Part III-A-Uses of Funds'!P31</f>
        <v>13704048</v>
      </c>
      <c r="Q144" s="2547"/>
      <c r="R144" s="1819"/>
      <c r="S144" s="2547">
        <f>'Part III-A-Uses of Funds'!S31</f>
        <v>0</v>
      </c>
      <c r="T144" s="2547"/>
      <c r="U144" s="1819"/>
      <c r="V144" s="2665"/>
    </row>
    <row r="145" spans="1:22">
      <c r="A145" s="1819"/>
      <c r="B145" s="1819" t="s">
        <v>6090</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13704048</v>
      </c>
      <c r="H149" s="2547"/>
      <c r="I149" s="1819"/>
      <c r="J149" s="2547">
        <f>SUM(J143:J148)</f>
        <v>0</v>
      </c>
      <c r="K149" s="2547"/>
      <c r="L149" s="2545"/>
      <c r="M149" s="2547">
        <f>SUM(M143:M148)</f>
        <v>0</v>
      </c>
      <c r="N149" s="2547"/>
      <c r="O149" s="1819"/>
      <c r="P149" s="2547">
        <f>SUM(P143:P148)</f>
        <v>13704048</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843240</v>
      </c>
      <c r="F151" s="2676">
        <f>IF(($G$24+$G$32)=0,0,G151/($G$24+$G$32))</f>
        <v>0</v>
      </c>
      <c r="G151" s="2547">
        <f>'Part III-A-Uses of Funds'!G38</f>
        <v>843240</v>
      </c>
      <c r="H151" s="2547"/>
      <c r="I151" s="1819"/>
      <c r="J151" s="2547">
        <f>'Part III-A-Uses of Funds'!J38</f>
        <v>0</v>
      </c>
      <c r="K151" s="2547"/>
      <c r="L151" s="2545"/>
      <c r="M151" s="2547">
        <f>'Part III-A-Uses of Funds'!M38</f>
        <v>0</v>
      </c>
      <c r="N151" s="2547"/>
      <c r="O151" s="1819"/>
      <c r="P151" s="2547">
        <f>'Part III-A-Uses of Funds'!P38</f>
        <v>843240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281080</v>
      </c>
      <c r="F152" s="2676">
        <f>IF(($G$24+$G$32)=0,0,G152/($G$24+$G$32))</f>
        <v>0</v>
      </c>
      <c r="G152" s="2547">
        <f>'Part III-A-Uses of Funds'!G39</f>
        <v>281080</v>
      </c>
      <c r="H152" s="2547"/>
      <c r="I152" s="378"/>
      <c r="J152" s="2547">
        <f>'Part III-A-Uses of Funds'!J39</f>
        <v>0</v>
      </c>
      <c r="K152" s="2547"/>
      <c r="L152" s="2545"/>
      <c r="M152" s="2547">
        <f>'Part III-A-Uses of Funds'!M39</f>
        <v>0</v>
      </c>
      <c r="N152" s="2547"/>
      <c r="O152" s="1819"/>
      <c r="P152" s="2547">
        <f>'Part III-A-Uses of Funds'!P39</f>
        <v>281080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843240</v>
      </c>
      <c r="F153" s="2676">
        <f>IF(($G$24+$G$32)=0,0,G153/($G$24+$G$32))</f>
        <v>0</v>
      </c>
      <c r="G153" s="2547">
        <f>'Part III-A-Uses of Funds'!G40</f>
        <v>843240</v>
      </c>
      <c r="H153" s="2547"/>
      <c r="I153" s="378"/>
      <c r="J153" s="2547">
        <f>'Part III-A-Uses of Funds'!J40</f>
        <v>0</v>
      </c>
      <c r="K153" s="2547"/>
      <c r="L153" s="2545"/>
      <c r="M153" s="2547">
        <f>'Part III-A-Uses of Funds'!M40</f>
        <v>0</v>
      </c>
      <c r="N153" s="2547"/>
      <c r="O153" s="1819"/>
      <c r="P153" s="2547">
        <f>'Part III-A-Uses of Funds'!P40</f>
        <v>843240</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1967560</v>
      </c>
      <c r="F154" s="2669" t="s">
        <v>184</v>
      </c>
      <c r="G154" s="2547">
        <f>SUM(G151:G153)</f>
        <v>1967560</v>
      </c>
      <c r="H154" s="2547"/>
      <c r="I154" s="1819"/>
      <c r="J154" s="2547">
        <f>SUM(J151:J153)</f>
        <v>0</v>
      </c>
      <c r="K154" s="2547"/>
      <c r="L154" s="2545"/>
      <c r="M154" s="2547">
        <f>SUM(M151:M153)</f>
        <v>0</v>
      </c>
      <c r="N154" s="2547"/>
      <c r="O154" s="1819"/>
      <c r="P154" s="2547">
        <f>SUM(P151:P153)</f>
        <v>1967560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6491</v>
      </c>
      <c r="D156" s="1819"/>
      <c r="E156" s="2615"/>
      <c r="F156" s="2615"/>
      <c r="G156" s="2679">
        <f>G141+G149+G154</f>
        <v>16021560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79314.653465346535</v>
      </c>
      <c r="G161" s="2682" t="s">
        <v>6957</v>
      </c>
      <c r="H161" s="1819"/>
      <c r="I161" s="1819"/>
      <c r="J161" s="2558">
        <f>C162/'Part V-Revenues &amp; Expenses'!$P$67</f>
        <v>78923.940886699507</v>
      </c>
      <c r="K161" s="2558"/>
      <c r="L161" s="1819"/>
      <c r="M161" s="2683" t="s">
        <v>6477</v>
      </c>
      <c r="N161" s="2683"/>
      <c r="O161" s="1819"/>
      <c r="P161" s="2558">
        <f>C162/'Part V-Revenues &amp; Expenses'!$K$175</f>
        <v>76.42780136430855</v>
      </c>
      <c r="Q161" s="2558"/>
      <c r="R161" s="1819"/>
      <c r="S161" s="2684" t="s">
        <v>6479</v>
      </c>
      <c r="T161" s="2684"/>
      <c r="U161" s="1819"/>
      <c r="V161" s="2665"/>
    </row>
    <row r="162" spans="1:22" ht="13.5">
      <c r="A162" s="1819"/>
      <c r="B162" s="2685" t="s">
        <v>6490</v>
      </c>
      <c r="C162" s="2686">
        <f>G141+G149+G154+G159</f>
        <v>16021560</v>
      </c>
      <c r="D162" s="1819"/>
      <c r="E162" s="2616"/>
      <c r="F162" s="2557">
        <f>C162/'Part V-Revenues &amp; Expenses'!$P$166</f>
        <v>100.7645283018868</v>
      </c>
      <c r="G162" s="2684" t="s">
        <v>6958</v>
      </c>
      <c r="H162" s="1819"/>
      <c r="I162" s="1819"/>
      <c r="J162" s="2558">
        <f>C162/'Part V-Revenues &amp; Expenses'!$P$168</f>
        <v>100.26007509386733</v>
      </c>
      <c r="K162" s="2558"/>
      <c r="L162" s="1819"/>
      <c r="M162" s="2684" t="s">
        <v>6478</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1602156</v>
      </c>
      <c r="F168" s="2650">
        <f>G168/C162</f>
        <v>0.1</v>
      </c>
      <c r="G168" s="2547">
        <f>'Part III-A-Uses of Funds'!G55</f>
        <v>1602156</v>
      </c>
      <c r="H168" s="2547"/>
      <c r="I168" s="1819"/>
      <c r="J168" s="2547">
        <f>'Part III-A-Uses of Funds'!J55</f>
        <v>0</v>
      </c>
      <c r="K168" s="2547"/>
      <c r="L168" s="2545"/>
      <c r="M168" s="2547">
        <f>'Part III-A-Uses of Funds'!M55</f>
        <v>0</v>
      </c>
      <c r="N168" s="2547"/>
      <c r="O168" s="1819"/>
      <c r="P168" s="2547">
        <f>'Part III-A-Uses of Funds'!P55</f>
        <v>1602156</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87246.118811881184</v>
      </c>
      <c r="G170" s="2682" t="s">
        <v>6957</v>
      </c>
      <c r="H170" s="1819"/>
      <c r="I170" s="1819"/>
      <c r="J170" s="2558">
        <f>B171/'Part V-Revenues &amp; Expenses'!$P$67</f>
        <v>86816.334975369464</v>
      </c>
      <c r="K170" s="2558"/>
      <c r="L170" s="1819"/>
      <c r="M170" s="2683" t="s">
        <v>6477</v>
      </c>
      <c r="N170" s="2683"/>
      <c r="O170" s="1819"/>
      <c r="P170" s="2558">
        <f>B171/'Part V-Revenues &amp; Expenses'!$K$175</f>
        <v>84.070581500739394</v>
      </c>
      <c r="Q170" s="2558"/>
      <c r="R170" s="1819"/>
      <c r="S170" s="2684" t="s">
        <v>6479</v>
      </c>
      <c r="T170" s="2684"/>
      <c r="U170" s="1819"/>
      <c r="V170" s="2665"/>
    </row>
    <row r="171" spans="1:22">
      <c r="A171" s="1819"/>
      <c r="B171" s="2686">
        <f>C162+G168</f>
        <v>17623716</v>
      </c>
      <c r="C171" s="2686"/>
      <c r="D171" s="1819"/>
      <c r="E171" s="2616"/>
      <c r="F171" s="2557">
        <f>B171/'Part V-Revenues &amp; Expenses'!$P$166</f>
        <v>110.84098113207547</v>
      </c>
      <c r="G171" s="2684" t="s">
        <v>6958</v>
      </c>
      <c r="H171" s="1819"/>
      <c r="I171" s="1819"/>
      <c r="J171" s="2558">
        <f>B171/'Part V-Revenues &amp; Expenses'!$P$168</f>
        <v>110.28608260325407</v>
      </c>
      <c r="K171" s="2558"/>
      <c r="L171" s="1819"/>
      <c r="M171" s="2684" t="s">
        <v>6478</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331000</v>
      </c>
      <c r="H176" s="2547"/>
      <c r="I176" s="1819"/>
      <c r="J176" s="2547">
        <f>'Part III-A-Uses of Funds'!J63</f>
        <v>0</v>
      </c>
      <c r="K176" s="2547"/>
      <c r="L176" s="2545"/>
      <c r="M176" s="2547">
        <f>'Part III-A-Uses of Funds'!M63</f>
        <v>0</v>
      </c>
      <c r="N176" s="2547"/>
      <c r="O176" s="1819"/>
      <c r="P176" s="2547">
        <f>'Part III-A-Uses of Funds'!P63</f>
        <v>146745.91121495326</v>
      </c>
      <c r="Q176" s="2547"/>
      <c r="R176" s="1819"/>
      <c r="S176" s="2547">
        <f>'Part III-A-Uses of Funds'!S63</f>
        <v>184254.08878504674</v>
      </c>
      <c r="T176" s="2547"/>
      <c r="U176" s="1819"/>
      <c r="V176" s="2665"/>
    </row>
    <row r="177" spans="1:22">
      <c r="A177" s="1819"/>
      <c r="B177" s="1819" t="s">
        <v>2167</v>
      </c>
      <c r="C177" s="1819"/>
      <c r="D177" s="1819"/>
      <c r="E177" s="1819"/>
      <c r="F177" s="1819"/>
      <c r="G177" s="2547">
        <f>'Part III-A-Uses of Funds'!G64</f>
        <v>1713906.9057470993</v>
      </c>
      <c r="H177" s="2547"/>
      <c r="I177" s="1819"/>
      <c r="J177" s="2547">
        <f>'Part III-A-Uses of Funds'!J64</f>
        <v>0</v>
      </c>
      <c r="K177" s="2547"/>
      <c r="L177" s="2545"/>
      <c r="M177" s="2547">
        <f>'Part III-A-Uses of Funds'!M64</f>
        <v>0</v>
      </c>
      <c r="N177" s="2547"/>
      <c r="O177" s="1819"/>
      <c r="P177" s="2547">
        <f>'Part III-A-Uses of Funds'!P64</f>
        <v>1713906.9057470993</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31250</v>
      </c>
      <c r="H178" s="2547"/>
      <c r="I178" s="1819"/>
      <c r="J178" s="2547">
        <f>'Part III-A-Uses of Funds'!J65</f>
        <v>0</v>
      </c>
      <c r="K178" s="2547"/>
      <c r="L178" s="2545"/>
      <c r="M178" s="2547">
        <f>'Part III-A-Uses of Funds'!M65</f>
        <v>0</v>
      </c>
      <c r="N178" s="2547"/>
      <c r="O178" s="1819"/>
      <c r="P178" s="2547">
        <f>'Part III-A-Uses of Funds'!P65</f>
        <v>13854.410046728972</v>
      </c>
      <c r="Q178" s="2547"/>
      <c r="R178" s="1819"/>
      <c r="S178" s="2547">
        <f>'Part III-A-Uses of Funds'!S65</f>
        <v>17395.589953271028</v>
      </c>
      <c r="T178" s="2547"/>
      <c r="U178" s="1819"/>
      <c r="V178" s="2665"/>
    </row>
    <row r="179" spans="1:22">
      <c r="A179" s="1819"/>
      <c r="B179" s="1819" t="s">
        <v>2450</v>
      </c>
      <c r="C179" s="1819"/>
      <c r="D179" s="1819"/>
      <c r="E179" s="1819"/>
      <c r="F179" s="1819"/>
      <c r="G179" s="2547">
        <f>'Part III-A-Uses of Funds'!G66</f>
        <v>150000</v>
      </c>
      <c r="H179" s="2547"/>
      <c r="I179" s="1819"/>
      <c r="J179" s="2547">
        <f>'Part III-A-Uses of Funds'!J66</f>
        <v>0</v>
      </c>
      <c r="K179" s="2547"/>
      <c r="L179" s="2545"/>
      <c r="M179" s="2547">
        <f>'Part III-A-Uses of Funds'!M66</f>
        <v>0</v>
      </c>
      <c r="N179" s="2547"/>
      <c r="O179" s="1819"/>
      <c r="P179" s="2547">
        <f>'Part III-A-Uses of Funds'!P66</f>
        <v>150000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112150.92</v>
      </c>
      <c r="H181" s="2547"/>
      <c r="I181" s="1819"/>
      <c r="J181" s="2547">
        <f>'Part III-A-Uses of Funds'!J68</f>
        <v>0</v>
      </c>
      <c r="K181" s="2547"/>
      <c r="L181" s="2545"/>
      <c r="M181" s="2547">
        <f>'Part III-A-Uses of Funds'!M68</f>
        <v>0</v>
      </c>
      <c r="N181" s="2547"/>
      <c r="O181" s="1819"/>
      <c r="P181" s="2547">
        <f>'Part III-A-Uses of Funds'!P68</f>
        <v>112150.92</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80000</v>
      </c>
      <c r="H182" s="2547"/>
      <c r="I182" s="1819"/>
      <c r="J182" s="2547">
        <f>'Part III-A-Uses of Funds'!J69</f>
        <v>0</v>
      </c>
      <c r="K182" s="2547"/>
      <c r="L182" s="2545"/>
      <c r="M182" s="2547">
        <f>'Part III-A-Uses of Funds'!M69</f>
        <v>0</v>
      </c>
      <c r="N182" s="2547"/>
      <c r="O182" s="1819"/>
      <c r="P182" s="2547">
        <f>'Part III-A-Uses of Funds'!P69</f>
        <v>80000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160215.6</v>
      </c>
      <c r="H183" s="2547"/>
      <c r="I183" s="378"/>
      <c r="J183" s="2547">
        <f>'Part III-A-Uses of Funds'!J70</f>
        <v>0</v>
      </c>
      <c r="K183" s="2547"/>
      <c r="L183" s="2545"/>
      <c r="M183" s="2547">
        <f>'Part III-A-Uses of Funds'!M70</f>
        <v>0</v>
      </c>
      <c r="N183" s="2547"/>
      <c r="O183" s="1819"/>
      <c r="P183" s="2547">
        <f>'Part III-A-Uses of Funds'!P70</f>
        <v>160215.6</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2578523.4257470993</v>
      </c>
      <c r="H186" s="2547"/>
      <c r="I186" s="1819"/>
      <c r="J186" s="2547">
        <f>SUM(J174:J185)</f>
        <v>0</v>
      </c>
      <c r="K186" s="2547"/>
      <c r="L186" s="2545"/>
      <c r="M186" s="2547">
        <f>SUM(M174:M185)</f>
        <v>0</v>
      </c>
      <c r="N186" s="2547"/>
      <c r="O186" s="1819"/>
      <c r="P186" s="2547">
        <f>SUM(P174:P185)</f>
        <v>2376873.7470087819</v>
      </c>
      <c r="Q186" s="2547"/>
      <c r="R186" s="1819"/>
      <c r="S186" s="2547">
        <f>SUM(S174:S185)</f>
        <v>201649.67873831777</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240287</v>
      </c>
      <c r="H188" s="2547"/>
      <c r="I188" s="1819"/>
      <c r="J188" s="2547">
        <f>'Part III-A-Uses of Funds'!J75</f>
        <v>0</v>
      </c>
      <c r="K188" s="2547"/>
      <c r="L188" s="2545"/>
      <c r="M188" s="2547">
        <f>'Part III-A-Uses of Funds'!M75</f>
        <v>0</v>
      </c>
      <c r="N188" s="2547"/>
      <c r="O188" s="1819"/>
      <c r="P188" s="2547">
        <f>'Part III-A-Uses of Funds'!P75</f>
        <v>240287</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80188</v>
      </c>
      <c r="H189" s="2547"/>
      <c r="I189" s="1819"/>
      <c r="J189" s="2547">
        <f>'Part III-A-Uses of Funds'!J76</f>
        <v>0</v>
      </c>
      <c r="K189" s="2547"/>
      <c r="L189" s="2545"/>
      <c r="M189" s="2547">
        <f>'Part III-A-Uses of Funds'!M76</f>
        <v>0</v>
      </c>
      <c r="N189" s="2547"/>
      <c r="O189" s="1819"/>
      <c r="P189" s="2547">
        <f>'Part III-A-Uses of Funds'!P76</f>
        <v>80188</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144000</v>
      </c>
      <c r="H194" s="2547"/>
      <c r="I194" s="1819"/>
      <c r="J194" s="2547">
        <f>'Part III-A-Uses of Funds'!J81</f>
        <v>0</v>
      </c>
      <c r="K194" s="2547"/>
      <c r="L194" s="2545"/>
      <c r="M194" s="2547">
        <f>'Part III-A-Uses of Funds'!M81</f>
        <v>0</v>
      </c>
      <c r="N194" s="2547"/>
      <c r="O194" s="1819"/>
      <c r="P194" s="2547">
        <f>'Part III-A-Uses of Funds'!P81</f>
        <v>144000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150000</v>
      </c>
      <c r="H195" s="2547"/>
      <c r="I195" s="1819"/>
      <c r="J195" s="2547">
        <f>'Part III-A-Uses of Funds'!J82</f>
        <v>0</v>
      </c>
      <c r="K195" s="2547"/>
      <c r="L195" s="2545"/>
      <c r="M195" s="2547">
        <f>'Part III-A-Uses of Funds'!M82</f>
        <v>0</v>
      </c>
      <c r="N195" s="2547"/>
      <c r="O195" s="1819"/>
      <c r="P195" s="2547">
        <f>'Part III-A-Uses of Funds'!P82</f>
        <v>150000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0</v>
      </c>
      <c r="H196" s="2547"/>
      <c r="I196" s="1819"/>
      <c r="J196" s="2547">
        <f>'Part III-A-Uses of Funds'!J83</f>
        <v>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614475</v>
      </c>
      <c r="H199" s="2547"/>
      <c r="I199" s="1819"/>
      <c r="J199" s="2547">
        <f>SUM(J188:J198)</f>
        <v>0</v>
      </c>
      <c r="K199" s="2547"/>
      <c r="L199" s="2545"/>
      <c r="M199" s="2547">
        <f>SUM(M188:M198)</f>
        <v>0</v>
      </c>
      <c r="N199" s="2547"/>
      <c r="O199" s="1819"/>
      <c r="P199" s="2547">
        <f>SUM(P188:P198)</f>
        <v>614475</v>
      </c>
      <c r="Q199" s="2547"/>
      <c r="R199" s="1819"/>
      <c r="S199" s="2547">
        <f>SUM(S188:S198)</f>
        <v>0</v>
      </c>
      <c r="T199" s="2547"/>
      <c r="U199" s="1819"/>
      <c r="V199" s="2665">
        <f>SUM(V188:V198)</f>
        <v>0</v>
      </c>
    </row>
    <row r="200" spans="1:22">
      <c r="A200" s="1819"/>
      <c r="B200" s="2614" t="s">
        <v>1193</v>
      </c>
      <c r="C200" s="1819"/>
      <c r="D200" s="2692" t="s">
        <v>3230</v>
      </c>
      <c r="E200" s="2693">
        <f>G205/'Part V-Revenues &amp; Expenses'!$P$67</f>
        <v>69.458128078817737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14100</v>
      </c>
      <c r="H201" s="2547"/>
      <c r="I201" s="1819"/>
      <c r="J201" s="2547">
        <f>'Part III-A-Uses of Funds'!J88</f>
        <v>0</v>
      </c>
      <c r="K201" s="2547"/>
      <c r="L201" s="2545"/>
      <c r="M201" s="2547">
        <f>'Part III-A-Uses of Funds'!M88</f>
        <v>0</v>
      </c>
      <c r="N201" s="2547"/>
      <c r="O201" s="1819"/>
      <c r="P201" s="2547">
        <f>'Part III-A-Uses of Funds'!P88</f>
        <v>14100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Yes</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Yes</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14100</v>
      </c>
      <c r="H205" s="2547"/>
      <c r="I205" s="1819"/>
      <c r="J205" s="2547">
        <f>SUM(J201:J204)</f>
        <v>0</v>
      </c>
      <c r="K205" s="2547"/>
      <c r="L205" s="2545"/>
      <c r="M205" s="2547">
        <f>SUM(M201:M204)</f>
        <v>0</v>
      </c>
      <c r="N205" s="2547"/>
      <c r="O205" s="1819"/>
      <c r="P205" s="2547">
        <f>SUM(P201:P204)</f>
        <v>14100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17500</v>
      </c>
      <c r="H210" s="2547"/>
      <c r="I210" s="1819"/>
      <c r="J210" s="2547"/>
      <c r="K210" s="2547"/>
      <c r="L210" s="2545"/>
      <c r="M210" s="2547"/>
      <c r="N210" s="2547"/>
      <c r="O210" s="1819"/>
      <c r="P210" s="2547"/>
      <c r="Q210" s="2547"/>
      <c r="R210" s="1819"/>
      <c r="S210" s="2547">
        <f>'Part III-A-Uses of Funds'!S97</f>
        <v>17500</v>
      </c>
      <c r="T210" s="2547"/>
      <c r="U210" s="1819"/>
      <c r="V210" s="2665"/>
    </row>
    <row r="211" spans="1:33">
      <c r="A211" s="1819"/>
      <c r="B211" s="1819" t="s">
        <v>1199</v>
      </c>
      <c r="C211" s="1819"/>
      <c r="D211" s="1819"/>
      <c r="E211" s="1819"/>
      <c r="F211" s="1819"/>
      <c r="G211" s="2547">
        <f>'Part III-A-Uses of Funds'!G98</f>
        <v>31250</v>
      </c>
      <c r="H211" s="2547"/>
      <c r="I211" s="1819"/>
      <c r="J211" s="2547"/>
      <c r="K211" s="2547"/>
      <c r="L211" s="2545"/>
      <c r="M211" s="2547"/>
      <c r="N211" s="2547"/>
      <c r="O211" s="1819"/>
      <c r="P211" s="2547"/>
      <c r="Q211" s="2547"/>
      <c r="R211" s="1819"/>
      <c r="S211" s="2547">
        <f>'Part III-A-Uses of Funds'!S98</f>
        <v>31250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48750</v>
      </c>
      <c r="H216" s="2547"/>
      <c r="I216" s="1819"/>
      <c r="J216" s="2547"/>
      <c r="K216" s="2547"/>
      <c r="L216" s="2545"/>
      <c r="M216" s="2547"/>
      <c r="N216" s="2547"/>
      <c r="O216" s="1819"/>
      <c r="P216" s="2547"/>
      <c r="Q216" s="2547"/>
      <c r="R216" s="1819"/>
      <c r="S216" s="2547">
        <f>SUM(S210:S215)</f>
        <v>48750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203</v>
      </c>
      <c r="AC219" s="1819"/>
      <c r="AD219" s="1819"/>
      <c r="AE219" s="1819"/>
      <c r="AF219" s="1819"/>
      <c r="AG219" s="1819"/>
    </row>
    <row r="220" spans="1:33">
      <c r="A220" s="1819"/>
      <c r="B220" s="1819" t="s">
        <v>3320</v>
      </c>
      <c r="C220" s="1819"/>
      <c r="D220" s="1819"/>
      <c r="E220" s="1819"/>
      <c r="F220" s="1819"/>
      <c r="G220" s="2547">
        <f>'Part III-A-Uses of Funds'!G107</f>
        <v>13500</v>
      </c>
      <c r="H220" s="2547"/>
      <c r="I220" s="1819"/>
      <c r="J220" s="2545"/>
      <c r="K220" s="2545"/>
      <c r="L220" s="2560"/>
      <c r="M220" s="2545"/>
      <c r="N220" s="2545"/>
      <c r="O220" s="1819"/>
      <c r="P220" s="2545"/>
      <c r="Q220" s="2545"/>
      <c r="R220" s="1819"/>
      <c r="S220" s="2547">
        <f>'Part III-A-Uses of Funds'!S107</f>
        <v>13500</v>
      </c>
      <c r="T220" s="2547"/>
      <c r="U220" s="1819"/>
      <c r="V220" s="2665"/>
      <c r="W220" s="2645"/>
      <c r="X220" s="2645"/>
      <c r="Y220" s="2700" t="s">
        <v>6710</v>
      </c>
      <c r="Z220" s="2622"/>
      <c r="AA220" s="2622"/>
      <c r="AB220" s="2622"/>
      <c r="AC220" s="1819"/>
      <c r="AD220" s="2701" t="s">
        <v>6711</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162400</v>
      </c>
      <c r="F222" s="2561"/>
      <c r="G222" s="2547">
        <f>'Part III-A-Uses of Funds'!G109</f>
        <v>162400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162400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3451</v>
      </c>
      <c r="C223" s="1819"/>
      <c r="D223" s="1819"/>
      <c r="E223" s="1819"/>
      <c r="F223" s="2704"/>
      <c r="G223" s="2547">
        <f>'Part III-A-Uses of Funds'!G110</f>
        <v>4500</v>
      </c>
      <c r="H223" s="2547"/>
      <c r="I223" s="2563"/>
      <c r="J223" s="2563"/>
      <c r="K223" s="2563"/>
      <c r="L223" s="2563"/>
      <c r="M223" s="2563"/>
      <c r="N223" s="2563"/>
      <c r="O223" s="2563"/>
      <c r="P223" s="2563"/>
      <c r="Q223" s="2563"/>
      <c r="R223" s="2563"/>
      <c r="S223" s="2547">
        <f>'Part III-A-Uses of Funds'!S110</f>
        <v>4500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203</v>
      </c>
      <c r="AC226" s="1819"/>
      <c r="AD226" s="2703">
        <f>IF($AD$101="Income Averaging",AB226*'DCA Underwriting Assumptions'!$Q$61,AB226*'DCA Underwriting Assumptions'!$Q$60)</f>
        <v>162400</v>
      </c>
      <c r="AE226" s="1819"/>
      <c r="AF226" s="1819"/>
      <c r="AG226" s="1819"/>
    </row>
    <row r="227" spans="1:33">
      <c r="A227" s="1819"/>
      <c r="B227" s="1819"/>
      <c r="C227" s="1819"/>
      <c r="D227" s="1819"/>
      <c r="E227" s="1819"/>
      <c r="F227" s="2669" t="s">
        <v>184</v>
      </c>
      <c r="G227" s="2547">
        <f>SUM(G218:G226)</f>
        <v>286800</v>
      </c>
      <c r="H227" s="2547"/>
      <c r="I227" s="1819"/>
      <c r="J227" s="2545"/>
      <c r="K227" s="2545"/>
      <c r="L227" s="2545"/>
      <c r="M227" s="2545"/>
      <c r="N227" s="2545"/>
      <c r="O227" s="1819"/>
      <c r="P227" s="2545"/>
      <c r="Q227" s="2545"/>
      <c r="R227" s="1819"/>
      <c r="S227" s="2547">
        <f>SUM(S218:S226)</f>
        <v>286800</v>
      </c>
      <c r="T227" s="2547"/>
      <c r="U227" s="1819"/>
      <c r="V227" s="2665">
        <f>SUM(V218:V226)</f>
        <v>0</v>
      </c>
      <c r="W227" s="1819"/>
      <c r="X227" s="1819"/>
      <c r="Y227" s="2622" t="s">
        <v>6483</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203</v>
      </c>
      <c r="AC228" s="1819"/>
      <c r="AD228" s="2706">
        <f>SUM(AD226:AD227)</f>
        <v>162400</v>
      </c>
      <c r="AE228" s="1819"/>
      <c r="AF228" s="1819"/>
      <c r="AG228" s="1819"/>
    </row>
    <row r="229" spans="1:33">
      <c r="A229" s="1819"/>
      <c r="B229" s="1819" t="s">
        <v>267</v>
      </c>
      <c r="C229" s="1819"/>
      <c r="D229" s="1819"/>
      <c r="E229" s="1819"/>
      <c r="F229" s="1819"/>
      <c r="G229" s="2547">
        <f>'Part III-A-Uses of Funds'!G116</f>
        <v>35000</v>
      </c>
      <c r="H229" s="2547"/>
      <c r="I229" s="1819"/>
      <c r="J229" s="2547"/>
      <c r="K229" s="2547"/>
      <c r="L229" s="2545"/>
      <c r="M229" s="2547"/>
      <c r="N229" s="2547"/>
      <c r="O229" s="1819"/>
      <c r="P229" s="2547"/>
      <c r="Q229" s="2547"/>
      <c r="R229" s="1819"/>
      <c r="S229" s="2547">
        <f>'Part III-A-Uses of Funds'!S116</f>
        <v>35000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35000</v>
      </c>
      <c r="H233" s="2547"/>
      <c r="I233" s="1819"/>
      <c r="J233" s="2547"/>
      <c r="K233" s="2547"/>
      <c r="L233" s="2545"/>
      <c r="M233" s="2547"/>
      <c r="N233" s="2547"/>
      <c r="O233" s="1819"/>
      <c r="P233" s="2547"/>
      <c r="Q233" s="2547"/>
      <c r="R233" s="1819"/>
      <c r="S233" s="2547">
        <f>SUM(S229:S232)</f>
        <v>35000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5">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2000000</v>
      </c>
      <c r="H235" s="2547"/>
      <c r="I235" s="1819"/>
      <c r="J235" s="2547">
        <f>'Part III-A-Uses of Funds'!J122</f>
        <v>0</v>
      </c>
      <c r="K235" s="2547"/>
      <c r="L235" s="2545"/>
      <c r="M235" s="2547">
        <f>'Part III-A-Uses of Funds'!M122</f>
        <v>0</v>
      </c>
      <c r="N235" s="2547"/>
      <c r="O235" s="1819"/>
      <c r="P235" s="2547">
        <f>'Part III-A-Uses of Funds'!P122</f>
        <v>2000000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3413</v>
      </c>
      <c r="C236" s="1819"/>
      <c r="D236" s="1819"/>
      <c r="E236" s="1819"/>
      <c r="F236" s="2564">
        <f>'Part III-A-Uses of Funds'!F123</f>
        <v>1452121</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3060000</v>
      </c>
      <c r="AE238" s="2713">
        <f>'DCA Underwriting Assumptions'!$Q$75</f>
        <v>3500000</v>
      </c>
      <c r="AF238" s="2647">
        <f>MIN(AD238,AE238)</f>
        <v>3060000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3923</v>
      </c>
      <c r="E240" s="2716">
        <f>'Part III-A-Uses of Funds'!E127</f>
        <v>2000000</v>
      </c>
      <c r="F240" s="2669" t="s">
        <v>184</v>
      </c>
      <c r="G240" s="2547">
        <f>SUM(G235:G239)</f>
        <v>2000000</v>
      </c>
      <c r="H240" s="2547"/>
      <c r="I240" s="1819"/>
      <c r="J240" s="2547">
        <f>SUM(J235:J239)</f>
        <v>0</v>
      </c>
      <c r="K240" s="2547"/>
      <c r="L240" s="2545"/>
      <c r="M240" s="2547">
        <f>SUM(M235:M239)</f>
        <v>0</v>
      </c>
      <c r="N240" s="2547"/>
      <c r="O240" s="1819"/>
      <c r="P240" s="2547">
        <f>SUM(P235:P239)</f>
        <v>2000000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1685000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324780.34208109998</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1201000.7165849879</v>
      </c>
      <c r="G244" s="2547">
        <f>'Part III-A-Uses of Funds'!G131</f>
        <v>1207205</v>
      </c>
      <c r="H244" s="2547"/>
      <c r="I244" s="1819"/>
      <c r="J244" s="2565" t="str">
        <f>IF(E244&gt;G244,"WARNING! ODR proposed is below minimum - add comment.","")</f>
        <v/>
      </c>
      <c r="K244" s="2560"/>
      <c r="L244" s="2560"/>
      <c r="M244" s="2560"/>
      <c r="N244" s="2560"/>
      <c r="O244" s="1819"/>
      <c r="P244" s="2560"/>
      <c r="Q244" s="2560"/>
      <c r="R244" s="1819"/>
      <c r="S244" s="2547">
        <f>'Part III-A-Uses of Funds'!S131</f>
        <v>1207205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0</v>
      </c>
      <c r="G246" s="2547">
        <f>'Part III-A-Uses of Funds'!G133</f>
        <v>0</v>
      </c>
      <c r="H246" s="2547"/>
      <c r="I246" s="1819"/>
      <c r="J246" s="2547">
        <f>'Part III-A-Uses of Funds'!J133</f>
        <v>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1207205</v>
      </c>
      <c r="H248" s="2547"/>
      <c r="I248" s="1819"/>
      <c r="J248" s="2547">
        <f>SUM(J246:J247)</f>
        <v>0</v>
      </c>
      <c r="K248" s="2547"/>
      <c r="L248" s="2545"/>
      <c r="M248" s="2547">
        <f>SUM(M246:M247)</f>
        <v>0</v>
      </c>
      <c r="N248" s="2547"/>
      <c r="O248" s="1819"/>
      <c r="P248" s="2547">
        <f>SUM(P246:P247)</f>
        <v>0</v>
      </c>
      <c r="Q248" s="2547"/>
      <c r="R248" s="1819"/>
      <c r="S248" s="2547">
        <f>SUM(S242:S247)</f>
        <v>1207205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892000</v>
      </c>
      <c r="H255" s="2547"/>
      <c r="I255" s="1819"/>
      <c r="J255" s="2547">
        <f>'Part III-A-Uses of Funds'!J142</f>
        <v>0</v>
      </c>
      <c r="K255" s="2547"/>
      <c r="L255" s="2545"/>
      <c r="M255" s="2547">
        <f>'Part III-A-Uses of Funds'!M142</f>
        <v>0</v>
      </c>
      <c r="N255" s="2547"/>
      <c r="O255" s="1819"/>
      <c r="P255" s="2547">
        <f>'Part III-A-Uses of Funds'!P142</f>
        <v>892000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892000</v>
      </c>
      <c r="H257" s="2547"/>
      <c r="I257" s="1819"/>
      <c r="J257" s="2547">
        <f>SUM(J255:J256)</f>
        <v>0</v>
      </c>
      <c r="K257" s="2547"/>
      <c r="L257" s="2545"/>
      <c r="M257" s="2547">
        <f>SUM(M255:M256)</f>
        <v>0</v>
      </c>
      <c r="N257" s="2547"/>
      <c r="O257" s="1819"/>
      <c r="P257" s="2547">
        <f>SUM(P255:P256)</f>
        <v>892000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40690569.425747097</v>
      </c>
      <c r="H259" s="2567"/>
      <c r="I259" s="1819"/>
      <c r="J259" s="2567">
        <f>J131+J137+J141+J149+J154+J159+J168+J186+J199+J205+J216+J227+J233+J240+J248+J257</f>
        <v>0</v>
      </c>
      <c r="K259" s="2567"/>
      <c r="L259" s="1819"/>
      <c r="M259" s="2567">
        <f>M131+M137+M141+M149+M154+M159+M168+M186+M199+M205+M216+M227+M233+M240+M248+M257</f>
        <v>0</v>
      </c>
      <c r="N259" s="2567"/>
      <c r="O259" s="1819"/>
      <c r="P259" s="2567">
        <f>P131+P137+P141+P149+P154+P159+P168+P186+P199+P205+P216+P227+P233+P240+P248+P257</f>
        <v>23261212.747008782</v>
      </c>
      <c r="Q259" s="2567"/>
      <c r="R259" s="1819"/>
      <c r="S259" s="2567">
        <f>S131+S137+S141+S149+S154+S159+S168+S186+S199+S205+S216+S227+S233+S240+S248+S257</f>
        <v>17079404.678738318</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200446.15480663595</v>
      </c>
      <c r="E261" s="2568"/>
      <c r="F261" s="2695" t="s">
        <v>2487</v>
      </c>
      <c r="G261" s="2568">
        <f>IF('Part V-Revenues &amp; Expenses'!$K$175=0,0,G259/'Part V-Revenues &amp; Expenses'!$K$175)</f>
        <v>194.10661368004148</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2857463.6454899423</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2857463.6454899423</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0</v>
      </c>
      <c r="N275" s="2648"/>
      <c r="O275" s="1819"/>
      <c r="P275" s="2648">
        <f>P259</f>
        <v>23261212.747008782</v>
      </c>
      <c r="Q275" s="2648"/>
      <c r="R275" s="2727" t="s">
        <v>3775</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2857463.6454899423</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0</v>
      </c>
      <c r="N277" s="2648"/>
      <c r="O277" s="1819"/>
      <c r="P277" s="2648">
        <f>P275-P276</f>
        <v>20403749.10151884</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0</v>
      </c>
      <c r="N279" s="2648"/>
      <c r="O279" s="1819"/>
      <c r="P279" s="2648">
        <f>P277*P278</f>
        <v>20403749.10151884</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0</v>
      </c>
      <c r="N281" s="2648"/>
      <c r="O281" s="1819"/>
      <c r="P281" s="2648">
        <f>P279*P280</f>
        <v>20403749.10151884</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v>
      </c>
      <c r="K282" s="2728"/>
      <c r="L282" s="1819"/>
      <c r="M282" s="2728">
        <f>'Part III-A-Uses of Funds'!M169</f>
        <v>0</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0</v>
      </c>
      <c r="N283" s="2648"/>
      <c r="O283" s="1819"/>
      <c r="P283" s="2648">
        <f>P281*P282</f>
        <v>1836337.4191366956</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1836337</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40690569.425747097</v>
      </c>
      <c r="K289" s="2648"/>
      <c r="L289" s="2648"/>
      <c r="M289" s="1819"/>
      <c r="N289" s="2727" t="s">
        <v>6718</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22906888.683296073</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17783680.742451023</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Yes</v>
      </c>
      <c r="U292" s="1819"/>
      <c r="V292" s="2665"/>
    </row>
    <row r="293" spans="1:22" ht="13.5">
      <c r="A293" s="1819"/>
      <c r="B293" s="1819" t="s">
        <v>1210</v>
      </c>
      <c r="C293" s="1819"/>
      <c r="D293" s="1819"/>
      <c r="E293" s="1819"/>
      <c r="F293" s="1819"/>
      <c r="G293" s="1819"/>
      <c r="H293" s="1819"/>
      <c r="I293" s="1819"/>
      <c r="J293" s="2648">
        <f>J291/10</f>
        <v>1778368.0742451022</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1.56</v>
      </c>
      <c r="K295" s="2733"/>
      <c r="L295" s="2733"/>
      <c r="M295" s="1622" t="s">
        <v>1212</v>
      </c>
      <c r="N295" s="2734">
        <f>'Part III-A-Uses of Funds'!N182</f>
        <v>0.83</v>
      </c>
      <c r="O295" s="2734"/>
      <c r="P295" s="1622" t="s">
        <v>570</v>
      </c>
      <c r="Q295" s="2734">
        <f>'Part III-A-Uses of Funds'!Q182</f>
        <v>0.73</v>
      </c>
      <c r="R295" s="2734"/>
      <c r="S295" s="1819"/>
      <c r="T295" s="1819"/>
      <c r="U295" s="1819"/>
      <c r="V295" s="2665"/>
    </row>
    <row r="296" spans="1:22">
      <c r="A296" s="1819"/>
      <c r="B296" s="2614" t="s">
        <v>1340</v>
      </c>
      <c r="C296" s="1819"/>
      <c r="D296" s="1819"/>
      <c r="E296" s="1819"/>
      <c r="F296" s="1819"/>
      <c r="G296" s="1819"/>
      <c r="H296" s="1819"/>
      <c r="I296" s="1819"/>
      <c r="J296" s="2647">
        <f>ROUNDDOWN(IF(J295=0,"",J293/J295),0)</f>
        <v>1139979</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1105000</v>
      </c>
      <c r="K300" s="2647"/>
      <c r="L300" s="2647"/>
      <c r="M300" s="1819"/>
      <c r="N300" s="1819"/>
      <c r="O300" s="1819"/>
      <c r="P300" s="1819"/>
      <c r="Q300" s="2622" t="s">
        <v>6249</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6545</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1105000</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Bon Air  -  Augusta  -  Richmond,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PCNA</v>
      </c>
      <c r="B322" s="2571"/>
      <c r="C322" s="2571"/>
      <c r="D322" s="2571"/>
      <c r="E322" s="2745"/>
      <c r="F322" s="2572" t="str">
        <f>'Part III-B-Other Items'!F9</f>
        <v>Required per DCA QAP</v>
      </c>
      <c r="G322" s="2747"/>
      <c r="H322" s="2572" t="str">
        <f>'Part III-B-Other Items'!H9</f>
        <v xml:space="preserve">The PCNA informs the developer about what aspects of the building need to be renovated (for existing buildings). It also informs the developer about the useful life of specific systems and equipment so that the developer can plan ahead and budget accordingly. </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25000</v>
      </c>
      <c r="C325" s="2748" t="s">
        <v>1665</v>
      </c>
      <c r="D325" s="2573">
        <f>'Part III-A-Uses of Funds'!$J$15+'Part III-A-Uses of Funds'!$M$15+'Part III-A-Uses of Funds'!$P$15</f>
        <v>25000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Historical Consultant Report</v>
      </c>
      <c r="B327" s="2571"/>
      <c r="C327" s="2571"/>
      <c r="D327" s="2571"/>
      <c r="E327" s="2745"/>
      <c r="F327" s="2572" t="str">
        <f>'Part III-B-Other Items'!F14</f>
        <v>Required per historic designation of the property</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50000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Bon Air,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Local PHA</v>
      </c>
    </row>
    <row r="403" spans="1:13">
      <c r="A403" s="2754" t="s">
        <v>6972</v>
      </c>
    </row>
    <row r="405" spans="1:13" ht="25.5">
      <c r="A405" s="361" t="s">
        <v>573</v>
      </c>
      <c r="B405" s="361" t="s">
        <v>2059</v>
      </c>
      <c r="F405" s="359" t="s">
        <v>2317</v>
      </c>
      <c r="G405" s="359"/>
      <c r="H405" s="359"/>
      <c r="I405" s="2621" t="str">
        <f>'Part IV-Utility Allowances'!I7</f>
        <v>HUD Rent Schedule</v>
      </c>
      <c r="J405" s="2621"/>
      <c r="K405" s="2621"/>
      <c r="L405" s="2621"/>
      <c r="M405" s="2621"/>
    </row>
    <row r="406" spans="1:13">
      <c r="A406" s="361"/>
      <c r="F406" s="359" t="s">
        <v>593</v>
      </c>
      <c r="G406" s="359"/>
      <c r="H406" s="359"/>
      <c r="I406" s="2755">
        <f>'Part IV-Utility Allowances'!I8</f>
        <v>44256</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Natural Gas</v>
      </c>
      <c r="E410" s="359"/>
      <c r="F410" s="2756">
        <f>'Part IV-Utility Allowances'!F12</f>
        <v>0</v>
      </c>
      <c r="G410" s="2756" t="str">
        <f>'Part IV-Utility Allowances'!G12</f>
        <v>X</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f>'Part IV-Utility Allowances'!F13</f>
        <v>0</v>
      </c>
      <c r="G411" s="2756" t="str">
        <f>'Part IV-Utility Allowances'!G13</f>
        <v>X</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Natural Gas</v>
      </c>
      <c r="E412" s="359"/>
      <c r="F412" s="2756">
        <f>'Part IV-Utility Allowances'!F14</f>
        <v>0</v>
      </c>
      <c r="G412" s="2756" t="str">
        <f>'Part IV-Utility Allowances'!G14</f>
        <v>X</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f>'Part IV-Utility Allowances'!F15</f>
        <v>0</v>
      </c>
      <c r="G413" s="2756" t="str">
        <f>'Part IV-Utility Allowances'!G15</f>
        <v>X</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3271</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f>'Part IV-Utility Allowances'!F18</f>
        <v>0</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6748</v>
      </c>
      <c r="E417" s="1894" t="str">
        <f>'Part IV-Utility Allowances'!E19</f>
        <v>No</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0</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t="str">
        <f>'Part IV-Utility Allowances'!I24</f>
        <v>N/A</v>
      </c>
      <c r="J422" s="2621"/>
      <c r="K422" s="2621"/>
      <c r="L422" s="2621"/>
      <c r="M422" s="2621"/>
    </row>
    <row r="423" spans="1:13">
      <c r="A423" s="361"/>
      <c r="B423" s="361"/>
      <c r="F423" s="359" t="s">
        <v>593</v>
      </c>
      <c r="G423" s="359"/>
      <c r="H423" s="359"/>
      <c r="I423" s="2755" t="str">
        <f>'Part IV-Utility Allowances'!I25</f>
        <v>N/A</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228">
      <c r="B441" s="2757" t="str">
        <f>'Part IV-Utility Allowances'!B43</f>
        <v xml:space="preserve">HUD reviews the rents and utility allowances for the property, therefore the HUD prescribed UA is used. Owner pays for all utilities, therefore the UA is $0. </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Bon Air,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Bon Air,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Augusta-Richmond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6098</v>
      </c>
      <c r="I453" s="2764"/>
      <c r="J453" s="2764"/>
      <c r="K453" s="2765" t="s">
        <v>3136</v>
      </c>
      <c r="L453" s="2766" t="str">
        <f>'Part I-Project Identification'!$A$6</f>
        <v>April 2023</v>
      </c>
      <c r="M453" s="2766"/>
      <c r="N453" s="2766"/>
      <c r="O453" s="2767" t="s">
        <v>6975</v>
      </c>
      <c r="P453" s="2768">
        <f>'Part V-Revenues &amp; Expenses'!P6</f>
        <v>74100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Yes</v>
      </c>
      <c r="I454" s="2771" t="s">
        <v>4072</v>
      </c>
      <c r="J454" s="2765" t="s">
        <v>742</v>
      </c>
      <c r="K454" s="2765" t="s">
        <v>3183</v>
      </c>
      <c r="L454" s="2766"/>
      <c r="M454" s="2766"/>
      <c r="N454" s="2766"/>
      <c r="O454" s="2772" t="s">
        <v>6077</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3184</v>
      </c>
      <c r="L455" s="2621"/>
      <c r="M455" s="2621"/>
      <c r="N455" s="2775" t="s">
        <v>6481</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6976</v>
      </c>
      <c r="L456" s="1634" t="s">
        <v>139</v>
      </c>
      <c r="M456" s="1634"/>
      <c r="N456" s="2765" t="s">
        <v>2184</v>
      </c>
      <c r="O456" s="2765" t="s">
        <v>6484</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1</v>
      </c>
      <c r="D458" s="2577">
        <f>'Part V-Revenues &amp; Expenses'!D11</f>
        <v>1</v>
      </c>
      <c r="E458" s="2578">
        <f>'Part V-Revenues &amp; Expenses'!E11</f>
        <v>1</v>
      </c>
      <c r="F458" s="2578">
        <f>'Part V-Revenues &amp; Expenses'!F11</f>
        <v>800</v>
      </c>
      <c r="G458" s="2578">
        <f>'Part V-Revenues &amp; Expenses'!G11</f>
        <v>834</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t="str">
        <f>'Part V-Revenues &amp; Expenses'!N11</f>
        <v>Common Space</v>
      </c>
      <c r="O458" s="1320" t="str">
        <f>'Part V-Revenues &amp; Expenses'!O11</f>
        <v>High-Rise Elevator</v>
      </c>
      <c r="P458" s="2651" t="str">
        <f>'Part V-Revenues &amp; Expenses'!P11</f>
        <v>Acquisition/Rehab</v>
      </c>
      <c r="Q458" s="1895" t="str">
        <f>'Part V-Revenues &amp; Expenses'!Q11</f>
        <v>Yes</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f t="shared" ref="EE458:EE495" si="114">IF(AND(C458=1,N458="Common Space"),E458,"")</f>
        <v>1</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f t="shared" ref="GC458:GC495" si="164">IF(AND(C458=1,N458="Common Space"),E458*F458,"")</f>
        <v>800</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f t="shared" ref="HG458:HG495" si="194">IF(AND($C458=1, $P458="Acquisition/Rehab",$B458="N/A-CS",$N458="Common Space"),$E458,"")</f>
        <v>1</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f t="shared" ref="IA458:IA495" si="214">IF(AND($C458=1, NOT(OR($O458="SF Detached",$O458="Mfd Home",$O458="Semi-Detached",$O458="Row House/TH"))),$E458,"")</f>
        <v>1</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f t="shared" ref="LC458:LC495" si="294">IF(AND($C458=1, $O458="High-Rise Elevator",$Q458="Yes"),$E458,"")</f>
        <v>1</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756" t="str">
        <f t="shared" si="0"/>
        <v/>
      </c>
      <c r="B465" s="2575">
        <f>'Part V-Revenues &amp; Expenses'!B18</f>
        <v>60</v>
      </c>
      <c r="C465" s="2576" t="str">
        <f>'Part V-Revenues &amp; Expenses'!C18</f>
        <v>Efficiency</v>
      </c>
      <c r="D465" s="2577">
        <f>'Part V-Revenues &amp; Expenses'!D18</f>
        <v>1</v>
      </c>
      <c r="E465" s="2578">
        <f>'Part V-Revenues &amp; Expenses'!E18</f>
        <v>26</v>
      </c>
      <c r="F465" s="2578">
        <f>'Part V-Revenues &amp; Expenses'!F18</f>
        <v>700</v>
      </c>
      <c r="G465" s="2578">
        <f>'Part V-Revenues &amp; Expenses'!G18</f>
        <v>778</v>
      </c>
      <c r="H465" s="2578">
        <f>'Part V-Revenues &amp; Expenses'!H18</f>
        <v>1060</v>
      </c>
      <c r="I465" s="2578">
        <f>'Part V-Revenues &amp; Expenses'!I18</f>
        <v>0</v>
      </c>
      <c r="J465" s="2578">
        <f>'Part V-Revenues &amp; Expenses'!J18</f>
        <v>0</v>
      </c>
      <c r="K465" s="2579" t="str">
        <f>'Part V-Revenues &amp; Expenses'!K18</f>
        <v>HUD</v>
      </c>
      <c r="L465" s="2580">
        <f t="shared" si="1"/>
        <v>1060</v>
      </c>
      <c r="M465" s="2580">
        <f t="shared" si="2"/>
        <v>27560</v>
      </c>
      <c r="N465" s="2651" t="str">
        <f>'Part V-Revenues &amp; Expenses'!N18</f>
        <v>No</v>
      </c>
      <c r="O465" s="1320" t="str">
        <f>'Part V-Revenues &amp; Expenses'!O18</f>
        <v>High-Rise Elevator</v>
      </c>
      <c r="P465" s="2651" t="str">
        <f>'Part V-Revenues &amp; Expenses'!P18</f>
        <v>Acquisition/Rehab</v>
      </c>
      <c r="Q465" s="1895" t="str">
        <f>'Part V-Revenues &amp; Expenses'!Q18</f>
        <v>Yes</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f t="shared" si="13"/>
        <v>26</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f t="shared" si="63"/>
        <v>26</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f t="shared" si="128"/>
        <v>18200</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f t="shared" si="158"/>
        <v>18200</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f t="shared" si="183"/>
        <v>26</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f t="shared" si="213"/>
        <v>26</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f t="shared" si="293"/>
        <v>26</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176</v>
      </c>
      <c r="F466" s="2578">
        <f>'Part V-Revenues &amp; Expenses'!F19</f>
        <v>800</v>
      </c>
      <c r="G466" s="2578">
        <f>'Part V-Revenues &amp; Expenses'!G19</f>
        <v>834</v>
      </c>
      <c r="H466" s="2578">
        <f>'Part V-Revenues &amp; Expenses'!H19</f>
        <v>1150</v>
      </c>
      <c r="I466" s="2578">
        <f>'Part V-Revenues &amp; Expenses'!I19</f>
        <v>0</v>
      </c>
      <c r="J466" s="2578">
        <f>'Part V-Revenues &amp; Expenses'!J19</f>
        <v>0</v>
      </c>
      <c r="K466" s="2579" t="str">
        <f>'Part V-Revenues &amp; Expenses'!K19</f>
        <v>HUD</v>
      </c>
      <c r="L466" s="2580">
        <f t="shared" si="1"/>
        <v>1150</v>
      </c>
      <c r="M466" s="2580">
        <f t="shared" si="2"/>
        <v>202400</v>
      </c>
      <c r="N466" s="2651" t="str">
        <f>'Part V-Revenues &amp; Expenses'!N19</f>
        <v>No</v>
      </c>
      <c r="O466" s="1320" t="str">
        <f>'Part V-Revenues &amp; Expenses'!O19</f>
        <v>High-Rise Elevator</v>
      </c>
      <c r="P466" s="2651" t="str">
        <f>'Part V-Revenues &amp; Expenses'!P19</f>
        <v>Acquisition/Rehab</v>
      </c>
      <c r="Q466" s="1895" t="str">
        <f>'Part V-Revenues &amp; Expenses'!Q19</f>
        <v>Yes</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176</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176</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140800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140800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176</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176</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f t="shared" si="294"/>
        <v>176</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756">
        <f>COUNT(A458,A459,A460,A461,A462,A463,A464,A465,A466,A467,A468,A469,A470,A471,A472,A473,A474,A475,A476,A477,A478,A479,A480,A481,A482,A483,A484,A485,A486,A487)</f>
        <v>0</v>
      </c>
      <c r="B496" s="2785" t="s">
        <v>3770</v>
      </c>
      <c r="C496" s="2785"/>
      <c r="D496" s="2786" t="s">
        <v>954</v>
      </c>
      <c r="E496" s="2581">
        <f>SUM(E458:E495)</f>
        <v>203</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159800</v>
      </c>
      <c r="H496" s="2583" t="s">
        <v>3767</v>
      </c>
      <c r="I496" s="2787" t="s">
        <v>3768</v>
      </c>
      <c r="J496" s="2584" t="str">
        <f>IF(P514=0,"",IF(SUM(P505:P509)/P514&gt;=0.4,"Pass","Fail"))</f>
        <v>Pass</v>
      </c>
      <c r="K496" s="363"/>
      <c r="L496" s="2788" t="s">
        <v>1225</v>
      </c>
      <c r="M496" s="2585">
        <f>SUM(M458:M495)</f>
        <v>229960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26</v>
      </c>
      <c r="AI496" s="1749">
        <f t="shared" si="338"/>
        <v>176</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26</v>
      </c>
      <c r="CG496" s="1749">
        <f t="shared" si="338"/>
        <v>176</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1</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18200</v>
      </c>
      <c r="ET496" s="1749">
        <f t="shared" si="338"/>
        <v>140800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18200</v>
      </c>
      <c r="FX496" s="1749">
        <f t="shared" si="340"/>
        <v>140800</v>
      </c>
      <c r="FY496" s="1749">
        <f t="shared" si="340"/>
        <v>0</v>
      </c>
      <c r="FZ496" s="1749">
        <f t="shared" si="340"/>
        <v>0</v>
      </c>
      <c r="GA496" s="1749">
        <f t="shared" si="340"/>
        <v>0</v>
      </c>
      <c r="GB496" s="1749">
        <f t="shared" si="340"/>
        <v>0</v>
      </c>
      <c r="GC496" s="1749">
        <f t="shared" si="340"/>
        <v>800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26</v>
      </c>
      <c r="GW496" s="1749">
        <f t="shared" si="340"/>
        <v>176</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1</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26</v>
      </c>
      <c r="IA496" s="1749">
        <f t="shared" si="341"/>
        <v>177</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26</v>
      </c>
      <c r="LC496" s="1749">
        <f>SUM(LC458:LC495)</f>
        <v>177</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 customHeight="1">
      <c r="B497" s="2789">
        <f>'Part V-Revenues &amp; Expenses'!B50</f>
        <v>60</v>
      </c>
      <c r="C497" s="2789"/>
      <c r="D497" s="2756" t="s">
        <v>3677</v>
      </c>
      <c r="E497" s="2581">
        <f>SUM(E465:E495)</f>
        <v>202</v>
      </c>
      <c r="F497" s="2582">
        <f>(E465*F465+E466*F466+E467*F467+E468*F468+E469*F469+E470*F470+E471*F471+E472*F472+E473*F473+E474*F474+E475*F475+E476*F476+E477*F477+E478*F478+E479*F479+E480*F480+E481*F481+E482*F482+E483*F483+E484*F484+E485*F485+E486*F486+E487*F487+E488*F488+E489*F489+E490*F490+E491*F491+E492*F492+E493*F493+E494*F494+E495*F495)</f>
        <v>159000</v>
      </c>
      <c r="H497" s="2583"/>
      <c r="I497" s="2787" t="s">
        <v>3769</v>
      </c>
      <c r="J497" s="2584" t="str">
        <f>IF(P514=0,"",IF(SUM(P506:P509)/P514&gt;=0.2,"Pass","Fail"))</f>
        <v>Fail</v>
      </c>
      <c r="K497" s="363"/>
      <c r="L497" s="2786" t="s">
        <v>757</v>
      </c>
      <c r="M497" s="2585">
        <f>M496*12</f>
        <v>2759520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6643</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26</v>
      </c>
      <c r="L505" s="2586">
        <f>AI496</f>
        <v>176</v>
      </c>
      <c r="M505" s="2586">
        <f>AJ496</f>
        <v>0</v>
      </c>
      <c r="N505" s="2586">
        <f>AK496</f>
        <v>0</v>
      </c>
      <c r="O505" s="2586">
        <f>AL496</f>
        <v>0</v>
      </c>
      <c r="P505" s="2586">
        <f t="shared" si="344"/>
        <v>202</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26</v>
      </c>
      <c r="L510" s="2586">
        <f>SUM(L503:L509)</f>
        <v>176</v>
      </c>
      <c r="M510" s="2586">
        <f>SUM(M503:M509)</f>
        <v>0</v>
      </c>
      <c r="N510" s="2586">
        <f>SUM(N503:N509)</f>
        <v>0</v>
      </c>
      <c r="O510" s="2586">
        <f>SUM(O503:O509)</f>
        <v>0</v>
      </c>
      <c r="P510" s="2586">
        <f t="shared" si="344"/>
        <v>202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26</v>
      </c>
      <c r="L512" s="2587">
        <f>SUM(L510:L511)</f>
        <v>176</v>
      </c>
      <c r="M512" s="2587">
        <f>SUM(M510:M511)</f>
        <v>0</v>
      </c>
      <c r="N512" s="2587">
        <f>SUM(N510:N511)</f>
        <v>0</v>
      </c>
      <c r="O512" s="2587">
        <f>SUM(O510:O511)</f>
        <v>0</v>
      </c>
      <c r="P512" s="2587">
        <f t="shared" si="344"/>
        <v>202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1</v>
      </c>
      <c r="M513" s="2586">
        <f>EF496</f>
        <v>0</v>
      </c>
      <c r="N513" s="2586">
        <f>EG496</f>
        <v>0</v>
      </c>
      <c r="O513" s="2586">
        <f>EH496</f>
        <v>0</v>
      </c>
      <c r="P513" s="2586">
        <f t="shared" si="344"/>
        <v>1</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26</v>
      </c>
      <c r="L514" s="2588">
        <f>SUM(L512:L513)</f>
        <v>177</v>
      </c>
      <c r="M514" s="2588">
        <f>SUM(M512:M513)</f>
        <v>0</v>
      </c>
      <c r="N514" s="2588">
        <f>SUM(N512:N513)</f>
        <v>0</v>
      </c>
      <c r="O514" s="2588">
        <f>SUM(O512:O513)</f>
        <v>0</v>
      </c>
      <c r="P514" s="2588">
        <f t="shared" si="344"/>
        <v>203</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4071</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f t="shared" ref="K523:P523" si="349">IF(OR(K505=0,K514=0),"",K505/K514)</f>
        <v>1</v>
      </c>
      <c r="L523" s="2803">
        <f t="shared" si="349"/>
        <v>0.99435028248587576</v>
      </c>
      <c r="M523" s="2803" t="str">
        <f t="shared" si="349"/>
        <v/>
      </c>
      <c r="N523" s="2803" t="str">
        <f t="shared" si="349"/>
        <v/>
      </c>
      <c r="O523" s="2803" t="str">
        <f t="shared" si="349"/>
        <v/>
      </c>
      <c r="P523" s="2803">
        <f t="shared" si="349"/>
        <v>0.99507389162561577</v>
      </c>
      <c r="S523" s="2784"/>
      <c r="T523" s="2784"/>
      <c r="U523" s="2784"/>
      <c r="V523" s="2784"/>
      <c r="W523" s="2784"/>
    </row>
    <row r="524" spans="1:343" ht="15.75" customHeight="1">
      <c r="C524" s="2805"/>
      <c r="D524" s="2621"/>
      <c r="E524" s="2621"/>
      <c r="F524" s="2621"/>
      <c r="H524" s="1503" t="s">
        <v>6979</v>
      </c>
      <c r="I524" s="362"/>
      <c r="J524" s="359"/>
      <c r="K524" s="2804">
        <f>IF(OR(K505=0,P523="",K514=0),"",P523*K514)</f>
        <v>25.871921182266011</v>
      </c>
      <c r="L524" s="2804">
        <f>IF(OR(L505=0,P523="",L514=0),"",P523*L514)</f>
        <v>176.12807881773398</v>
      </c>
      <c r="M524" s="2804" t="str">
        <f>IF(OR(M505=0,P523="",M514=0),"",P523*M514)</f>
        <v/>
      </c>
      <c r="N524" s="2804" t="str">
        <f>IF(OR(N505=0,P523="",N514=0),"",P523*N514)</f>
        <v/>
      </c>
      <c r="O524" s="2804" t="str">
        <f>IF(OR(O505=0,P523="",O514=0),"",P523*O514)</f>
        <v/>
      </c>
      <c r="P524" s="2804">
        <f>IF(OR(P523="",P514=0),"",P523*P514)</f>
        <v>202</v>
      </c>
      <c r="S524" s="2784"/>
      <c r="T524" s="2784"/>
      <c r="U524" s="2784"/>
      <c r="V524" s="2784"/>
      <c r="W524" s="2784"/>
    </row>
    <row r="525" spans="1:343" ht="15.75" customHeight="1">
      <c r="C525" s="2805"/>
      <c r="D525" s="2621"/>
      <c r="E525" s="2621"/>
      <c r="F525" s="2621"/>
      <c r="G525" s="2787"/>
      <c r="H525" s="1503" t="s">
        <v>6980</v>
      </c>
      <c r="I525" s="362"/>
      <c r="J525" s="359"/>
      <c r="K525" s="2804">
        <f t="shared" ref="K525:P525" si="350">IF(OR(K524="",K505=0),"", K505-K524)</f>
        <v>0.12807881773398933</v>
      </c>
      <c r="L525" s="2804">
        <f t="shared" si="350"/>
        <v>-0.12807881773397867</v>
      </c>
      <c r="M525" s="2804" t="str">
        <f t="shared" si="350"/>
        <v/>
      </c>
      <c r="N525" s="2804" t="str">
        <f t="shared" si="350"/>
        <v/>
      </c>
      <c r="O525" s="2804" t="str">
        <f t="shared" si="350"/>
        <v/>
      </c>
      <c r="P525" s="2804">
        <f t="shared" si="350"/>
        <v>0</v>
      </c>
    </row>
    <row r="526" spans="1:343">
      <c r="C526" s="2805" t="s">
        <v>4069</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26</v>
      </c>
      <c r="L542" s="2586">
        <f>CG496</f>
        <v>176</v>
      </c>
      <c r="M542" s="2586">
        <f>CH496</f>
        <v>0</v>
      </c>
      <c r="N542" s="2586">
        <f>CI496</f>
        <v>0</v>
      </c>
      <c r="O542" s="2586">
        <f>CJ496</f>
        <v>0</v>
      </c>
      <c r="P542" s="2586">
        <f t="shared" si="359"/>
        <v>202</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26</v>
      </c>
      <c r="L547" s="2588">
        <f>SUM(L540:L546)</f>
        <v>176</v>
      </c>
      <c r="M547" s="2588">
        <f>SUM(M540:M546)</f>
        <v>0</v>
      </c>
      <c r="N547" s="2588">
        <f>SUM(N540:N546)</f>
        <v>0</v>
      </c>
      <c r="O547" s="2588">
        <f>SUM(O540:O546)</f>
        <v>0</v>
      </c>
      <c r="P547" s="2588">
        <f t="shared" si="359"/>
        <v>202</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26</v>
      </c>
      <c r="L563" s="2586">
        <f>GW496</f>
        <v>176</v>
      </c>
      <c r="M563" s="2586">
        <f>GX496</f>
        <v>0</v>
      </c>
      <c r="N563" s="2586">
        <f>GY496</f>
        <v>0</v>
      </c>
      <c r="O563" s="2586">
        <f>GZ496</f>
        <v>0</v>
      </c>
      <c r="P563" s="2586">
        <f t="shared" si="361"/>
        <v>202</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26</v>
      </c>
      <c r="L565" s="2588">
        <f>SUM(L563:L564)+HG496</f>
        <v>177</v>
      </c>
      <c r="M565" s="2588">
        <f>SUM(M563:M564)+HH496</f>
        <v>0</v>
      </c>
      <c r="N565" s="2588">
        <f>SUM(N563:N564)+HI496</f>
        <v>0</v>
      </c>
      <c r="O565" s="2588">
        <f>SUM(O563:O564)+HJ496</f>
        <v>0</v>
      </c>
      <c r="P565" s="2588">
        <f t="shared" si="361"/>
        <v>203</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26</v>
      </c>
      <c r="L570" s="2586">
        <f>'Part V-Revenues &amp; Expenses'!L123</f>
        <v>177</v>
      </c>
      <c r="M570" s="2586">
        <f>'Part V-Revenues &amp; Expenses'!M123</f>
        <v>0</v>
      </c>
      <c r="N570" s="2586">
        <f>'Part V-Revenues &amp; Expenses'!N123</f>
        <v>0</v>
      </c>
      <c r="O570" s="2586">
        <f>'Part V-Revenues &amp; Expenses'!O123</f>
        <v>0</v>
      </c>
      <c r="P570" s="2586">
        <f t="shared" si="361"/>
        <v>203</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26</v>
      </c>
      <c r="L574" s="2588">
        <f t="shared" si="362"/>
        <v>177</v>
      </c>
      <c r="M574" s="2588">
        <f t="shared" si="362"/>
        <v>0</v>
      </c>
      <c r="N574" s="2588">
        <f t="shared" si="362"/>
        <v>0</v>
      </c>
      <c r="O574" s="2588">
        <f t="shared" si="362"/>
        <v>0</v>
      </c>
      <c r="P574" s="2588">
        <f t="shared" si="362"/>
        <v>203</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26</v>
      </c>
      <c r="L582" s="2587">
        <f>LC496</f>
        <v>177</v>
      </c>
      <c r="M582" s="2587">
        <f>LD496</f>
        <v>0</v>
      </c>
      <c r="N582" s="2587">
        <f>LE496</f>
        <v>0</v>
      </c>
      <c r="O582" s="2587">
        <f>LF496</f>
        <v>0</v>
      </c>
      <c r="P582" s="2587">
        <f t="shared" si="363"/>
        <v>203</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26</v>
      </c>
      <c r="L601" s="2587">
        <f t="shared" si="367"/>
        <v>177</v>
      </c>
      <c r="M601" s="2587">
        <f t="shared" si="367"/>
        <v>0</v>
      </c>
      <c r="N601" s="2587">
        <f t="shared" si="367"/>
        <v>0</v>
      </c>
      <c r="O601" s="2587">
        <f t="shared" si="367"/>
        <v>0</v>
      </c>
      <c r="P601" s="2589">
        <f t="shared" si="365"/>
        <v>203</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18200</v>
      </c>
      <c r="L606" s="2590">
        <f>ET496</f>
        <v>140800</v>
      </c>
      <c r="M606" s="2590">
        <f>EU496</f>
        <v>0</v>
      </c>
      <c r="N606" s="2590">
        <f>EV496</f>
        <v>0</v>
      </c>
      <c r="O606" s="2590">
        <f>EW496</f>
        <v>0</v>
      </c>
      <c r="P606" s="2590">
        <f t="shared" si="368"/>
        <v>159000</v>
      </c>
      <c r="Q606" s="2804">
        <f t="shared" si="369"/>
        <v>787.12871287128712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18200</v>
      </c>
      <c r="L611" s="2591">
        <f>SUM(L604:L610)</f>
        <v>140800</v>
      </c>
      <c r="M611" s="2591">
        <f>SUM(M604:M610)</f>
        <v>0</v>
      </c>
      <c r="N611" s="2591">
        <f>SUM(N604:N610)</f>
        <v>0</v>
      </c>
      <c r="O611" s="2591">
        <f>SUM(O604:O610)</f>
        <v>0</v>
      </c>
      <c r="P611" s="2591">
        <f>SUM(K611:O611)</f>
        <v>159000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18200</v>
      </c>
      <c r="L613" s="2592">
        <f>SUM(L611:L612)</f>
        <v>140800</v>
      </c>
      <c r="M613" s="2592">
        <f>SUM(M611:M612)</f>
        <v>0</v>
      </c>
      <c r="N613" s="2592">
        <f>SUM(N611:N612)</f>
        <v>0</v>
      </c>
      <c r="O613" s="2592">
        <f>SUM(O611:O612)</f>
        <v>0</v>
      </c>
      <c r="P613" s="2592">
        <f>SUM(K613:O613)</f>
        <v>159000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800</v>
      </c>
      <c r="M614" s="2590">
        <f>GD496</f>
        <v>0</v>
      </c>
      <c r="N614" s="2590">
        <f>GE496</f>
        <v>0</v>
      </c>
      <c r="O614" s="2590">
        <f>GF496</f>
        <v>0</v>
      </c>
      <c r="P614" s="2590">
        <f>SUM(K614:O614)</f>
        <v>800</v>
      </c>
      <c r="Q614" s="2804">
        <f>IF(OR(P513=0,P513=""),"",P614/P513)</f>
        <v>800</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18200</v>
      </c>
      <c r="L615" s="2593">
        <f>SUM(L613:L614)</f>
        <v>141600</v>
      </c>
      <c r="M615" s="2593">
        <f>SUM(M613:M614)</f>
        <v>0</v>
      </c>
      <c r="N615" s="2593">
        <f>SUM(N613:N614)</f>
        <v>0</v>
      </c>
      <c r="O615" s="2593">
        <f>SUM(O613:O614)</f>
        <v>0</v>
      </c>
      <c r="P615" s="2593">
        <f>SUM(K615:O615)</f>
        <v>159800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f>IF(OR(K514="",K514=0),"",K615/K514)</f>
        <v>700</v>
      </c>
      <c r="L618" s="2818">
        <f>IF(OR(L514="",L514=0),"",L615/L514)</f>
        <v>800</v>
      </c>
      <c r="M618" s="2818" t="str">
        <f>IF(OR(M514="",M514=0),"",M615/M514)</f>
        <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49830</v>
      </c>
      <c r="L621" s="2549"/>
      <c r="Z621" s="1622">
        <v>68</v>
      </c>
    </row>
    <row r="622" spans="1:380" s="1819" customFormat="1" ht="13.35" customHeight="1">
      <c r="A622" s="2615"/>
      <c r="C622" s="377" t="s">
        <v>242</v>
      </c>
      <c r="K622" s="2549">
        <f>P615+K621</f>
        <v>209630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55190.400000000001</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t="str">
        <f>'Part V-Revenues &amp; Expenses'!C184</f>
        <v>Resident Services Coordinator Grant</v>
      </c>
      <c r="D631" s="1503"/>
      <c r="E631" s="1503"/>
      <c r="F631" s="1503"/>
      <c r="H631" s="2824">
        <f>'Part V-Revenues &amp; Expenses'!H184</f>
        <v>105576</v>
      </c>
      <c r="I631" s="2824">
        <f>'Part V-Revenues &amp; Expenses'!I184</f>
        <v>107687.52</v>
      </c>
      <c r="J631" s="2824">
        <f>'Part V-Revenues &amp; Expenses'!J184</f>
        <v>109841.27040000001</v>
      </c>
      <c r="K631" s="2824">
        <f>'Part V-Revenues &amp; Expenses'!K184</f>
        <v>112038.09580800001</v>
      </c>
      <c r="L631" s="2824">
        <f>'Part V-Revenues &amp; Expenses'!L184</f>
        <v>114278.85772416001</v>
      </c>
      <c r="M631" s="2824">
        <f>'Part V-Revenues &amp; Expenses'!M184</f>
        <v>116564.43487864321</v>
      </c>
      <c r="N631" s="2824">
        <f>'Part V-Revenues &amp; Expenses'!N184</f>
        <v>118895.72357621607</v>
      </c>
      <c r="O631" s="2824">
        <f>'Part V-Revenues &amp; Expenses'!O184</f>
        <v>121273.63804774039</v>
      </c>
      <c r="P631" s="2824">
        <f>'Part V-Revenues &amp; Expenses'!P184</f>
        <v>123699.1108086952</v>
      </c>
      <c r="Q631" s="2824">
        <f>'Part V-Revenues &amp; Expenses'!Q184</f>
        <v>126173.0930248691</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105576</v>
      </c>
      <c r="I632" s="2597">
        <f>SUM(I630:I631)</f>
        <v>107687.52</v>
      </c>
      <c r="J632" s="2597">
        <f t="shared" ref="J632:Q632" si="370">SUM(J630:J631)</f>
        <v>109841.27040000001</v>
      </c>
      <c r="K632" s="2597">
        <f t="shared" si="370"/>
        <v>112038.09580800001</v>
      </c>
      <c r="L632" s="2597">
        <f t="shared" si="370"/>
        <v>114278.85772416001</v>
      </c>
      <c r="M632" s="2597">
        <f t="shared" si="370"/>
        <v>116564.43487864321</v>
      </c>
      <c r="N632" s="2597">
        <f t="shared" si="370"/>
        <v>118895.72357621607</v>
      </c>
      <c r="O632" s="2597">
        <f t="shared" si="370"/>
        <v>121273.63804774039</v>
      </c>
      <c r="P632" s="2597">
        <f t="shared" si="370"/>
        <v>123699.1108086952</v>
      </c>
      <c r="Q632" s="2597">
        <f t="shared" si="370"/>
        <v>126173.0930248691</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t="str">
        <f>'Part V-Revenues &amp; Expenses'!C193</f>
        <v>Resident Services Coordinator Grant</v>
      </c>
      <c r="D640" s="1503"/>
      <c r="E640" s="1503"/>
      <c r="F640" s="1503"/>
      <c r="H640" s="2824">
        <f>'Part V-Revenues &amp; Expenses'!H193</f>
        <v>128696.55488536648</v>
      </c>
      <c r="I640" s="2824">
        <f>'Part V-Revenues &amp; Expenses'!I193</f>
        <v>131270.4859830738</v>
      </c>
      <c r="J640" s="2824">
        <f>'Part V-Revenues &amp; Expenses'!J193</f>
        <v>133895.89570273529</v>
      </c>
      <c r="K640" s="2824">
        <f>'Part V-Revenues &amp; Expenses'!K193</f>
        <v>136573.81361678999</v>
      </c>
      <c r="L640" s="2824">
        <f>'Part V-Revenues &amp; Expenses'!L193</f>
        <v>139305.28988912579</v>
      </c>
      <c r="M640" s="2824">
        <f>'Part V-Revenues &amp; Expenses'!M193</f>
        <v>142091.3956869083</v>
      </c>
      <c r="N640" s="2824">
        <f>'Part V-Revenues &amp; Expenses'!N193</f>
        <v>144933.22360064648</v>
      </c>
      <c r="O640" s="2824">
        <f>'Part V-Revenues &amp; Expenses'!O193</f>
        <v>147831.88807265941</v>
      </c>
      <c r="P640" s="2824">
        <f>'Part V-Revenues &amp; Expenses'!P193</f>
        <v>150788.5258341126</v>
      </c>
      <c r="Q640" s="2824">
        <f>'Part V-Revenues &amp; Expenses'!Q193</f>
        <v>153804.29635079484</v>
      </c>
      <c r="R640" s="2818"/>
      <c r="S640" s="2784"/>
      <c r="T640" s="2784"/>
      <c r="U640" s="2784"/>
      <c r="V640" s="2784"/>
      <c r="W640" s="2784"/>
    </row>
    <row r="641" spans="2:343" ht="15.6" customHeight="1">
      <c r="B641" s="1503"/>
      <c r="C641" s="1503" t="s">
        <v>870</v>
      </c>
      <c r="D641" s="1503"/>
      <c r="E641" s="1503"/>
      <c r="F641" s="1503"/>
      <c r="H641" s="2597">
        <f>SUM(H639:H640)</f>
        <v>128696.55488536648</v>
      </c>
      <c r="I641" s="2597">
        <f>SUM(I639:I640)</f>
        <v>131270.4859830738</v>
      </c>
      <c r="J641" s="2597">
        <f t="shared" ref="J641:Q641" si="372">SUM(J639:J640)</f>
        <v>133895.89570273529</v>
      </c>
      <c r="K641" s="2597">
        <f t="shared" si="372"/>
        <v>136573.81361678999</v>
      </c>
      <c r="L641" s="2597">
        <f t="shared" si="372"/>
        <v>139305.28988912579</v>
      </c>
      <c r="M641" s="2597">
        <f t="shared" si="372"/>
        <v>142091.3956869083</v>
      </c>
      <c r="N641" s="2597">
        <f t="shared" si="372"/>
        <v>144933.22360064648</v>
      </c>
      <c r="O641" s="2597">
        <f t="shared" si="372"/>
        <v>147831.88807265941</v>
      </c>
      <c r="P641" s="2597">
        <f t="shared" si="372"/>
        <v>150788.5258341126</v>
      </c>
      <c r="Q641" s="2597">
        <f t="shared" si="372"/>
        <v>153804.29635079484</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t="str">
        <f>'Part V-Revenues &amp; Expenses'!C202</f>
        <v>Resident Services Coordinator</v>
      </c>
      <c r="D649" s="1503"/>
      <c r="E649" s="1503"/>
      <c r="F649" s="1503"/>
      <c r="H649" s="2824">
        <f>'Part V-Revenues &amp; Expenses'!H202</f>
        <v>156880.38227781074</v>
      </c>
      <c r="I649" s="2824">
        <f>'Part V-Revenues &amp; Expenses'!I202</f>
        <v>160017.98992336696</v>
      </c>
      <c r="J649" s="2824">
        <f>'Part V-Revenues &amp; Expenses'!J202</f>
        <v>163218.3497218343</v>
      </c>
      <c r="K649" s="2824">
        <f>'Part V-Revenues &amp; Expenses'!K202</f>
        <v>166482.71671627098</v>
      </c>
      <c r="L649" s="2824">
        <f>'Part V-Revenues &amp; Expenses'!L202</f>
        <v>169812.37105059641</v>
      </c>
      <c r="M649" s="2824">
        <f>'Part V-Revenues &amp; Expenses'!M202</f>
        <v>173208.61847160835</v>
      </c>
      <c r="N649" s="2824">
        <f>'Part V-Revenues &amp; Expenses'!N202</f>
        <v>176672.79084104052</v>
      </c>
      <c r="O649" s="2824">
        <f>'Part V-Revenues &amp; Expenses'!O202</f>
        <v>180206.24665786134</v>
      </c>
      <c r="P649" s="2824">
        <f>'Part V-Revenues &amp; Expenses'!P202</f>
        <v>183810.37159101857</v>
      </c>
      <c r="Q649" s="2824">
        <f>'Part V-Revenues &amp; Expenses'!Q202</f>
        <v>187486.57902283894</v>
      </c>
      <c r="R649" s="2818"/>
      <c r="S649" s="2784"/>
      <c r="T649" s="2784"/>
      <c r="U649" s="2784"/>
      <c r="V649" s="2784"/>
      <c r="W649" s="2784"/>
    </row>
    <row r="650" spans="2:343" ht="15.6" customHeight="1">
      <c r="B650" s="1503"/>
      <c r="C650" s="1503" t="s">
        <v>870</v>
      </c>
      <c r="D650" s="1503"/>
      <c r="E650" s="1503"/>
      <c r="F650" s="1503"/>
      <c r="H650" s="2597">
        <f>SUM(H648:H649)</f>
        <v>156880.38227781074</v>
      </c>
      <c r="I650" s="2597">
        <f>SUM(I648:I649)</f>
        <v>160017.98992336696</v>
      </c>
      <c r="J650" s="2597">
        <f t="shared" ref="J650:Q650" si="374">SUM(J648:J649)</f>
        <v>163218.3497218343</v>
      </c>
      <c r="K650" s="2597">
        <f t="shared" si="374"/>
        <v>166482.71671627098</v>
      </c>
      <c r="L650" s="2597">
        <f t="shared" si="374"/>
        <v>169812.37105059641</v>
      </c>
      <c r="M650" s="2597">
        <f t="shared" si="374"/>
        <v>173208.61847160835</v>
      </c>
      <c r="N650" s="2597">
        <f t="shared" si="374"/>
        <v>176672.79084104052</v>
      </c>
      <c r="O650" s="2597">
        <f t="shared" si="374"/>
        <v>180206.24665786134</v>
      </c>
      <c r="P650" s="2597">
        <f t="shared" si="374"/>
        <v>183810.37159101857</v>
      </c>
      <c r="Q650" s="2597">
        <f t="shared" si="374"/>
        <v>187486.57902283894</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t="str">
        <f>'Part V-Revenues &amp; Expenses'!C211</f>
        <v>Resident Services Coordinator</v>
      </c>
      <c r="D658" s="1503"/>
      <c r="E658" s="1503"/>
      <c r="F658" s="1503"/>
      <c r="H658" s="2824">
        <f>'Part V-Revenues &amp; Expenses'!H211</f>
        <v>191236.31060329571</v>
      </c>
      <c r="I658" s="2824">
        <f>'Part V-Revenues &amp; Expenses'!I211</f>
        <v>195061.03681536164</v>
      </c>
      <c r="J658" s="2824">
        <f>'Part V-Revenues &amp; Expenses'!J211</f>
        <v>198962.25755166888</v>
      </c>
      <c r="K658" s="2824">
        <f>'Part V-Revenues &amp; Expenses'!K211</f>
        <v>202941.50270270227</v>
      </c>
      <c r="L658" s="2824">
        <f>'Part V-Revenues &amp; Expenses'!L211</f>
        <v>207000.33275675631</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191236.31060329571</v>
      </c>
      <c r="I659" s="2597">
        <f>SUM(I657:I658)</f>
        <v>195061.03681536164</v>
      </c>
      <c r="J659" s="2597">
        <f>SUM(J657:J658)</f>
        <v>198962.25755166888</v>
      </c>
      <c r="K659" s="2597">
        <f>SUM(K657:K658)</f>
        <v>202941.50270270227</v>
      </c>
      <c r="L659" s="2597">
        <f>SUM(L657:L658)</f>
        <v>207000.33275675631</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97284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106111</v>
      </c>
      <c r="G668" s="2590"/>
      <c r="I668" s="359" t="s">
        <v>1300</v>
      </c>
      <c r="L668" s="2590">
        <f>'Part V-Revenues &amp; Expenses'!L221</f>
        <v>0</v>
      </c>
      <c r="M668" s="2590"/>
      <c r="O668" s="2599">
        <f>+Q667/(P514*0.93)</f>
        <v>515.30271730494189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128192</v>
      </c>
      <c r="G669" s="2590"/>
      <c r="I669" s="359" t="s">
        <v>1301</v>
      </c>
      <c r="L669" s="2590">
        <f>'Part V-Revenues &amp; Expenses'!L222</f>
        <v>4496</v>
      </c>
      <c r="M669" s="2590"/>
      <c r="O669" s="2599">
        <f>+Q667/(P514*0.93)/12</f>
        <v>42.941893108745155</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4496</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105576</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Health Insurance, Payroll Taxes</v>
      </c>
      <c r="C673" s="362"/>
      <c r="D673" s="362"/>
      <c r="E673" s="362"/>
      <c r="F673" s="2590">
        <f>'Part V-Revenues &amp; Expenses'!F226</f>
        <v>54488</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394367</v>
      </c>
      <c r="G674" s="2590"/>
      <c r="I674" s="359" t="s">
        <v>1497</v>
      </c>
      <c r="L674" s="2590">
        <f>'Part V-Revenues &amp; Expenses'!L227</f>
        <v>16281</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16716.04</v>
      </c>
      <c r="M675" s="2590"/>
      <c r="N675" s="2771" t="str">
        <f>IF(Q677="","",IF(Q675&lt;Q677, "WARNING! OE below required minimum.",""))</f>
        <v/>
      </c>
      <c r="O675" s="1747" t="s">
        <v>2029</v>
      </c>
      <c r="Q675" s="2818">
        <f>F674+F683+F694+L670+L678+L688+L694+Q667</f>
        <v>1299121.3683243999</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2486</v>
      </c>
      <c r="P676" s="2599">
        <f>+Q675/P514</f>
        <v>6399.6126518443343</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17964</v>
      </c>
      <c r="G677" s="2590"/>
      <c r="I677" s="2832" t="str">
        <f>'Part V-Revenues &amp; Expenses'!I230</f>
        <v>Audit</v>
      </c>
      <c r="J677" s="2832"/>
      <c r="K677" s="2832"/>
      <c r="L677" s="2590">
        <f>'Part V-Revenues &amp; Expenses'!L230</f>
        <v>12120</v>
      </c>
      <c r="M677" s="2590"/>
      <c r="N677" s="2771"/>
      <c r="P677" s="2799" t="s">
        <v>3224</v>
      </c>
      <c r="Q677" s="2818">
        <f>'Part V-Revenues &amp; Expenses'!Q230</f>
        <v>913500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19964.96</v>
      </c>
      <c r="G678" s="2590"/>
      <c r="I678" s="1747"/>
      <c r="K678" s="2828" t="s">
        <v>184</v>
      </c>
      <c r="L678" s="2818">
        <f>SUM(L674:L677)</f>
        <v>45117.04</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1299.96</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4306</v>
      </c>
      <c r="G681" s="2590"/>
      <c r="I681" s="1747" t="s">
        <v>1297</v>
      </c>
      <c r="K681" s="1622" t="s">
        <v>3885</v>
      </c>
      <c r="O681" s="1747" t="s">
        <v>3085</v>
      </c>
      <c r="P681" s="1747"/>
      <c r="Q681" s="2600">
        <f>'Part V-Revenues &amp; Expenses'!Q234</f>
        <v>85260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f>'Part V-Revenues &amp; Expenses'!B235</f>
        <v>0</v>
      </c>
      <c r="C682" s="362"/>
      <c r="D682" s="362"/>
      <c r="E682" s="362"/>
      <c r="F682" s="2590">
        <f>'Part V-Revenues &amp; Expenses'!F235</f>
        <v>0</v>
      </c>
      <c r="G682" s="2590"/>
      <c r="I682" s="359" t="s">
        <v>1290</v>
      </c>
      <c r="K682" s="2717">
        <f>L682/12/P514</f>
        <v>56.400656814449924</v>
      </c>
      <c r="L682" s="2590">
        <f>'Part V-Revenues &amp; Expenses'!L235</f>
        <v>137392</v>
      </c>
      <c r="M682" s="2590"/>
      <c r="N682" s="2771" t="str">
        <f>IF(Q681&lt;Q690, "WARNING! RR proposed is below the DCA required minimum.","")</f>
        <v/>
      </c>
      <c r="O682" s="362" t="s">
        <v>3884</v>
      </c>
      <c r="Q682" s="2601" t="e">
        <f>Q681/P690</f>
        <v>#DIV/0!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43534.92</v>
      </c>
      <c r="G683" s="2590"/>
      <c r="I683" s="359" t="s">
        <v>1291</v>
      </c>
      <c r="K683" s="2717">
        <f>L683/12/P514</f>
        <v>21.858768472906405</v>
      </c>
      <c r="L683" s="2590">
        <f>'Part V-Revenues &amp; Expenses'!L236</f>
        <v>53247.96</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44.86</v>
      </c>
      <c r="L684" s="2590">
        <f>'Part V-Revenues &amp; Expenses'!L237</f>
        <v>109278.95999999999</v>
      </c>
      <c r="M684" s="2590"/>
      <c r="N684" s="2771"/>
      <c r="O684" s="2835" t="s">
        <v>2464</v>
      </c>
      <c r="P684" s="2836" t="s">
        <v>3285</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6.1699507389162562</v>
      </c>
      <c r="L685" s="2590">
        <f>'Part V-Revenues &amp; Expenses'!L238</f>
        <v>15030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15300.04</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14000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36000.04</v>
      </c>
      <c r="G688" s="2590"/>
      <c r="K688" s="2828" t="s">
        <v>184</v>
      </c>
      <c r="L688" s="2818">
        <f>SUM(L682:L687)</f>
        <v>314948.92</v>
      </c>
      <c r="M688" s="2818"/>
      <c r="N688" s="2771"/>
      <c r="O688" s="2675" t="s">
        <v>6500</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7421</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17060.919999999998</v>
      </c>
      <c r="G690" s="2590"/>
      <c r="I690" s="1747" t="s">
        <v>1298</v>
      </c>
      <c r="O690" s="2788" t="s">
        <v>2467</v>
      </c>
      <c r="P690" s="2782">
        <f>'Part V-Revenues &amp; Expenses'!P243</f>
        <v>0</v>
      </c>
      <c r="Q690" s="2838">
        <f>SUM(Q686:Q689)</f>
        <v>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21600</v>
      </c>
      <c r="G691" s="2590"/>
      <c r="I691" s="359" t="s">
        <v>6993</v>
      </c>
      <c r="L691" s="2590">
        <f>'Part V-Revenues &amp; Expenses'!L244</f>
        <v>124594.44832440001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163397.04</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111382</v>
      </c>
      <c r="G694" s="2590"/>
      <c r="K694" s="2828" t="s">
        <v>184</v>
      </c>
      <c r="L694" s="2818">
        <f>SUM(L690:L693)</f>
        <v>287991.48832440004</v>
      </c>
      <c r="M694" s="2818"/>
      <c r="O694" s="1747" t="s">
        <v>2030</v>
      </c>
      <c r="Q694" s="2818">
        <f>Q675+Q681</f>
        <v>1384381.3683243999</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&lt;&lt;Select&gt;&gt;</v>
      </c>
      <c r="K700" s="2602" t="s">
        <v>3905</v>
      </c>
      <c r="L700" s="1894" t="str">
        <f>'Part V-Revenues &amp; Expenses'!L253</f>
        <v>No</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*Answer: Please see Real Estate Tax Calculation back up provided. Analysis assumes a reassessment based on improvements. 
**To all Applicants: in addition to your other comments, please provide methodology for insurance calculation.
**Answer: Insurance calculation is based off insurance invoice provided.</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Bon Air,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7500</v>
      </c>
      <c r="H713" s="2814" t="s">
        <v>1768</v>
      </c>
      <c r="K713" s="2842">
        <f>'Part VI-Pro Forma'!K6</f>
        <v>-2.6982776440487395E-3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3.4999898976485005E-2</v>
      </c>
    </row>
    <row r="716" spans="1:11">
      <c r="A716" s="357" t="s">
        <v>2033</v>
      </c>
      <c r="B716" s="2841">
        <f>'Part VI-Pro Forma'!B9</f>
        <v>0.05</v>
      </c>
      <c r="C716" s="2615" t="str">
        <f>IF(B716&lt;0.07, "Must be &gt;= 7%!","")</f>
        <v>Must be &gt;= 7%!</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3.5000000000000003E-2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2759520</v>
      </c>
      <c r="C722" s="2606">
        <f>'Part VI-Pro Forma'!C15</f>
        <v>2814710.4</v>
      </c>
      <c r="D722" s="2606">
        <f>'Part VI-Pro Forma'!D15</f>
        <v>2871004.608</v>
      </c>
      <c r="E722" s="2606">
        <f>'Part VI-Pro Forma'!E15</f>
        <v>2928424.70016</v>
      </c>
      <c r="F722" s="2606">
        <f>'Part VI-Pro Forma'!F15</f>
        <v>2986993.1941632</v>
      </c>
      <c r="G722" s="2606">
        <f>'Part VI-Pro Forma'!G15</f>
        <v>3046733.0580464639</v>
      </c>
      <c r="H722" s="2606">
        <f>'Part VI-Pro Forma'!H15</f>
        <v>3107667.7192073935</v>
      </c>
      <c r="I722" s="2606">
        <f>'Part VI-Pro Forma'!I15</f>
        <v>3169821.0735915406</v>
      </c>
      <c r="J722" s="2606">
        <f>'Part VI-Pro Forma'!J15</f>
        <v>3233217.495063372</v>
      </c>
      <c r="K722" s="2606">
        <f>'Part VI-Pro Forma'!K15</f>
        <v>3297881.8449646393</v>
      </c>
    </row>
    <row r="723" spans="1:11">
      <c r="A723" s="357" t="s">
        <v>952</v>
      </c>
      <c r="B723" s="2606">
        <f>'Part VI-Pro Forma'!B16</f>
        <v>55190.400000000001</v>
      </c>
      <c r="C723" s="2606">
        <f>'Part VI-Pro Forma'!C16</f>
        <v>56294.208000000006</v>
      </c>
      <c r="D723" s="2606">
        <f>'Part VI-Pro Forma'!D16</f>
        <v>57420.09216</v>
      </c>
      <c r="E723" s="2606">
        <f>'Part VI-Pro Forma'!E16</f>
        <v>58568.494003199994</v>
      </c>
      <c r="F723" s="2606">
        <f>'Part VI-Pro Forma'!F16</f>
        <v>59739.863883263999</v>
      </c>
      <c r="G723" s="2606">
        <f>'Part VI-Pro Forma'!G16</f>
        <v>60934.661160929281</v>
      </c>
      <c r="H723" s="2606">
        <f>'Part VI-Pro Forma'!H16</f>
        <v>62153.354384147868</v>
      </c>
      <c r="I723" s="2606">
        <f>'Part VI-Pro Forma'!I16</f>
        <v>63396.421471830814</v>
      </c>
      <c r="J723" s="2606">
        <f>'Part VI-Pro Forma'!J16</f>
        <v>64664.349901267437</v>
      </c>
      <c r="K723" s="2606">
        <f>'Part VI-Pro Forma'!K16</f>
        <v>65957.636899292789</v>
      </c>
    </row>
    <row r="724" spans="1:11">
      <c r="A724" s="357" t="s">
        <v>2216</v>
      </c>
      <c r="B724" s="2606">
        <f>'Part VI-Pro Forma'!B17</f>
        <v>-140735.51999999999</v>
      </c>
      <c r="C724" s="2606">
        <f>'Part VI-Pro Forma'!C17</f>
        <v>-143550.2304</v>
      </c>
      <c r="D724" s="2606">
        <f>'Part VI-Pro Forma'!D17</f>
        <v>-146421.23500800002</v>
      </c>
      <c r="E724" s="2606">
        <f>'Part VI-Pro Forma'!E17</f>
        <v>-149349.65970816</v>
      </c>
      <c r="F724" s="2606">
        <f>'Part VI-Pro Forma'!F17</f>
        <v>-152336.6529023232</v>
      </c>
      <c r="G724" s="2606">
        <f>'Part VI-Pro Forma'!G17</f>
        <v>-155383.38596036966</v>
      </c>
      <c r="H724" s="2606">
        <f>'Part VI-Pro Forma'!H17</f>
        <v>-158491.05367957707</v>
      </c>
      <c r="I724" s="2606">
        <f>'Part VI-Pro Forma'!I17</f>
        <v>-161660.87475316858</v>
      </c>
      <c r="J724" s="2606">
        <f>'Part VI-Pro Forma'!J17</f>
        <v>-164894.09224823199</v>
      </c>
      <c r="K724" s="2606">
        <f>'Part VI-Pro Forma'!K17</f>
        <v>-168191.97409319662</v>
      </c>
    </row>
    <row r="725" spans="1:11">
      <c r="A725" s="357" t="s">
        <v>47</v>
      </c>
      <c r="B725" s="2606">
        <f>'Part VI-Pro Forma'!B18</f>
        <v>105576</v>
      </c>
      <c r="C725" s="2606">
        <f>'Part VI-Pro Forma'!C18</f>
        <v>107687.52</v>
      </c>
      <c r="D725" s="2606">
        <f>'Part VI-Pro Forma'!D18</f>
        <v>109841.27040000001</v>
      </c>
      <c r="E725" s="2606">
        <f>'Part VI-Pro Forma'!E18</f>
        <v>112038.09580800001</v>
      </c>
      <c r="F725" s="2606">
        <f>'Part VI-Pro Forma'!F18</f>
        <v>114278.85772416001</v>
      </c>
      <c r="G725" s="2606">
        <f>'Part VI-Pro Forma'!G18</f>
        <v>116564.43487864321</v>
      </c>
      <c r="H725" s="2606">
        <f>'Part VI-Pro Forma'!H18</f>
        <v>118895.72357621607</v>
      </c>
      <c r="I725" s="2606">
        <f>'Part VI-Pro Forma'!I18</f>
        <v>121273.63804774039</v>
      </c>
      <c r="J725" s="2606">
        <f>'Part VI-Pro Forma'!J18</f>
        <v>123699.1108086952</v>
      </c>
      <c r="K725" s="2606">
        <f>'Part VI-Pro Forma'!K18</f>
        <v>126173.0930248691</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2779550.88</v>
      </c>
      <c r="C727" s="2606">
        <f>'Part VI-Pro Forma'!C20</f>
        <v>2835141.8976000003</v>
      </c>
      <c r="D727" s="2606">
        <f>'Part VI-Pro Forma'!D20</f>
        <v>2891844.7355519999</v>
      </c>
      <c r="E727" s="2606">
        <f>'Part VI-Pro Forma'!E20</f>
        <v>2949681.6302630398</v>
      </c>
      <c r="F727" s="2606">
        <f>'Part VI-Pro Forma'!F20</f>
        <v>3008675.2628683005</v>
      </c>
      <c r="G727" s="2606">
        <f>'Part VI-Pro Forma'!G20</f>
        <v>3068848.7681256663</v>
      </c>
      <c r="H727" s="2606">
        <f>'Part VI-Pro Forma'!H20</f>
        <v>3130225.7434881805</v>
      </c>
      <c r="I727" s="2606">
        <f>'Part VI-Pro Forma'!I20</f>
        <v>3192830.258357943</v>
      </c>
      <c r="J727" s="2606">
        <f>'Part VI-Pro Forma'!J20</f>
        <v>3256686.8635251024</v>
      </c>
      <c r="K727" s="2606">
        <f>'Part VI-Pro Forma'!K20</f>
        <v>3321820.6007956048</v>
      </c>
    </row>
    <row r="728" spans="1:11">
      <c r="A728" s="357" t="s">
        <v>572</v>
      </c>
      <c r="B728" s="2606">
        <f>'Part VI-Pro Forma'!B21</f>
        <v>-1201837.3683243999</v>
      </c>
      <c r="C728" s="2606">
        <f>'Part VI-Pro Forma'!C21</f>
        <v>-1237892.4893741319</v>
      </c>
      <c r="D728" s="2606">
        <f>'Part VI-Pro Forma'!D21</f>
        <v>-1275029.2640553559</v>
      </c>
      <c r="E728" s="2606">
        <f>'Part VI-Pro Forma'!E21</f>
        <v>-1313280.1419770166</v>
      </c>
      <c r="F728" s="2606">
        <f>'Part VI-Pro Forma'!F21</f>
        <v>-1352678.5462363269</v>
      </c>
      <c r="G728" s="2606">
        <f>'Part VI-Pro Forma'!G21</f>
        <v>-1393258.9026234166</v>
      </c>
      <c r="H728" s="2606">
        <f>'Part VI-Pro Forma'!H21</f>
        <v>-1435056.6697021192</v>
      </c>
      <c r="I728" s="2606">
        <f>'Part VI-Pro Forma'!I21</f>
        <v>-1478108.3697931829</v>
      </c>
      <c r="J728" s="2606">
        <f>'Part VI-Pro Forma'!J21</f>
        <v>-1522451.6208869782</v>
      </c>
      <c r="K728" s="2606">
        <f>'Part VI-Pro Forma'!K21</f>
        <v>-1568125.1695135876</v>
      </c>
    </row>
    <row r="729" spans="1:11">
      <c r="A729" s="357" t="s">
        <v>1050</v>
      </c>
      <c r="B729" s="2606">
        <f>'Part VI-Pro Forma'!B22</f>
        <v>-97284</v>
      </c>
      <c r="C729" s="2606">
        <f>'Part VI-Pro Forma'!C22</f>
        <v>-99230</v>
      </c>
      <c r="D729" s="2606">
        <f>'Part VI-Pro Forma'!D22</f>
        <v>-101215</v>
      </c>
      <c r="E729" s="2606">
        <f>'Part VI-Pro Forma'!E22</f>
        <v>-103239</v>
      </c>
      <c r="F729" s="2606">
        <f>'Part VI-Pro Forma'!F22</f>
        <v>-105304</v>
      </c>
      <c r="G729" s="2606">
        <f>'Part VI-Pro Forma'!G22</f>
        <v>-107410</v>
      </c>
      <c r="H729" s="2606">
        <f>'Part VI-Pro Forma'!H22</f>
        <v>-109558</v>
      </c>
      <c r="I729" s="2606">
        <f>'Part VI-Pro Forma'!I22</f>
        <v>-111749</v>
      </c>
      <c r="J729" s="2606">
        <f>'Part VI-Pro Forma'!J22</f>
        <v>-113984</v>
      </c>
      <c r="K729" s="2606">
        <f>'Part VI-Pro Forma'!K22</f>
        <v>-116264</v>
      </c>
    </row>
    <row r="730" spans="1:11">
      <c r="A730" s="357" t="s">
        <v>1128</v>
      </c>
      <c r="B730" s="2606">
        <f>'Part VI-Pro Forma'!B23</f>
        <v>-85260</v>
      </c>
      <c r="C730" s="2606">
        <f>'Part VI-Pro Forma'!C23</f>
        <v>-87817.8</v>
      </c>
      <c r="D730" s="2606">
        <f>'Part VI-Pro Forma'!D23</f>
        <v>-90452.334000000003</v>
      </c>
      <c r="E730" s="2606">
        <f>'Part VI-Pro Forma'!E23</f>
        <v>-93165.904020000002</v>
      </c>
      <c r="F730" s="2606">
        <f>'Part VI-Pro Forma'!F23</f>
        <v>-95960.881140599988</v>
      </c>
      <c r="G730" s="2606">
        <f>'Part VI-Pro Forma'!G23</f>
        <v>-98839.707574817992</v>
      </c>
      <c r="H730" s="2606">
        <f>'Part VI-Pro Forma'!H23</f>
        <v>-101804.89880206253</v>
      </c>
      <c r="I730" s="2606">
        <f>'Part VI-Pro Forma'!I23</f>
        <v>-104859.04576612441</v>
      </c>
      <c r="J730" s="2606">
        <f>'Part VI-Pro Forma'!J23</f>
        <v>-108004.81713910814</v>
      </c>
      <c r="K730" s="2606">
        <f>'Part VI-Pro Forma'!K23</f>
        <v>-111244.96165328138</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1395169.5116756</v>
      </c>
      <c r="C732" s="2606">
        <f t="shared" ref="C732:J732" si="377">SUM(C727:C731)</f>
        <v>1410201.6082258683</v>
      </c>
      <c r="D732" s="2606">
        <f t="shared" si="377"/>
        <v>1425148.1374966439</v>
      </c>
      <c r="E732" s="2606">
        <f t="shared" si="377"/>
        <v>1439996.5842660232</v>
      </c>
      <c r="F732" s="2606">
        <f t="shared" si="377"/>
        <v>1454731.8354913737</v>
      </c>
      <c r="G732" s="2606">
        <f t="shared" si="377"/>
        <v>1469340.1579274316</v>
      </c>
      <c r="H732" s="2606">
        <f t="shared" si="377"/>
        <v>1483806.1749839988</v>
      </c>
      <c r="I732" s="2606">
        <f t="shared" si="377"/>
        <v>1498113.8427986356</v>
      </c>
      <c r="J732" s="2606">
        <f t="shared" si="377"/>
        <v>1512246.425499016</v>
      </c>
      <c r="K732" s="2606">
        <f>SUM(K727:K731)</f>
        <v>1526186.4696287357</v>
      </c>
    </row>
    <row r="733" spans="1:11">
      <c r="A733" s="357" t="s">
        <v>1486</v>
      </c>
      <c r="B733" s="2606">
        <f>'Part VI-Pro Forma'!B26</f>
        <v>-1102880.0648455757</v>
      </c>
      <c r="C733" s="2606">
        <f>'Part VI-Pro Forma'!C26</f>
        <v>-1102880.0648455757</v>
      </c>
      <c r="D733" s="2606">
        <f>'Part VI-Pro Forma'!D26</f>
        <v>-1102880.0648455757</v>
      </c>
      <c r="E733" s="2606">
        <f>'Part VI-Pro Forma'!E26</f>
        <v>-1102880.0648455757</v>
      </c>
      <c r="F733" s="2606">
        <f>'Part VI-Pro Forma'!F26</f>
        <v>-1102880.0648455757</v>
      </c>
      <c r="G733" s="2606">
        <f>'Part VI-Pro Forma'!G26</f>
        <v>-1102880.0648455757</v>
      </c>
      <c r="H733" s="2606">
        <f>'Part VI-Pro Forma'!H26</f>
        <v>-1102880.0648455757</v>
      </c>
      <c r="I733" s="2606">
        <f>'Part VI-Pro Forma'!I26</f>
        <v>-1102880.0648455757</v>
      </c>
      <c r="J733" s="2606">
        <f>'Part VI-Pro Forma'!J26</f>
        <v>-1102880.0648455757</v>
      </c>
      <c r="K733" s="2606">
        <f>'Part VI-Pro Forma'!K26</f>
        <v>-1102880.0648455757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3363</v>
      </c>
      <c r="B739" s="2606">
        <f>'Part VI-Pro Forma'!B32</f>
        <v>0</v>
      </c>
      <c r="C739" s="2606">
        <f>'Part VI-Pro Forma'!C32</f>
        <v>-78929</v>
      </c>
      <c r="D739" s="2606">
        <f>'Part VI-Pro Forma'!D32</f>
        <v>-171741</v>
      </c>
      <c r="E739" s="2606">
        <f>'Part VI-Pro Forma'!E32</f>
        <v>-182953</v>
      </c>
      <c r="F739" s="2606">
        <f>'Part VI-Pro Forma'!F32</f>
        <v>-114256</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284789.44683002424</v>
      </c>
      <c r="C740" s="2606">
        <f t="shared" si="378"/>
        <v>220892.5433802926</v>
      </c>
      <c r="D740" s="2606">
        <f t="shared" si="378"/>
        <v>143027.07265106821</v>
      </c>
      <c r="E740" s="2606">
        <f t="shared" si="378"/>
        <v>146663.51942044753</v>
      </c>
      <c r="F740" s="2606">
        <f t="shared" si="378"/>
        <v>230095.77064579795</v>
      </c>
      <c r="G740" s="2606">
        <f t="shared" si="378"/>
        <v>358960.09308185591</v>
      </c>
      <c r="H740" s="2606">
        <f t="shared" si="378"/>
        <v>373426.11013842304</v>
      </c>
      <c r="I740" s="2606">
        <f t="shared" si="378"/>
        <v>387733.77795305988</v>
      </c>
      <c r="J740" s="2606">
        <f t="shared" si="378"/>
        <v>401866.36065344024</v>
      </c>
      <c r="K740" s="2606">
        <f t="shared" si="378"/>
        <v>415806.40478315996</v>
      </c>
    </row>
    <row r="741" spans="1:11">
      <c r="A741" s="357" t="str">
        <f>IF('Part II-Sources of Funds'!$E$40 = "Neither", "", "DCR Mortgage A")</f>
        <v>DCR Mortgage A</v>
      </c>
      <c r="B741" s="2607">
        <f t="shared" ref="B741:K741" si="379">IF(B733=0,"",-B732/B733)</f>
        <v>1.2650237828634161</v>
      </c>
      <c r="C741" s="2607">
        <f t="shared" si="379"/>
        <v>1.2786536389369985</v>
      </c>
      <c r="D741" s="2607">
        <f t="shared" si="379"/>
        <v>1.2922059097116712</v>
      </c>
      <c r="E741" s="2607">
        <f t="shared" si="379"/>
        <v>1.3056692474241525</v>
      </c>
      <c r="F741" s="2607">
        <f t="shared" si="379"/>
        <v>1.3190299488231878</v>
      </c>
      <c r="G741" s="2607">
        <f t="shared" si="379"/>
        <v>1.3322755617431232</v>
      </c>
      <c r="H741" s="2607">
        <f t="shared" si="379"/>
        <v>1.3453921439696708</v>
      </c>
      <c r="I741" s="2607">
        <f t="shared" si="379"/>
        <v>1.3583651482615202</v>
      </c>
      <c r="J741" s="2607">
        <f t="shared" si="379"/>
        <v>1.3711793999202981</v>
      </c>
      <c r="K741" s="2607">
        <f t="shared" si="379"/>
        <v>1.3838190736020157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1.2650237828634161</v>
      </c>
      <c r="C745" s="2607">
        <f t="shared" si="383"/>
        <v>1.2786536389369985</v>
      </c>
      <c r="D745" s="2607">
        <f t="shared" si="383"/>
        <v>1.2922059097116712</v>
      </c>
      <c r="E745" s="2607">
        <f t="shared" si="383"/>
        <v>1.3056692474241525</v>
      </c>
      <c r="F745" s="2607">
        <f t="shared" si="383"/>
        <v>1.3190299488231878</v>
      </c>
      <c r="G745" s="2607">
        <f t="shared" si="383"/>
        <v>1.3322755617431232</v>
      </c>
      <c r="H745" s="2607">
        <f t="shared" si="383"/>
        <v>1.3453921439696708</v>
      </c>
      <c r="I745" s="2607">
        <f t="shared" si="383"/>
        <v>1.3583651482615202</v>
      </c>
      <c r="J745" s="2607">
        <f t="shared" si="383"/>
        <v>1.3711793999202981</v>
      </c>
      <c r="K745" s="2607">
        <f t="shared" si="383"/>
        <v>1.3838190736020157</v>
      </c>
    </row>
    <row r="746" spans="1:11">
      <c r="A746" s="357" t="s">
        <v>718</v>
      </c>
      <c r="B746" s="2608">
        <f t="shared" ref="B746:K746" si="384">IF(OR(B729="Choose mgt fee",B729="Choose One!"),"",(B722+B723+B724+B725+B726) / -(B728+B729+B730))</f>
        <v>2.0077927539318572</v>
      </c>
      <c r="C746" s="2608">
        <f t="shared" si="384"/>
        <v>1.9896566324510783</v>
      </c>
      <c r="D746" s="2608">
        <f t="shared" si="384"/>
        <v>1.9716720822740028</v>
      </c>
      <c r="E746" s="2608">
        <f t="shared" si="384"/>
        <v>1.9538390726491099</v>
      </c>
      <c r="F746" s="2608">
        <f t="shared" si="384"/>
        <v>1.9361549525306572</v>
      </c>
      <c r="G746" s="2608">
        <f t="shared" si="384"/>
        <v>1.9186197239321703</v>
      </c>
      <c r="H746" s="2608">
        <f t="shared" si="384"/>
        <v>1.9012321059400905</v>
      </c>
      <c r="I746" s="2608">
        <f t="shared" si="384"/>
        <v>1.8839908724812895</v>
      </c>
      <c r="J746" s="2608">
        <f t="shared" si="384"/>
        <v>1.8668948463555406</v>
      </c>
      <c r="K746" s="2608">
        <f t="shared" si="384"/>
        <v>1.8499428937881481</v>
      </c>
    </row>
    <row r="747" spans="1:11">
      <c r="A747" s="357" t="s">
        <v>2405</v>
      </c>
      <c r="B747" s="2606">
        <f>'Part VI-Pro Forma'!B40</f>
        <v>18906637.028557263</v>
      </c>
      <c r="C747" s="2606">
        <f>'Part VI-Pro Forma'!C40</f>
        <v>18745427.716430735</v>
      </c>
      <c r="D747" s="2606">
        <f>'Part VI-Pro Forma'!D40</f>
        <v>18575970.629939605</v>
      </c>
      <c r="E747" s="2606">
        <f>'Part VI-Pro Forma'!E40</f>
        <v>18397843.797294077</v>
      </c>
      <c r="F747" s="2606">
        <f>'Part VI-Pro Forma'!F40</f>
        <v>18210603.657826744</v>
      </c>
      <c r="G747" s="2606">
        <f>'Part VI-Pro Forma'!G40</f>
        <v>18013783.95746462</v>
      </c>
      <c r="H747" s="2606">
        <f>'Part VI-Pro Forma'!H40</f>
        <v>17806894.587691456</v>
      </c>
      <c r="I747" s="2606">
        <f>'Part VI-Pro Forma'!I40</f>
        <v>17589420.365109142</v>
      </c>
      <c r="J747" s="2606">
        <f>'Part VI-Pro Forma'!J40</f>
        <v>17360819.748559162</v>
      </c>
      <c r="K747" s="2606">
        <f>'Part VI-Pro Forma'!K40</f>
        <v>17120523.490609549</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547879.11845102161</v>
      </c>
      <c r="C751" s="2606">
        <f>'Part VI-Pro Forma'!C44</f>
        <v>468950.11845102161</v>
      </c>
      <c r="D751" s="2606">
        <f>'Part VI-Pro Forma'!D44</f>
        <v>297209.11845102161</v>
      </c>
      <c r="E751" s="2606">
        <f>'Part VI-Pro Forma'!E44</f>
        <v>114256.11845102161</v>
      </c>
      <c r="F751" s="2606">
        <f>'Part VI-Pro Forma'!F44</f>
        <v>0.11845102161169052</v>
      </c>
      <c r="G751" s="2606">
        <f>'Part VI-Pro Forma'!G44</f>
        <v>0.11845102161169052</v>
      </c>
      <c r="H751" s="2606">
        <f>'Part VI-Pro Forma'!H44</f>
        <v>0.11845102161169052</v>
      </c>
      <c r="I751" s="2606">
        <f>'Part VI-Pro Forma'!I44</f>
        <v>0.11845102161169052</v>
      </c>
      <c r="J751" s="2606">
        <f>'Part VI-Pro Forma'!J44</f>
        <v>0.11845102161169052</v>
      </c>
      <c r="K751" s="2606">
        <f>'Part VI-Pro Forma'!K44</f>
        <v>0.11845102161169052</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3363839.4818639322</v>
      </c>
      <c r="C754" s="2606">
        <f>'Part VI-Pro Forma'!C47</f>
        <v>3431116.2715012101</v>
      </c>
      <c r="D754" s="2606">
        <f>'Part VI-Pro Forma'!D47</f>
        <v>3499738.5969312349</v>
      </c>
      <c r="E754" s="2606">
        <f>'Part VI-Pro Forma'!E47</f>
        <v>3569733.3688698593</v>
      </c>
      <c r="F754" s="2606">
        <f>'Part VI-Pro Forma'!F47</f>
        <v>3641128.0362472571</v>
      </c>
      <c r="G754" s="2606">
        <f>'Part VI-Pro Forma'!G47</f>
        <v>3713950.596972201</v>
      </c>
      <c r="H754" s="2606">
        <f>'Part VI-Pro Forma'!H47</f>
        <v>3788229.6089116456</v>
      </c>
      <c r="I754" s="2606">
        <f>'Part VI-Pro Forma'!I47</f>
        <v>3863994.201089879</v>
      </c>
      <c r="J754" s="2606">
        <f>'Part VI-Pro Forma'!J47</f>
        <v>3941274.0851116762</v>
      </c>
      <c r="K754" s="2606">
        <f>'Part VI-Pro Forma'!K47</f>
        <v>4020099.5668139094</v>
      </c>
    </row>
    <row r="755" spans="1:11">
      <c r="A755" s="357" t="s">
        <v>952</v>
      </c>
      <c r="B755" s="2606">
        <f>'Part VI-Pro Forma'!B48</f>
        <v>67276.789637278649</v>
      </c>
      <c r="C755" s="2606">
        <f>'Part VI-Pro Forma'!C48</f>
        <v>68622.325430024212</v>
      </c>
      <c r="D755" s="2606">
        <f>'Part VI-Pro Forma'!D48</f>
        <v>69994.771938624704</v>
      </c>
      <c r="E755" s="2606">
        <f>'Part VI-Pro Forma'!E48</f>
        <v>71394.667377397185</v>
      </c>
      <c r="F755" s="2606">
        <f>'Part VI-Pro Forma'!F48</f>
        <v>72822.560724945142</v>
      </c>
      <c r="G755" s="2606">
        <f>'Part VI-Pro Forma'!G48</f>
        <v>74279.011939444026</v>
      </c>
      <c r="H755" s="2606">
        <f>'Part VI-Pro Forma'!H48</f>
        <v>75764.59217823291</v>
      </c>
      <c r="I755" s="2606">
        <f>'Part VI-Pro Forma'!I48</f>
        <v>77279.884021797581</v>
      </c>
      <c r="J755" s="2606">
        <f>'Part VI-Pro Forma'!J48</f>
        <v>78825.481702233519</v>
      </c>
      <c r="K755" s="2606">
        <f>'Part VI-Pro Forma'!K48</f>
        <v>80401.991336278195</v>
      </c>
    </row>
    <row r="756" spans="1:11">
      <c r="A756" s="357" t="s">
        <v>2216</v>
      </c>
      <c r="B756" s="2606">
        <f>'Part VI-Pro Forma'!B49</f>
        <v>-171555.81357506057</v>
      </c>
      <c r="C756" s="2606">
        <f>'Part VI-Pro Forma'!C49</f>
        <v>-174986.92984656175</v>
      </c>
      <c r="D756" s="2606">
        <f>'Part VI-Pro Forma'!D49</f>
        <v>-178486.66844349299</v>
      </c>
      <c r="E756" s="2606">
        <f>'Part VI-Pro Forma'!E49</f>
        <v>-182056.40181236283</v>
      </c>
      <c r="F756" s="2606">
        <f>'Part VI-Pro Forma'!F49</f>
        <v>-185697.52984861014</v>
      </c>
      <c r="G756" s="2606">
        <f>'Part VI-Pro Forma'!G49</f>
        <v>-189411.48044558227</v>
      </c>
      <c r="H756" s="2606">
        <f>'Part VI-Pro Forma'!H49</f>
        <v>-193199.71005449395</v>
      </c>
      <c r="I756" s="2606">
        <f>'Part VI-Pro Forma'!I49</f>
        <v>-197063.70425558384</v>
      </c>
      <c r="J756" s="2606">
        <f>'Part VI-Pro Forma'!J49</f>
        <v>-201004.9783406955</v>
      </c>
      <c r="K756" s="2606">
        <f>'Part VI-Pro Forma'!K49</f>
        <v>-205025.0779075094</v>
      </c>
    </row>
    <row r="757" spans="1:11">
      <c r="A757" s="357" t="s">
        <v>47</v>
      </c>
      <c r="B757" s="2606">
        <f>'Part VI-Pro Forma'!B50</f>
        <v>128696.55488536648</v>
      </c>
      <c r="C757" s="2606">
        <f>'Part VI-Pro Forma'!C50</f>
        <v>131270.4859830738</v>
      </c>
      <c r="D757" s="2606">
        <f>'Part VI-Pro Forma'!D50</f>
        <v>133895.89570273529</v>
      </c>
      <c r="E757" s="2606">
        <f>'Part VI-Pro Forma'!E50</f>
        <v>136573.81361678999</v>
      </c>
      <c r="F757" s="2606">
        <f>'Part VI-Pro Forma'!F50</f>
        <v>139305.28988912579</v>
      </c>
      <c r="G757" s="2606">
        <f>'Part VI-Pro Forma'!G50</f>
        <v>142091.3956869083</v>
      </c>
      <c r="H757" s="2606">
        <f>'Part VI-Pro Forma'!H50</f>
        <v>144933.22360064648</v>
      </c>
      <c r="I757" s="2606">
        <f>'Part VI-Pro Forma'!I50</f>
        <v>147831.88807265941</v>
      </c>
      <c r="J757" s="2606">
        <f>'Part VI-Pro Forma'!J50</f>
        <v>150788.5258341126</v>
      </c>
      <c r="K757" s="2606">
        <f>'Part VI-Pro Forma'!K50</f>
        <v>153804.29635079484</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3388257.0128115169</v>
      </c>
      <c r="C759" s="2606">
        <f>'Part VI-Pro Forma'!C52</f>
        <v>3456022.1530677462</v>
      </c>
      <c r="D759" s="2606">
        <f>'Part VI-Pro Forma'!D52</f>
        <v>3525142.5961291017</v>
      </c>
      <c r="E759" s="2606">
        <f>'Part VI-Pro Forma'!E52</f>
        <v>3595645.4480516831</v>
      </c>
      <c r="F759" s="2606">
        <f>'Part VI-Pro Forma'!F52</f>
        <v>3667558.357012718</v>
      </c>
      <c r="G759" s="2606">
        <f>'Part VI-Pro Forma'!G52</f>
        <v>3740909.5241529709</v>
      </c>
      <c r="H759" s="2606">
        <f>'Part VI-Pro Forma'!H52</f>
        <v>3815727.7146360311</v>
      </c>
      <c r="I759" s="2606">
        <f>'Part VI-Pro Forma'!I52</f>
        <v>3892042.2689287523</v>
      </c>
      <c r="J759" s="2606">
        <f>'Part VI-Pro Forma'!J52</f>
        <v>3969883.1143073267</v>
      </c>
      <c r="K759" s="2606">
        <f>'Part VI-Pro Forma'!K52</f>
        <v>4049280.7765934728</v>
      </c>
    </row>
    <row r="760" spans="1:11">
      <c r="A760" s="357" t="s">
        <v>572</v>
      </c>
      <c r="B760" s="2606">
        <f>'Part VI-Pro Forma'!B53</f>
        <v>-1615168.9245989954</v>
      </c>
      <c r="C760" s="2606">
        <f>'Part VI-Pro Forma'!C53</f>
        <v>-1663623.9923369652</v>
      </c>
      <c r="D760" s="2606">
        <f>'Part VI-Pro Forma'!D53</f>
        <v>-1713532.712107074</v>
      </c>
      <c r="E760" s="2606">
        <f>'Part VI-Pro Forma'!E53</f>
        <v>-1764938.693470286</v>
      </c>
      <c r="F760" s="2606">
        <f>'Part VI-Pro Forma'!F53</f>
        <v>-1817886.8542743947</v>
      </c>
      <c r="G760" s="2606">
        <f>'Part VI-Pro Forma'!G53</f>
        <v>-1872423.4599026267</v>
      </c>
      <c r="H760" s="2606">
        <f>'Part VI-Pro Forma'!H53</f>
        <v>-1928596.1636997052</v>
      </c>
      <c r="I760" s="2606">
        <f>'Part VI-Pro Forma'!I53</f>
        <v>-1986454.0486106963</v>
      </c>
      <c r="J760" s="2606">
        <f>'Part VI-Pro Forma'!J53</f>
        <v>-2046047.6700690172</v>
      </c>
      <c r="K760" s="2606">
        <f>'Part VI-Pro Forma'!K53</f>
        <v>-2107429.1001710878</v>
      </c>
    </row>
    <row r="761" spans="1:11">
      <c r="A761" s="357" t="s">
        <v>1050</v>
      </c>
      <c r="B761" s="2606">
        <f>'Part VI-Pro Forma'!B54</f>
        <v>-118589</v>
      </c>
      <c r="C761" s="2606">
        <f>'Part VI-Pro Forma'!C54</f>
        <v>-120961</v>
      </c>
      <c r="D761" s="2606">
        <f>'Part VI-Pro Forma'!D54</f>
        <v>-123380</v>
      </c>
      <c r="E761" s="2606">
        <f>'Part VI-Pro Forma'!E54</f>
        <v>-125848</v>
      </c>
      <c r="F761" s="2606">
        <f>'Part VI-Pro Forma'!F54</f>
        <v>-128365</v>
      </c>
      <c r="G761" s="2606">
        <f>'Part VI-Pro Forma'!G54</f>
        <v>-130932</v>
      </c>
      <c r="H761" s="2606">
        <f>'Part VI-Pro Forma'!H54</f>
        <v>-133550</v>
      </c>
      <c r="I761" s="2606">
        <f>'Part VI-Pro Forma'!I54</f>
        <v>-136221</v>
      </c>
      <c r="J761" s="2606">
        <f>'Part VI-Pro Forma'!J54</f>
        <v>-138946</v>
      </c>
      <c r="K761" s="2606">
        <f>'Part VI-Pro Forma'!K54</f>
        <v>-141725</v>
      </c>
    </row>
    <row r="762" spans="1:11">
      <c r="A762" s="357" t="s">
        <v>1128</v>
      </c>
      <c r="B762" s="2606">
        <f>'Part VI-Pro Forma'!B55</f>
        <v>-114582.31050287982</v>
      </c>
      <c r="C762" s="2606">
        <f>'Part VI-Pro Forma'!C55</f>
        <v>-118019.77981796622</v>
      </c>
      <c r="D762" s="2606">
        <f>'Part VI-Pro Forma'!D55</f>
        <v>-121560.37321250519</v>
      </c>
      <c r="E762" s="2606">
        <f>'Part VI-Pro Forma'!E55</f>
        <v>-125207.18440888033</v>
      </c>
      <c r="F762" s="2606">
        <f>'Part VI-Pro Forma'!F55</f>
        <v>-128963.39994114677</v>
      </c>
      <c r="G762" s="2606">
        <f>'Part VI-Pro Forma'!G55</f>
        <v>-132832.30193938117</v>
      </c>
      <c r="H762" s="2606">
        <f>'Part VI-Pro Forma'!H55</f>
        <v>-136817.27099756259</v>
      </c>
      <c r="I762" s="2606">
        <f>'Part VI-Pro Forma'!I55</f>
        <v>-140921.78912748946</v>
      </c>
      <c r="J762" s="2606">
        <f>'Part VI-Pro Forma'!J55</f>
        <v>-145149.44280131414</v>
      </c>
      <c r="K762" s="2606">
        <f>'Part VI-Pro Forma'!K55</f>
        <v>-149503.92608535357</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1539916.7777096417</v>
      </c>
      <c r="C764" s="2606">
        <f t="shared" si="386"/>
        <v>1553417.3809128148</v>
      </c>
      <c r="D764" s="2606">
        <f t="shared" si="386"/>
        <v>1566669.5108095226</v>
      </c>
      <c r="E764" s="2606">
        <f t="shared" si="386"/>
        <v>1579651.5701725169</v>
      </c>
      <c r="F764" s="2606">
        <f t="shared" si="386"/>
        <v>1592343.1027971765</v>
      </c>
      <c r="G764" s="2606">
        <f t="shared" si="386"/>
        <v>1604721.7623109631</v>
      </c>
      <c r="H764" s="2606">
        <f t="shared" si="386"/>
        <v>1616764.2799387632</v>
      </c>
      <c r="I764" s="2606">
        <f t="shared" si="386"/>
        <v>1628445.4311905664</v>
      </c>
      <c r="J764" s="2606">
        <f t="shared" si="386"/>
        <v>1639740.0014369953</v>
      </c>
      <c r="K764" s="2606">
        <f t="shared" si="386"/>
        <v>1650622.7503370314</v>
      </c>
    </row>
    <row r="765" spans="1:11">
      <c r="A765" s="357" t="str">
        <f>$A733</f>
        <v>Mortgage A</v>
      </c>
      <c r="B765" s="2606">
        <f>'Part VI-Pro Forma'!B58</f>
        <v>-1102880.0648455757</v>
      </c>
      <c r="C765" s="2606">
        <f>'Part VI-Pro Forma'!C58</f>
        <v>-1102880.0648455757</v>
      </c>
      <c r="D765" s="2606">
        <f>'Part VI-Pro Forma'!D58</f>
        <v>-1102880.0648455757</v>
      </c>
      <c r="E765" s="2606">
        <f>'Part VI-Pro Forma'!E58</f>
        <v>-1102880.0648455757</v>
      </c>
      <c r="F765" s="2606">
        <f>'Part VI-Pro Forma'!F58</f>
        <v>-1102880.0648455757</v>
      </c>
      <c r="G765" s="2606">
        <f>'Part VI-Pro Forma'!G58</f>
        <v>-1102880.0648455757</v>
      </c>
      <c r="H765" s="2606">
        <f>'Part VI-Pro Forma'!H58</f>
        <v>-1102880.0648455757</v>
      </c>
      <c r="I765" s="2606">
        <f>'Part VI-Pro Forma'!I58</f>
        <v>-1102880.0648455757</v>
      </c>
      <c r="J765" s="2606">
        <f>'Part VI-Pro Forma'!J58</f>
        <v>-1102880.0648455757</v>
      </c>
      <c r="K765" s="2606">
        <f>'Part VI-Pro Forma'!K58</f>
        <v>-1102880.0648455757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429536.71286406601</v>
      </c>
      <c r="C772" s="2606">
        <f t="shared" si="387"/>
        <v>443037.31606723904</v>
      </c>
      <c r="D772" s="2606">
        <f t="shared" si="387"/>
        <v>456289.44596394687</v>
      </c>
      <c r="E772" s="2606">
        <f t="shared" si="387"/>
        <v>469271.50532694114</v>
      </c>
      <c r="F772" s="2606">
        <f t="shared" si="387"/>
        <v>481963.03795160074</v>
      </c>
      <c r="G772" s="2606">
        <f t="shared" si="387"/>
        <v>494341.69746538741</v>
      </c>
      <c r="H772" s="2606">
        <f t="shared" si="387"/>
        <v>506384.21509318752</v>
      </c>
      <c r="I772" s="2606">
        <f t="shared" si="387"/>
        <v>518065.36634499067</v>
      </c>
      <c r="J772" s="2606">
        <f t="shared" si="387"/>
        <v>529359.93659141962</v>
      </c>
      <c r="K772" s="2606">
        <f t="shared" si="387"/>
        <v>540242.68549145572</v>
      </c>
    </row>
    <row r="773" spans="1:11">
      <c r="A773" s="357" t="str">
        <f>$A741</f>
        <v>DCR Mortgage A</v>
      </c>
      <c r="B773" s="2607">
        <f t="shared" ref="B773:K773" si="388">IF(B765=0,"",-B764/B765)</f>
        <v>1.3962685760624929</v>
      </c>
      <c r="C773" s="2607">
        <f t="shared" si="388"/>
        <v>1.4085098012269566</v>
      </c>
      <c r="D773" s="2607">
        <f t="shared" si="388"/>
        <v>1.4205257314437778</v>
      </c>
      <c r="E773" s="2607">
        <f t="shared" si="388"/>
        <v>1.4322967841418897</v>
      </c>
      <c r="F773" s="2607">
        <f t="shared" si="388"/>
        <v>1.443804411334731</v>
      </c>
      <c r="G773" s="2607">
        <f t="shared" si="388"/>
        <v>1.4550283511885356</v>
      </c>
      <c r="H773" s="2607">
        <f t="shared" si="388"/>
        <v>1.4659475055115274</v>
      </c>
      <c r="I773" s="2607">
        <f t="shared" si="388"/>
        <v>1.476539002832171</v>
      </c>
      <c r="J773" s="2607">
        <f t="shared" si="388"/>
        <v>1.4867799806197333</v>
      </c>
      <c r="K773" s="2607">
        <f t="shared" si="388"/>
        <v>1.4966475530303018</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1.3962685760624929</v>
      </c>
      <c r="C777" s="2607">
        <f t="shared" si="392"/>
        <v>1.4085098012269566</v>
      </c>
      <c r="D777" s="2607">
        <f t="shared" si="392"/>
        <v>1.4205257314437778</v>
      </c>
      <c r="E777" s="2607">
        <f t="shared" si="392"/>
        <v>1.4322967841418897</v>
      </c>
      <c r="F777" s="2607">
        <f t="shared" si="392"/>
        <v>1.443804411334731</v>
      </c>
      <c r="G777" s="2607">
        <f t="shared" si="392"/>
        <v>1.4550283511885356</v>
      </c>
      <c r="H777" s="2607">
        <f t="shared" si="392"/>
        <v>1.4659475055115274</v>
      </c>
      <c r="I777" s="2607">
        <f t="shared" si="392"/>
        <v>1.476539002832171</v>
      </c>
      <c r="J777" s="2607">
        <f t="shared" si="392"/>
        <v>1.4867799806197333</v>
      </c>
      <c r="K777" s="2607">
        <f t="shared" si="392"/>
        <v>1.4966475530303018</v>
      </c>
    </row>
    <row r="778" spans="1:11">
      <c r="A778" s="357" t="s">
        <v>718</v>
      </c>
      <c r="B778" s="2608">
        <f t="shared" ref="B778:K778" si="393">IF(OR(B761="Choose mgt fee",B761="Choose One!"),"",(B754+B755+B756+B757+B758) / -(B760+B761+B762))</f>
        <v>1.8331349112382256</v>
      </c>
      <c r="C778" s="2608">
        <f t="shared" si="393"/>
        <v>1.8164687714692214</v>
      </c>
      <c r="D778" s="2608">
        <f t="shared" si="393"/>
        <v>1.7999443661253467</v>
      </c>
      <c r="E778" s="2608">
        <f t="shared" si="393"/>
        <v>1.7835597059621613</v>
      </c>
      <c r="F778" s="2608">
        <f t="shared" si="393"/>
        <v>1.7673146675086016</v>
      </c>
      <c r="G778" s="2608">
        <f t="shared" si="393"/>
        <v>1.7512081994736417</v>
      </c>
      <c r="H778" s="2608">
        <f t="shared" si="393"/>
        <v>1.7352392742998677</v>
      </c>
      <c r="I778" s="2608">
        <f t="shared" si="393"/>
        <v>1.7194061257029007</v>
      </c>
      <c r="J778" s="2608">
        <f t="shared" si="393"/>
        <v>1.703707850552201</v>
      </c>
      <c r="K778" s="2608">
        <f t="shared" si="393"/>
        <v>1.6881442591102243</v>
      </c>
    </row>
    <row r="779" spans="1:11">
      <c r="A779" s="357" t="s">
        <v>2405</v>
      </c>
      <c r="B779" s="2606">
        <f>'Part VI-Pro Forma'!B72</f>
        <v>16867933.220049355</v>
      </c>
      <c r="C779" s="2606">
        <f>'Part VI-Pro Forma'!C72</f>
        <v>16602419.95186084</v>
      </c>
      <c r="D779" s="2606">
        <f>'Part VI-Pro Forma'!D72</f>
        <v>16323322.520959018</v>
      </c>
      <c r="E779" s="2606">
        <f>'Part VI-Pro Forma'!E72</f>
        <v>16029945.935798345</v>
      </c>
      <c r="F779" s="2606">
        <f>'Part VI-Pro Forma'!F72</f>
        <v>15721559.647746788</v>
      </c>
      <c r="G779" s="2606">
        <f>'Part VI-Pro Forma'!G72</f>
        <v>15397395.731917812</v>
      </c>
      <c r="H779" s="2606">
        <f>'Part VI-Pro Forma'!H72</f>
        <v>15056646.974930251</v>
      </c>
      <c r="I779" s="2606">
        <f>'Part VI-Pro Forma'!I72</f>
        <v>14698464.864834365</v>
      </c>
      <c r="J779" s="2606">
        <f>'Part VI-Pro Forma'!J72</f>
        <v>14321957.478198688</v>
      </c>
      <c r="K779" s="2606">
        <f>'Part VI-Pro Forma'!K72</f>
        <v>13926187.259096241</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0.11845102161169052</v>
      </c>
      <c r="C783" s="2606">
        <f>'Part VI-Pro Forma'!C76</f>
        <v>0.11845102161169052</v>
      </c>
      <c r="D783" s="2606">
        <f>'Part VI-Pro Forma'!D76</f>
        <v>0.11845102161169052</v>
      </c>
      <c r="E783" s="2606">
        <f>'Part VI-Pro Forma'!E76</f>
        <v>0.11845102161169052</v>
      </c>
      <c r="F783" s="2606">
        <f>'Part VI-Pro Forma'!F76</f>
        <v>0.11845102161169052</v>
      </c>
      <c r="G783" s="2606">
        <f>'Part VI-Pro Forma'!G76</f>
        <v>0.11845102161169052</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4100501.5581501881</v>
      </c>
      <c r="C786" s="2606">
        <f>'Part VI-Pro Forma'!C79</f>
        <v>4182511.5893131914</v>
      </c>
      <c r="D786" s="2606">
        <f>'Part VI-Pro Forma'!D79</f>
        <v>4266161.8210994555</v>
      </c>
      <c r="E786" s="2606">
        <f>'Part VI-Pro Forma'!E79</f>
        <v>4351485.0575214438</v>
      </c>
      <c r="F786" s="2606">
        <f>'Part VI-Pro Forma'!F79</f>
        <v>4438514.7586718732</v>
      </c>
      <c r="G786" s="2606">
        <f>'Part VI-Pro Forma'!G79</f>
        <v>4527285.0538453106</v>
      </c>
      <c r="H786" s="2606">
        <f>'Part VI-Pro Forma'!H79</f>
        <v>4617830.7549222168</v>
      </c>
      <c r="I786" s="2606">
        <f>'Part VI-Pro Forma'!I79</f>
        <v>4710187.3700206606</v>
      </c>
      <c r="J786" s="2606">
        <f>'Part VI-Pro Forma'!J79</f>
        <v>4804391.1174210748</v>
      </c>
      <c r="K786" s="2606">
        <f>'Part VI-Pro Forma'!K79</f>
        <v>4900478.9397694953</v>
      </c>
    </row>
    <row r="787" spans="1:11">
      <c r="A787" s="357" t="s">
        <v>952</v>
      </c>
      <c r="B787" s="2606">
        <f>'Part VI-Pro Forma'!B80</f>
        <v>82010.031163003761</v>
      </c>
      <c r="C787" s="2606">
        <f>'Part VI-Pro Forma'!C80</f>
        <v>83650.23178626383</v>
      </c>
      <c r="D787" s="2606">
        <f>'Part VI-Pro Forma'!D80</f>
        <v>85323.236421989117</v>
      </c>
      <c r="E787" s="2606">
        <f>'Part VI-Pro Forma'!E80</f>
        <v>87029.701150428882</v>
      </c>
      <c r="F787" s="2606">
        <f>'Part VI-Pro Forma'!F80</f>
        <v>88770.295173437466</v>
      </c>
      <c r="G787" s="2606">
        <f>'Part VI-Pro Forma'!G80</f>
        <v>90545.701076906218</v>
      </c>
      <c r="H787" s="2606">
        <f>'Part VI-Pro Forma'!H80</f>
        <v>92356.615098444352</v>
      </c>
      <c r="I787" s="2606">
        <f>'Part VI-Pro Forma'!I80</f>
        <v>94203.747400413209</v>
      </c>
      <c r="J787" s="2606">
        <f>'Part VI-Pro Forma'!J80</f>
        <v>96087.822348421498</v>
      </c>
      <c r="K787" s="2606">
        <f>'Part VI-Pro Forma'!K80</f>
        <v>98009.578795389913</v>
      </c>
    </row>
    <row r="788" spans="1:11">
      <c r="A788" s="357" t="s">
        <v>2216</v>
      </c>
      <c r="B788" s="2606">
        <f>'Part VI-Pro Forma'!B81</f>
        <v>-209125.5794656596</v>
      </c>
      <c r="C788" s="2606">
        <f>'Part VI-Pro Forma'!C81</f>
        <v>-213308.09105497279</v>
      </c>
      <c r="D788" s="2606">
        <f>'Part VI-Pro Forma'!D81</f>
        <v>-217574.25287607225</v>
      </c>
      <c r="E788" s="2606">
        <f>'Part VI-Pro Forma'!E81</f>
        <v>-221925.73793359363</v>
      </c>
      <c r="F788" s="2606">
        <f>'Part VI-Pro Forma'!F81</f>
        <v>-226364.25269226555</v>
      </c>
      <c r="G788" s="2606">
        <f>'Part VI-Pro Forma'!G81</f>
        <v>-230891.53774611084</v>
      </c>
      <c r="H788" s="2606">
        <f>'Part VI-Pro Forma'!H81</f>
        <v>-235509.36850103308</v>
      </c>
      <c r="I788" s="2606">
        <f>'Part VI-Pro Forma'!I81</f>
        <v>-240219.55587105372</v>
      </c>
      <c r="J788" s="2606">
        <f>'Part VI-Pro Forma'!J81</f>
        <v>-245023.94698847481</v>
      </c>
      <c r="K788" s="2606">
        <f>'Part VI-Pro Forma'!K81</f>
        <v>-249924.42592824428</v>
      </c>
    </row>
    <row r="789" spans="1:11">
      <c r="A789" s="357" t="s">
        <v>47</v>
      </c>
      <c r="B789" s="2606">
        <f>'Part VI-Pro Forma'!B82</f>
        <v>156880.38227781074</v>
      </c>
      <c r="C789" s="2606">
        <f>'Part VI-Pro Forma'!C82</f>
        <v>160017.98992336696</v>
      </c>
      <c r="D789" s="2606">
        <f>'Part VI-Pro Forma'!D82</f>
        <v>163218.3497218343</v>
      </c>
      <c r="E789" s="2606">
        <f>'Part VI-Pro Forma'!E82</f>
        <v>166482.71671627098</v>
      </c>
      <c r="F789" s="2606">
        <f>'Part VI-Pro Forma'!F82</f>
        <v>169812.37105059641</v>
      </c>
      <c r="G789" s="2606">
        <f>'Part VI-Pro Forma'!G82</f>
        <v>173208.61847160835</v>
      </c>
      <c r="H789" s="2606">
        <f>'Part VI-Pro Forma'!H82</f>
        <v>176672.79084104052</v>
      </c>
      <c r="I789" s="2606">
        <f>'Part VI-Pro Forma'!I82</f>
        <v>180206.24665786134</v>
      </c>
      <c r="J789" s="2606">
        <f>'Part VI-Pro Forma'!J82</f>
        <v>183810.37159101857</v>
      </c>
      <c r="K789" s="2606">
        <f>'Part VI-Pro Forma'!K82</f>
        <v>187486.57902283894</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4130266.392125343</v>
      </c>
      <c r="C791" s="2606">
        <f>'Part VI-Pro Forma'!C84</f>
        <v>4212871.7199678496</v>
      </c>
      <c r="D791" s="2606">
        <f>'Part VI-Pro Forma'!D84</f>
        <v>4297129.1543672066</v>
      </c>
      <c r="E791" s="2606">
        <f>'Part VI-Pro Forma'!E84</f>
        <v>4383071.7374545494</v>
      </c>
      <c r="F791" s="2606">
        <f>'Part VI-Pro Forma'!F84</f>
        <v>4470733.1722036414</v>
      </c>
      <c r="G791" s="2606">
        <f>'Part VI-Pro Forma'!G84</f>
        <v>4560147.8356477143</v>
      </c>
      <c r="H791" s="2606">
        <f>'Part VI-Pro Forma'!H84</f>
        <v>4651350.792360669</v>
      </c>
      <c r="I791" s="2606">
        <f>'Part VI-Pro Forma'!I84</f>
        <v>4744377.8082078816</v>
      </c>
      <c r="J791" s="2606">
        <f>'Part VI-Pro Forma'!J84</f>
        <v>4839265.3643720401</v>
      </c>
      <c r="K791" s="2606">
        <f>'Part VI-Pro Forma'!K84</f>
        <v>4936050.6716594798</v>
      </c>
    </row>
    <row r="792" spans="1:11">
      <c r="A792" s="357" t="s">
        <v>572</v>
      </c>
      <c r="B792" s="2606">
        <f>'Part VI-Pro Forma'!B85</f>
        <v>-2170651.9731762204</v>
      </c>
      <c r="C792" s="2606">
        <f>'Part VI-Pro Forma'!C85</f>
        <v>-2235771.5323715066</v>
      </c>
      <c r="D792" s="2606">
        <f>'Part VI-Pro Forma'!D85</f>
        <v>-2302844.678342652</v>
      </c>
      <c r="E792" s="2606">
        <f>'Part VI-Pro Forma'!E85</f>
        <v>-2371930.0186929316</v>
      </c>
      <c r="F792" s="2606">
        <f>'Part VI-Pro Forma'!F85</f>
        <v>-2443087.9192537195</v>
      </c>
      <c r="G792" s="2606">
        <f>'Part VI-Pro Forma'!G85</f>
        <v>-2516380.556831331</v>
      </c>
      <c r="H792" s="2606">
        <f>'Part VI-Pro Forma'!H85</f>
        <v>-2591871.9735362711</v>
      </c>
      <c r="I792" s="2606">
        <f>'Part VI-Pro Forma'!I85</f>
        <v>-2669628.1327423588</v>
      </c>
      <c r="J792" s="2606">
        <f>'Part VI-Pro Forma'!J85</f>
        <v>-2749716.9767246298</v>
      </c>
      <c r="K792" s="2606">
        <f>'Part VI-Pro Forma'!K85</f>
        <v>-2832208.4860263686</v>
      </c>
    </row>
    <row r="793" spans="1:11">
      <c r="A793" s="357" t="s">
        <v>1050</v>
      </c>
      <c r="B793" s="2606">
        <f>'Part VI-Pro Forma'!B86</f>
        <v>-144559</v>
      </c>
      <c r="C793" s="2606">
        <f>'Part VI-Pro Forma'!C86</f>
        <v>-147451</v>
      </c>
      <c r="D793" s="2606">
        <f>'Part VI-Pro Forma'!D86</f>
        <v>-150400</v>
      </c>
      <c r="E793" s="2606">
        <f>'Part VI-Pro Forma'!E86</f>
        <v>-153408</v>
      </c>
      <c r="F793" s="2606">
        <f>'Part VI-Pro Forma'!F86</f>
        <v>-156476</v>
      </c>
      <c r="G793" s="2606">
        <f>'Part VI-Pro Forma'!G86</f>
        <v>-159605</v>
      </c>
      <c r="H793" s="2606">
        <f>'Part VI-Pro Forma'!H86</f>
        <v>-162797</v>
      </c>
      <c r="I793" s="2606">
        <f>'Part VI-Pro Forma'!I86</f>
        <v>-166053</v>
      </c>
      <c r="J793" s="2606">
        <f>'Part VI-Pro Forma'!J86</f>
        <v>-169374</v>
      </c>
      <c r="K793" s="2606">
        <f>'Part VI-Pro Forma'!K86</f>
        <v>-172762</v>
      </c>
    </row>
    <row r="794" spans="1:11">
      <c r="A794" s="357" t="s">
        <v>1128</v>
      </c>
      <c r="B794" s="2606">
        <f>'Part VI-Pro Forma'!B87</f>
        <v>-153989.04386791418</v>
      </c>
      <c r="C794" s="2606">
        <f>'Part VI-Pro Forma'!C87</f>
        <v>-158608.71518395157</v>
      </c>
      <c r="D794" s="2606">
        <f>'Part VI-Pro Forma'!D87</f>
        <v>-163366.97663947014</v>
      </c>
      <c r="E794" s="2606">
        <f>'Part VI-Pro Forma'!E87</f>
        <v>-168267.98593865425</v>
      </c>
      <c r="F794" s="2606">
        <f>'Part VI-Pro Forma'!F87</f>
        <v>-173316.02551681385</v>
      </c>
      <c r="G794" s="2606">
        <f>'Part VI-Pro Forma'!G87</f>
        <v>-178515.50628231827</v>
      </c>
      <c r="H794" s="2606">
        <f>'Part VI-Pro Forma'!H87</f>
        <v>-183870.97147078786</v>
      </c>
      <c r="I794" s="2606">
        <f>'Part VI-Pro Forma'!I87</f>
        <v>-189387.10061491147</v>
      </c>
      <c r="J794" s="2606">
        <f>'Part VI-Pro Forma'!J87</f>
        <v>-195068.7136333588</v>
      </c>
      <c r="K794" s="2606">
        <f>'Part VI-Pro Forma'!K87</f>
        <v>-200920.77504235954</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1661066.3750812083</v>
      </c>
      <c r="C796" s="2606">
        <f t="shared" si="395"/>
        <v>1671040.4724123913</v>
      </c>
      <c r="D796" s="2606">
        <f t="shared" si="395"/>
        <v>1680517.4993850845</v>
      </c>
      <c r="E796" s="2606">
        <f t="shared" si="395"/>
        <v>1689465.7328229635</v>
      </c>
      <c r="F796" s="2606">
        <f t="shared" si="395"/>
        <v>1697853.227433108</v>
      </c>
      <c r="G796" s="2606">
        <f t="shared" si="395"/>
        <v>1705646.7725340649</v>
      </c>
      <c r="H796" s="2606">
        <f t="shared" si="395"/>
        <v>1712810.84735361</v>
      </c>
      <c r="I796" s="2606">
        <f t="shared" si="395"/>
        <v>1719309.5748506114</v>
      </c>
      <c r="J796" s="2606">
        <f t="shared" si="395"/>
        <v>1725105.6740140517</v>
      </c>
      <c r="K796" s="2606">
        <f t="shared" si="395"/>
        <v>1730159.4105907518</v>
      </c>
    </row>
    <row r="797" spans="1:11">
      <c r="A797" s="357" t="str">
        <f>$A765</f>
        <v>Mortgage A</v>
      </c>
      <c r="B797" s="2606">
        <f>'Part VI-Pro Forma'!B90</f>
        <v>-1102880.0648455757</v>
      </c>
      <c r="C797" s="2606">
        <f>'Part VI-Pro Forma'!C90</f>
        <v>-1102880.0648455757</v>
      </c>
      <c r="D797" s="2606">
        <f>'Part VI-Pro Forma'!D90</f>
        <v>-1102880.0648455757</v>
      </c>
      <c r="E797" s="2606">
        <f>'Part VI-Pro Forma'!E90</f>
        <v>-1102880.0648455757</v>
      </c>
      <c r="F797" s="2606">
        <f>'Part VI-Pro Forma'!F90</f>
        <v>-1102880.0648455757</v>
      </c>
      <c r="G797" s="2606">
        <f>'Part VI-Pro Forma'!G90</f>
        <v>-1102880.0648455757</v>
      </c>
      <c r="H797" s="2606">
        <f>'Part VI-Pro Forma'!H90</f>
        <v>-1102880.0648455757</v>
      </c>
      <c r="I797" s="2606">
        <f>'Part VI-Pro Forma'!I90</f>
        <v>-1102880.0648455757</v>
      </c>
      <c r="J797" s="2606">
        <f>'Part VI-Pro Forma'!J90</f>
        <v>-1102880.0648455757</v>
      </c>
      <c r="K797" s="2606">
        <f>'Part VI-Pro Forma'!K90</f>
        <v>-1102880.0648455757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550686.31023563258</v>
      </c>
      <c r="C803" s="2606">
        <f t="shared" si="396"/>
        <v>560660.40756681561</v>
      </c>
      <c r="D803" s="2606">
        <f t="shared" si="396"/>
        <v>570137.43453950877</v>
      </c>
      <c r="E803" s="2606">
        <f t="shared" si="396"/>
        <v>579085.66797738778</v>
      </c>
      <c r="F803" s="2606">
        <f t="shared" si="396"/>
        <v>587473.16258753231</v>
      </c>
      <c r="G803" s="2606">
        <f t="shared" si="396"/>
        <v>595266.70768848923</v>
      </c>
      <c r="H803" s="2606">
        <f t="shared" si="396"/>
        <v>602430.78250803426</v>
      </c>
      <c r="I803" s="2606">
        <f t="shared" si="396"/>
        <v>608929.51000503567</v>
      </c>
      <c r="J803" s="2606">
        <f t="shared" si="396"/>
        <v>614725.60916847596</v>
      </c>
      <c r="K803" s="2606">
        <f t="shared" si="396"/>
        <v>619779.34574517608</v>
      </c>
    </row>
    <row r="804" spans="1:11">
      <c r="A804" s="357" t="str">
        <f>$A773</f>
        <v>DCR Mortgage A</v>
      </c>
      <c r="B804" s="2607">
        <f t="shared" ref="B804:K804" si="397">IF(B797=0,"",-B796/B797)</f>
        <v>1.5061169641449539</v>
      </c>
      <c r="C804" s="2607">
        <f t="shared" si="397"/>
        <v>1.5151606468164505</v>
      </c>
      <c r="D804" s="2607">
        <f t="shared" si="397"/>
        <v>1.5237536273904715</v>
      </c>
      <c r="E804" s="2607">
        <f t="shared" si="397"/>
        <v>1.5318671419267342</v>
      </c>
      <c r="F804" s="2607">
        <f t="shared" si="397"/>
        <v>1.5394722250880832</v>
      </c>
      <c r="G804" s="2607">
        <f t="shared" si="397"/>
        <v>1.5465387641881876</v>
      </c>
      <c r="H804" s="2607">
        <f t="shared" si="397"/>
        <v>1.5530345519423603</v>
      </c>
      <c r="I804" s="2607">
        <f t="shared" si="397"/>
        <v>1.5589270580308727</v>
      </c>
      <c r="J804" s="2607">
        <f t="shared" si="397"/>
        <v>1.5641824791307652</v>
      </c>
      <c r="K804" s="2607">
        <f t="shared" si="397"/>
        <v>1.5687647875229362</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1.5061169641449539</v>
      </c>
      <c r="C808" s="2607">
        <f t="shared" si="401"/>
        <v>1.5151606468164505</v>
      </c>
      <c r="D808" s="2607">
        <f t="shared" si="401"/>
        <v>1.5237536273904715</v>
      </c>
      <c r="E808" s="2607">
        <f t="shared" si="401"/>
        <v>1.5318671419267342</v>
      </c>
      <c r="F808" s="2607">
        <f t="shared" si="401"/>
        <v>1.5394722250880832</v>
      </c>
      <c r="G808" s="2607">
        <f t="shared" si="401"/>
        <v>1.5465387641881876</v>
      </c>
      <c r="H808" s="2607">
        <f t="shared" si="401"/>
        <v>1.5530345519423603</v>
      </c>
      <c r="I808" s="2607">
        <f t="shared" si="401"/>
        <v>1.5589270580308727</v>
      </c>
      <c r="J808" s="2607">
        <f t="shared" si="401"/>
        <v>1.5641824791307652</v>
      </c>
      <c r="K808" s="2607">
        <f t="shared" si="401"/>
        <v>1.5687647875229362</v>
      </c>
    </row>
    <row r="809" spans="1:11">
      <c r="A809" s="357" t="s">
        <v>718</v>
      </c>
      <c r="B809" s="2608">
        <f>IF(OR(B793="Choose mgt fee",B793="Choose One!"),"",(B786+B787+B788+B789+B790) / -(B792+B793+B794))</f>
        <v>1.6727143866901726</v>
      </c>
      <c r="C809" s="2608">
        <f t="shared" ref="C809:K809" si="402">IF(OR(C793="Choose mgt fee",C793="Choose One!"),"",(C786+C787+C788+C789+C790) / -(C792+C793+C794))</f>
        <v>1.6574159767763783</v>
      </c>
      <c r="D809" s="2608">
        <f t="shared" si="402"/>
        <v>1.6422494894056285</v>
      </c>
      <c r="E809" s="2608">
        <f t="shared" si="402"/>
        <v>1.6272133823276198</v>
      </c>
      <c r="F809" s="2608">
        <f t="shared" si="402"/>
        <v>1.6123067933882769</v>
      </c>
      <c r="G809" s="2608">
        <f t="shared" si="402"/>
        <v>1.5975288622501229</v>
      </c>
      <c r="H809" s="2608">
        <f t="shared" si="402"/>
        <v>1.5828781910090712</v>
      </c>
      <c r="I809" s="2608">
        <f t="shared" si="402"/>
        <v>1.5683539815373002</v>
      </c>
      <c r="J809" s="2608">
        <f t="shared" si="402"/>
        <v>1.5539554311730692</v>
      </c>
      <c r="K809" s="2608">
        <f t="shared" si="402"/>
        <v>1.5396812523248149</v>
      </c>
    </row>
    <row r="810" spans="1:11">
      <c r="A810" s="357" t="s">
        <v>2405</v>
      </c>
      <c r="B810" s="2606">
        <f>'Part VI-Pro Forma'!B103</f>
        <v>13510168.684459442</v>
      </c>
      <c r="C810" s="2606">
        <f>'Part VI-Pro Forma'!C103</f>
        <v>13072865.809990171</v>
      </c>
      <c r="D810" s="2606">
        <f>'Part VI-Pro Forma'!D103</f>
        <v>12613189.690513914</v>
      </c>
      <c r="E810" s="2606">
        <f>'Part VI-Pro Forma'!E103</f>
        <v>12129995.668354342</v>
      </c>
      <c r="F810" s="2606">
        <f>'Part VI-Pro Forma'!F103</f>
        <v>11622080.522975978</v>
      </c>
      <c r="G810" s="2606">
        <f>'Part VI-Pro Forma'!G103</f>
        <v>11088179.47479718</v>
      </c>
      <c r="H810" s="2606">
        <f>'Part VI-Pro Forma'!H103</f>
        <v>10526963.035712508</v>
      </c>
      <c r="I810" s="2606">
        <f>'Part VI-Pro Forma'!I103</f>
        <v>9937033.6984818354</v>
      </c>
      <c r="J810" s="2606">
        <f>'Part VI-Pro Forma'!J103</f>
        <v>9316922.4567423295</v>
      </c>
      <c r="K810" s="2606">
        <f>'Part VI-Pro Forma'!K103</f>
        <v>8665085.1469776314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4998488.5185648855</v>
      </c>
      <c r="C816" s="2606">
        <f>'Part VI-Pro Forma'!C109</f>
        <v>5098458.2889361829</v>
      </c>
      <c r="D816" s="2606">
        <f>'Part VI-Pro Forma'!D109</f>
        <v>5200427.4547149073</v>
      </c>
      <c r="E816" s="2606">
        <f>'Part VI-Pro Forma'!E109</f>
        <v>5304436.0038092062</v>
      </c>
      <c r="F816" s="2606">
        <f>'Part VI-Pro Forma'!F109</f>
        <v>5410524.723885389</v>
      </c>
      <c r="G816" s="2606"/>
      <c r="H816" s="2606"/>
      <c r="I816" s="2606"/>
      <c r="J816" s="2606"/>
      <c r="K816" s="2606"/>
    </row>
    <row r="817" spans="1:11">
      <c r="A817" s="357" t="s">
        <v>952</v>
      </c>
      <c r="B817" s="2606">
        <f>'Part VI-Pro Forma'!B110</f>
        <v>99969.770371297724</v>
      </c>
      <c r="C817" s="2606">
        <f>'Part VI-Pro Forma'!C110</f>
        <v>101969.16577872365</v>
      </c>
      <c r="D817" s="2606">
        <f>'Part VI-Pro Forma'!D110</f>
        <v>104008.54909429814</v>
      </c>
      <c r="E817" s="2606">
        <f>'Part VI-Pro Forma'!E110</f>
        <v>106088.72007618412</v>
      </c>
      <c r="F817" s="2606">
        <f>'Part VI-Pro Forma'!F110</f>
        <v>108210.49447770779</v>
      </c>
      <c r="G817" s="2606"/>
      <c r="H817" s="2606"/>
      <c r="I817" s="2606"/>
      <c r="J817" s="2606"/>
      <c r="K817" s="2606"/>
    </row>
    <row r="818" spans="1:11">
      <c r="A818" s="357" t="s">
        <v>2216</v>
      </c>
      <c r="B818" s="2606">
        <f>'Part VI-Pro Forma'!B111</f>
        <v>-254922.91444680915</v>
      </c>
      <c r="C818" s="2606">
        <f>'Part VI-Pro Forma'!C111</f>
        <v>-260021.37273574533</v>
      </c>
      <c r="D818" s="2606">
        <f>'Part VI-Pro Forma'!D111</f>
        <v>-265221.80019046029</v>
      </c>
      <c r="E818" s="2606">
        <f>'Part VI-Pro Forma'!E111</f>
        <v>-270526.2361942695</v>
      </c>
      <c r="F818" s="2606">
        <f>'Part VI-Pro Forma'!F111</f>
        <v>-275936.76091815485</v>
      </c>
      <c r="G818" s="2606"/>
      <c r="H818" s="2606"/>
      <c r="I818" s="2606"/>
      <c r="J818" s="2606"/>
      <c r="K818" s="2606"/>
    </row>
    <row r="819" spans="1:11">
      <c r="A819" s="357" t="s">
        <v>47</v>
      </c>
      <c r="B819" s="2606">
        <f>'Part VI-Pro Forma'!B112</f>
        <v>191236.31060329571</v>
      </c>
      <c r="C819" s="2606">
        <f>'Part VI-Pro Forma'!C112</f>
        <v>195061.03681536164</v>
      </c>
      <c r="D819" s="2606">
        <f>'Part VI-Pro Forma'!D112</f>
        <v>198962.25755166888</v>
      </c>
      <c r="E819" s="2606">
        <f>'Part VI-Pro Forma'!E112</f>
        <v>202941.50270270227</v>
      </c>
      <c r="F819" s="2606">
        <f>'Part VI-Pro Forma'!F112</f>
        <v>207000.33275675631</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5034771.685092669</v>
      </c>
      <c r="C821" s="2606">
        <f>'Part VI-Pro Forma'!C114</f>
        <v>5135467.1187945232</v>
      </c>
      <c r="D821" s="2606">
        <f>'Part VI-Pro Forma'!D114</f>
        <v>5238176.4611704145</v>
      </c>
      <c r="E821" s="2606">
        <f>'Part VI-Pro Forma'!E114</f>
        <v>5342939.9903938221</v>
      </c>
      <c r="F821" s="2606">
        <f>'Part VI-Pro Forma'!F114</f>
        <v>5449798.7902016975</v>
      </c>
      <c r="G821" s="2606"/>
      <c r="H821" s="2606"/>
      <c r="I821" s="2606"/>
      <c r="J821" s="2606"/>
      <c r="K821" s="2606"/>
    </row>
    <row r="822" spans="1:11">
      <c r="A822" s="357" t="s">
        <v>572</v>
      </c>
      <c r="B822" s="2606">
        <f>'Part VI-Pro Forma'!B115</f>
        <v>-2917174.7406071597</v>
      </c>
      <c r="C822" s="2606">
        <f>'Part VI-Pro Forma'!C115</f>
        <v>-3004689.9828253747</v>
      </c>
      <c r="D822" s="2606">
        <f>'Part VI-Pro Forma'!D115</f>
        <v>-3094830.6823101356</v>
      </c>
      <c r="E822" s="2606">
        <f>'Part VI-Pro Forma'!E115</f>
        <v>-3187675.6027794397</v>
      </c>
      <c r="F822" s="2606">
        <f>'Part VI-Pro Forma'!F115</f>
        <v>-3283305.870862822</v>
      </c>
      <c r="G822" s="2606"/>
      <c r="H822" s="2606"/>
      <c r="I822" s="2606"/>
      <c r="J822" s="2606"/>
      <c r="K822" s="2606"/>
    </row>
    <row r="823" spans="1:11">
      <c r="A823" s="357" t="s">
        <v>1050</v>
      </c>
      <c r="B823" s="2606">
        <f>'Part VI-Pro Forma'!B116</f>
        <v>-176217</v>
      </c>
      <c r="C823" s="2606">
        <f>'Part VI-Pro Forma'!C116</f>
        <v>-179741</v>
      </c>
      <c r="D823" s="2606">
        <f>'Part VI-Pro Forma'!D116</f>
        <v>-183336</v>
      </c>
      <c r="E823" s="2606">
        <f>'Part VI-Pro Forma'!E116</f>
        <v>-187003</v>
      </c>
      <c r="F823" s="2606">
        <f>'Part VI-Pro Forma'!F116</f>
        <v>-190743</v>
      </c>
      <c r="G823" s="2606"/>
      <c r="H823" s="2606"/>
      <c r="I823" s="2606"/>
      <c r="J823" s="2606"/>
      <c r="K823" s="2606"/>
    </row>
    <row r="824" spans="1:11">
      <c r="A824" s="357" t="s">
        <v>1128</v>
      </c>
      <c r="B824" s="2606">
        <f>'Part VI-Pro Forma'!B117</f>
        <v>-206948.39829363034</v>
      </c>
      <c r="C824" s="2606">
        <f>'Part VI-Pro Forma'!C117</f>
        <v>-213156.85024243928</v>
      </c>
      <c r="D824" s="2606">
        <f>'Part VI-Pro Forma'!D117</f>
        <v>-219551.55574971242</v>
      </c>
      <c r="E824" s="2606">
        <f>'Part VI-Pro Forma'!E117</f>
        <v>-226138.10242220381</v>
      </c>
      <c r="F824" s="2606">
        <f>'Part VI-Pro Forma'!F117</f>
        <v>-232922.24549486989</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1734431.5461918791</v>
      </c>
      <c r="C826" s="2606">
        <f>SUM(C821:C825)</f>
        <v>1737879.2857267093</v>
      </c>
      <c r="D826" s="2606">
        <f>SUM(D821:D825)</f>
        <v>1740458.2231105664</v>
      </c>
      <c r="E826" s="2606">
        <f>SUM(E821:E825)</f>
        <v>1742123.2851921786</v>
      </c>
      <c r="F826" s="2606">
        <f>SUM(F821:F825)</f>
        <v>1742827.6738440054</v>
      </c>
      <c r="G826" s="2606"/>
      <c r="H826" s="2606"/>
      <c r="I826" s="2606"/>
      <c r="J826" s="2606"/>
      <c r="K826" s="2606"/>
    </row>
    <row r="827" spans="1:11">
      <c r="A827" s="357" t="str">
        <f>$A797</f>
        <v>Mortgage A</v>
      </c>
      <c r="B827" s="2606">
        <f>'Part VI-Pro Forma'!B120</f>
        <v>-1102880.0648455757</v>
      </c>
      <c r="C827" s="2606">
        <f>'Part VI-Pro Forma'!C120</f>
        <v>-1102880.0648455757</v>
      </c>
      <c r="D827" s="2606">
        <f>'Part VI-Pro Forma'!D120</f>
        <v>-1102880.0648455757</v>
      </c>
      <c r="E827" s="2606">
        <f>'Part VI-Pro Forma'!E120</f>
        <v>-1102880.0648455757</v>
      </c>
      <c r="F827" s="2606">
        <f>'Part VI-Pro Forma'!F120</f>
        <v>-1102880.0648455757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624051.48134630336</v>
      </c>
      <c r="C833" s="2606">
        <f>SUM(C826:C832)</f>
        <v>627499.22088113357</v>
      </c>
      <c r="D833" s="2606">
        <f>SUM(D826:D832)</f>
        <v>630078.15826499066</v>
      </c>
      <c r="E833" s="2606">
        <f>SUM(E826:E832)</f>
        <v>631743.22034660284</v>
      </c>
      <c r="F833" s="2606">
        <f>SUM(F826:F832)</f>
        <v>632447.60899842973</v>
      </c>
      <c r="G833" s="2606"/>
      <c r="H833" s="2606"/>
      <c r="I833" s="2606"/>
      <c r="J833" s="2606"/>
      <c r="K833" s="2606"/>
    </row>
    <row r="834" spans="1:11">
      <c r="A834" s="357" t="str">
        <f>$A804</f>
        <v>DCR Mortgage A</v>
      </c>
      <c r="B834" s="2607">
        <f>IF(B827=0,"",-B826/B827)</f>
        <v>1.5726384050968703</v>
      </c>
      <c r="C834" s="2607">
        <f>IF(C827=0,"",-C826/C827)</f>
        <v>1.575764528820317</v>
      </c>
      <c r="D834" s="2607">
        <f>IF(D827=0,"",-D826/D827)</f>
        <v>1.5781028949455749</v>
      </c>
      <c r="E834" s="2607">
        <f>IF(E827=0,"",-E826/E827)</f>
        <v>1.5796126348843826</v>
      </c>
      <c r="F834" s="2607">
        <f>IF(F827=0,"",-F826/F827)</f>
        <v>1.5802513159833338</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1.5726384050968703</v>
      </c>
      <c r="C838" s="2607">
        <f>IF(AND(C827=0,C828=0,C829=0,C830=0),"",-C826/(C827+C828+C829+C830))</f>
        <v>1.575764528820317</v>
      </c>
      <c r="D838" s="2607">
        <f>IF(AND(D827=0,D828=0,D829=0,D830=0),"",-D826/(D827+D828+D829+D830))</f>
        <v>1.5781028949455749</v>
      </c>
      <c r="E838" s="2607">
        <f>IF(AND(E827=0,E828=0,E829=0,E830=0),"",-E826/(E827+E828+E829+E830))</f>
        <v>1.5796126348843826</v>
      </c>
      <c r="F838" s="2607">
        <f>IF(AND(F827=0,F828=0,F829=0,F830=0),"",-F826/(F827+F828+F829+F830))</f>
        <v>1.5802513159833338</v>
      </c>
      <c r="G838" s="2606"/>
      <c r="H838" s="2606"/>
      <c r="I838" s="2606"/>
      <c r="J838" s="2606"/>
      <c r="K838" s="2606"/>
    </row>
    <row r="839" spans="1:11">
      <c r="A839" s="357" t="s">
        <v>718</v>
      </c>
      <c r="B839" s="2608">
        <f>IF(OR(B823="Choose mgt fee",B823="Choose One!"),"",(B816+B817+B818+B819+B820) / -(B822+B823+B824))</f>
        <v>1.5255311492740709</v>
      </c>
      <c r="C839" s="2608">
        <f>IF(OR(C823="Choose mgt fee",C823="Choose One!"),"",(C816+C817+C818+C819+C820) / -(C822+C823+C824))</f>
        <v>1.5115038583586846</v>
      </c>
      <c r="D839" s="2608">
        <f>IF(OR(D823="Choose mgt fee",D823="Choose One!"),"",(D816+D817+D818+D819+D820) / -(D822+D823+D824))</f>
        <v>1.4975981781985912</v>
      </c>
      <c r="E839" s="2608">
        <f>IF(OR(E823="Choose mgt fee",E823="Choose One!"),"",(E816+E817+E818+E819+E820) / -(E822+E823+E824))</f>
        <v>1.4838133756365754</v>
      </c>
      <c r="F839" s="2608">
        <f>IF(OR(F823="Choose mgt fee",F823="Choose One!"),"",(F816+F817+F818+F819+F820) / -(F822+F823+F824))</f>
        <v>1.4701487060833729</v>
      </c>
      <c r="G839" s="2606"/>
      <c r="H839" s="2606"/>
      <c r="I839" s="2606"/>
      <c r="J839" s="2606"/>
      <c r="K839" s="2606"/>
    </row>
    <row r="840" spans="1:11">
      <c r="A840" s="357" t="s">
        <v>2405</v>
      </c>
      <c r="B840" s="2606">
        <f>'Part VI-Pro Forma'!B133</f>
        <v>7979898.6033352483</v>
      </c>
      <c r="C840" s="2606">
        <f>'Part VI-Pro Forma'!C133</f>
        <v>7259656.6157170963</v>
      </c>
      <c r="D840" s="2606">
        <f>'Part VI-Pro Forma'!D133</f>
        <v>6502565.6810782868</v>
      </c>
      <c r="E840" s="2606">
        <f>'Part VI-Pro Forma'!E133</f>
        <v>5706740.5373543017</v>
      </c>
      <c r="F840" s="2606">
        <f>'Part VI-Pro Forma'!F133</f>
        <v>4870199.4688953925</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Bon Air,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6775</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Project meets DCA's underwriting guidelines and has received the following underwriting waiver approvals: waiver to waive rent-up reserve, waiver to underwrite to a 5% vacancy, waiver to use the post renovation rents that are posted in the HUD HAP contract. Support for building permit fees, property tax expenses, and insurance expense projections have been included in the documentation. All funding sources have been certified and equity pricing is reasonable and in-line with industry standards. The project utilizes post renovation HUD-approved rents, which have been provided. The deferred developer fee does not exceed 50% of total developer fee and is payable within fifteen years. There is no assumption of existing debt nor is the project Mixed Use.</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3241</v>
      </c>
      <c r="C891" s="2106"/>
      <c r="D891" s="2868"/>
      <c r="E891" s="2868"/>
      <c r="F891" s="2868"/>
      <c r="G891" s="2868"/>
      <c r="H891" s="2107"/>
      <c r="I891" s="2108"/>
      <c r="J891" s="2108"/>
      <c r="K891" s="2106"/>
      <c r="L891" s="2106"/>
      <c r="M891" s="2106"/>
      <c r="N891" s="2106"/>
      <c r="O891" s="2106"/>
      <c r="P891" s="2106"/>
      <c r="Q891" s="2106"/>
    </row>
    <row r="892" spans="1:17" ht="171">
      <c r="A892" s="2860" t="str">
        <f>'Part VII-Threshold Criteria'!A41</f>
        <v>Project is elderly/disabled designated by HUD and prior Georgia DCA LURC.</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certifies that they will meet the following services: full-time activities manager will be allowed in the operating budget; Temporary staffing during lease-up to handle activities set-up and sign-up; Part-time activity managers to be included in operating budgets on smaller projects as needed. Applicants to track resident participation in on-site services. Project intends to include 4 activities and has a full-time resident services coordinator.</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CBRE</v>
      </c>
      <c r="J904" s="2862"/>
      <c r="K904" s="2862"/>
      <c r="L904" s="2862"/>
      <c r="M904" s="2862"/>
      <c r="N904" s="2862"/>
      <c r="O904" s="2862"/>
      <c r="P904" s="2862"/>
      <c r="Q904" s="2862"/>
    </row>
    <row r="905" spans="1:17" ht="15">
      <c r="A905" s="2871"/>
      <c r="B905" s="2106" t="s">
        <v>6778</v>
      </c>
      <c r="C905" s="2106"/>
      <c r="D905" s="2860"/>
      <c r="E905" s="2860"/>
      <c r="F905" s="2860"/>
      <c r="G905" s="2106"/>
      <c r="H905" s="2106"/>
      <c r="I905" s="2860">
        <f>'Part VII-Threshold Criteria'!I54</f>
        <v>0.98</v>
      </c>
      <c r="J905" s="2860"/>
      <c r="K905" s="2860"/>
      <c r="L905" s="2873"/>
      <c r="M905" s="2874"/>
      <c r="N905" s="2874"/>
      <c r="O905" s="2874"/>
      <c r="P905" s="2874"/>
      <c r="Q905" s="2109"/>
    </row>
    <row r="906" spans="1:17" ht="15">
      <c r="A906" s="2871"/>
      <c r="B906" s="2106" t="s">
        <v>6779</v>
      </c>
      <c r="C906" s="2106"/>
      <c r="D906" s="2860"/>
      <c r="E906" s="2860"/>
      <c r="F906" s="2860"/>
      <c r="G906" s="2106"/>
      <c r="H906" s="2873" t="s">
        <v>6780</v>
      </c>
      <c r="I906" s="2860">
        <f>'Part VII-Threshold Criteria'!I55</f>
        <v>0.16300000000000001</v>
      </c>
      <c r="J906" s="2860"/>
      <c r="K906" s="2860"/>
      <c r="L906" s="2874"/>
      <c r="M906" s="2875" t="s">
        <v>6781</v>
      </c>
      <c r="N906" s="2860">
        <f>'Part VII-Threshold Criteria'!N55</f>
        <v>0.47499999999999998</v>
      </c>
      <c r="O906" s="2860"/>
      <c r="P906" s="2106"/>
      <c r="Q906" s="2106"/>
    </row>
    <row r="907" spans="1:17" ht="15">
      <c r="A907" s="2106"/>
      <c r="B907" s="2868" t="s">
        <v>3241</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 xml:space="preserve">The project is currently 98% occupied and has an average of being over 95% occupied for the last 24 months. For this reason, there is no calculated property absorption period to reach stabilized occupancy as the project is already stabilized.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42.75">
      <c r="A914" s="2871"/>
      <c r="B914" s="2106" t="s">
        <v>6782</v>
      </c>
      <c r="C914" s="2106"/>
      <c r="D914" s="2106"/>
      <c r="E914" s="2106"/>
      <c r="F914" s="2106"/>
      <c r="G914" s="2106"/>
      <c r="H914" s="2106"/>
      <c r="I914" s="2860"/>
      <c r="J914" s="2860" t="str">
        <f>'Part VII-Threshold Criteria'!J63</f>
        <v>Appraisal not required.</v>
      </c>
      <c r="K914" s="2860"/>
      <c r="L914" s="2860"/>
      <c r="M914" s="2860"/>
      <c r="N914" s="2860"/>
      <c r="O914" s="2860"/>
      <c r="P914" s="2860"/>
      <c r="Q914" s="2860"/>
    </row>
    <row r="915" spans="1:17" ht="15">
      <c r="A915" s="2871"/>
      <c r="B915" s="2106" t="s">
        <v>3949</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6775</v>
      </c>
      <c r="C918" s="2106"/>
      <c r="D918" s="2868"/>
      <c r="E918" s="2868"/>
      <c r="F918" s="2868"/>
      <c r="G918" s="2868"/>
      <c r="H918" s="2107"/>
      <c r="I918" s="2108"/>
      <c r="J918" s="2108"/>
      <c r="K918" s="2108"/>
      <c r="L918" s="2109"/>
      <c r="M918" s="2109"/>
      <c r="N918" s="2109"/>
      <c r="O918" s="2109"/>
      <c r="P918" s="2109"/>
      <c r="Q918" s="2109"/>
    </row>
    <row r="919" spans="1:17" ht="213.75">
      <c r="A919" s="2860" t="str">
        <f>'Part VII-Threshold Criteria'!A68</f>
        <v xml:space="preserve">No appraisal has been included as there is no identity of interest between the buyer and seller.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Partner Engineering &amp; Science</v>
      </c>
      <c r="M925" s="2876"/>
      <c r="N925" s="2876"/>
      <c r="O925" s="2876"/>
      <c r="P925" s="2876"/>
      <c r="Q925" s="2876"/>
    </row>
    <row r="926" spans="1:17" ht="15">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6787</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6789</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6790</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 following conditions were identified by the environmental professional: Mold and Moisture - present in building due to historical roof and plumbing leaks; Asbestos - based on sample testing, the following materials are confirmed: roof coping caulk, ext. window caulk; Lead-Based Paint - identified on interior and exterior; Lead in water - the result for one sample exceeded the EPA level; Radon - all samples but one were below the radon "action" level. The applicant will incorporate the Recommendations on Section 1.3 of the Phase 1 into the renovation as much as feasibly possible. </v>
      </c>
      <c r="C934" s="2860"/>
      <c r="D934" s="2860"/>
      <c r="E934" s="2860"/>
      <c r="F934" s="2860"/>
      <c r="G934" s="2860"/>
      <c r="H934" s="2860"/>
      <c r="I934" s="2860"/>
      <c r="J934" s="2860"/>
      <c r="K934" s="2860"/>
      <c r="L934" s="2860"/>
      <c r="M934" s="2860"/>
      <c r="N934" s="2860"/>
      <c r="O934" s="2860"/>
      <c r="P934" s="2860"/>
      <c r="Q934" s="2860"/>
    </row>
    <row r="935" spans="1:17" ht="15">
      <c r="A935" s="2106"/>
      <c r="B935" s="2868" t="s">
        <v>3241</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All Environmental Manual Requirements have been met. The property did not require a Phase II and as such, one has not been provided. The project is also not subject to Site and Neighborhood Standards as it not financed with HOME Funds.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Warranty Deed</v>
      </c>
      <c r="M942" s="2890"/>
      <c r="N942" s="2890"/>
      <c r="O942" s="2859" t="s">
        <v>1646</v>
      </c>
      <c r="P942" s="2859"/>
      <c r="Q942" s="2859"/>
    </row>
    <row r="943" spans="1:17" ht="42.75">
      <c r="A943" s="2871"/>
      <c r="B943" s="2106" t="s">
        <v>636</v>
      </c>
      <c r="C943" s="2106"/>
      <c r="D943" s="2106"/>
      <c r="E943" s="2106"/>
      <c r="F943" s="2106"/>
      <c r="G943" s="2860" t="str">
        <f>'Part VII-Threshold Criteria'!G92</f>
        <v>Bon Air Apartments, LP</v>
      </c>
      <c r="H943" s="2860"/>
      <c r="I943" s="2860"/>
      <c r="J943" s="2860"/>
      <c r="K943" s="2860"/>
      <c r="L943" s="2860"/>
      <c r="M943" s="2860"/>
      <c r="N943" s="2860"/>
      <c r="O943" s="2860"/>
      <c r="P943" s="2860"/>
      <c r="Q943" s="2860"/>
    </row>
    <row r="944" spans="1:17" ht="15">
      <c r="A944" s="2106"/>
      <c r="B944" s="2868" t="s">
        <v>3241</v>
      </c>
      <c r="C944" s="2106"/>
      <c r="D944" s="2868"/>
      <c r="E944" s="2868"/>
      <c r="F944" s="2868"/>
      <c r="G944" s="2868"/>
      <c r="H944" s="2107"/>
      <c r="I944" s="2108"/>
      <c r="J944" s="2108"/>
      <c r="K944" s="2108"/>
      <c r="L944" s="2109"/>
      <c r="M944" s="2109"/>
      <c r="N944" s="2109"/>
      <c r="O944" s="2109"/>
      <c r="P944" s="2109"/>
      <c r="Q944" s="2109"/>
    </row>
    <row r="945" spans="1:17" ht="128.25">
      <c r="A945" s="2860" t="str">
        <f>'Part VII-Threshold Criteria'!A94</f>
        <v xml:space="preserve">Bon Air Apartments, LP purchased the site on February 25, 2021.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3241</v>
      </c>
      <c r="C951" s="2106"/>
      <c r="D951" s="2868"/>
      <c r="E951" s="2868"/>
      <c r="F951" s="2868"/>
      <c r="G951" s="2868"/>
      <c r="H951" s="2107"/>
      <c r="I951" s="2108"/>
      <c r="J951" s="2108"/>
      <c r="K951" s="2108"/>
      <c r="L951" s="2109"/>
      <c r="M951" s="2109"/>
      <c r="N951" s="2109"/>
      <c r="O951" s="2109"/>
      <c r="P951" s="2109"/>
      <c r="Q951" s="2109"/>
    </row>
    <row r="952" spans="1:17" ht="285">
      <c r="A952" s="2860" t="str">
        <f>'Part VII-Threshold Criteria'!A101</f>
        <v>The site provides a specified entrance that is legally accessible by paved roads, as shown by the provided drawings and survey.</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3241</v>
      </c>
      <c r="C958" s="2106"/>
      <c r="D958" s="2868"/>
      <c r="E958" s="2868"/>
      <c r="F958" s="2868"/>
      <c r="G958" s="2868"/>
      <c r="H958" s="2107"/>
      <c r="I958" s="2108"/>
      <c r="J958" s="2108"/>
      <c r="K958" s="2108"/>
      <c r="L958" s="2109"/>
      <c r="M958" s="2109"/>
      <c r="N958" s="2109"/>
      <c r="O958" s="2109"/>
      <c r="P958" s="2109"/>
      <c r="Q958" s="2109"/>
    </row>
    <row r="959" spans="1:17" ht="171">
      <c r="A959" s="2860" t="str">
        <f>'Part VII-Threshold Criteria'!A108</f>
        <v>Project proposes rehabilitation only and therefore is exempt from this section.</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6793</v>
      </c>
      <c r="C965" s="2106"/>
      <c r="D965" s="2106"/>
      <c r="E965" s="2106"/>
      <c r="F965" s="2106"/>
      <c r="G965" s="2106"/>
      <c r="H965" s="2106" t="s">
        <v>6794</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6795</v>
      </c>
      <c r="I966" s="2106"/>
      <c r="J966" s="2859" t="str">
        <f>'Part VII-Threshold Criteria'!J115</f>
        <v>&lt;&lt;Enter Provider Name Here&gt;&gt;</v>
      </c>
      <c r="K966" s="2859"/>
      <c r="L966" s="2859"/>
      <c r="M966" s="2859"/>
      <c r="N966" s="2859"/>
      <c r="O966" s="2859"/>
      <c r="P966" s="2859"/>
      <c r="Q966" s="2859"/>
    </row>
    <row r="967" spans="1:17" ht="15">
      <c r="A967" s="2871"/>
      <c r="B967" s="2868" t="s">
        <v>3241</v>
      </c>
      <c r="C967" s="2860"/>
      <c r="D967" s="2860"/>
      <c r="E967" s="2860"/>
      <c r="F967" s="2860"/>
      <c r="G967" s="2106"/>
      <c r="H967" s="2106"/>
      <c r="I967" s="2106"/>
      <c r="J967" s="2106"/>
      <c r="K967" s="2106"/>
      <c r="L967" s="2106"/>
      <c r="M967" s="2106"/>
      <c r="N967" s="2106"/>
      <c r="O967" s="2106"/>
      <c r="P967" s="2106"/>
      <c r="Q967" s="2106"/>
    </row>
    <row r="968" spans="1:17" ht="171">
      <c r="A968" s="2860" t="str">
        <f>'Part VII-Threshold Criteria'!A117</f>
        <v>Project proposes rehabilitation only and therefore is exempt from this section.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6797</v>
      </c>
      <c r="C974" s="2106"/>
      <c r="D974" s="2106"/>
      <c r="E974" s="2106"/>
      <c r="F974" s="2106"/>
      <c r="G974" s="2106"/>
      <c r="H974" s="2106" t="s">
        <v>6798</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6799</v>
      </c>
      <c r="I975" s="2106"/>
      <c r="J975" s="2859" t="str">
        <f>'Part VII-Threshold Criteria'!J124</f>
        <v>&lt;&lt;Enter Provider Name Here&gt;&gt;</v>
      </c>
      <c r="K975" s="2859"/>
      <c r="L975" s="2859"/>
      <c r="M975" s="2859"/>
      <c r="N975" s="2859"/>
      <c r="O975" s="2859"/>
      <c r="P975" s="2859"/>
      <c r="Q975" s="2859"/>
    </row>
    <row r="976" spans="1:17" ht="15">
      <c r="A976" s="2106"/>
      <c r="B976" s="2868" t="s">
        <v>3241</v>
      </c>
      <c r="C976" s="2106"/>
      <c r="D976" s="2865"/>
      <c r="E976" s="2865"/>
      <c r="F976" s="2865"/>
      <c r="G976" s="2865"/>
      <c r="H976" s="2106"/>
      <c r="I976" s="2106"/>
      <c r="J976" s="2106"/>
      <c r="K976" s="2106"/>
      <c r="L976" s="2859"/>
      <c r="M976" s="2859"/>
      <c r="N976" s="2859"/>
      <c r="O976" s="2859"/>
      <c r="P976" s="2859"/>
      <c r="Q976" s="2859"/>
    </row>
    <row r="977" spans="1:17" ht="171">
      <c r="A977" s="2860" t="str">
        <f>'Part VII-Threshold Criteria'!A126</f>
        <v>Project proposes rehabilitation only and therefore is exempt from this section.</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6719</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3787</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Fenced community gardens</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t="str">
        <f>'Part VII-Threshold Criteria'!C142</f>
        <v xml:space="preserve">Equipped Computer Center and WiFi </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t="str">
        <f>'Part VII-Threshold Criteria'!C143</f>
        <v>Furnished Exercise /Fitness Center</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3241</v>
      </c>
      <c r="C995" s="2106"/>
      <c r="D995" s="2868"/>
      <c r="E995" s="2868"/>
      <c r="F995" s="2868"/>
      <c r="G995" s="2868"/>
      <c r="H995" s="2107"/>
      <c r="I995" s="2108"/>
      <c r="J995" s="2108"/>
      <c r="K995" s="2108"/>
      <c r="L995" s="2109"/>
      <c r="M995" s="2109"/>
      <c r="N995" s="2109"/>
      <c r="O995" s="2109"/>
      <c r="P995" s="2106"/>
      <c r="Q995" s="2106"/>
    </row>
    <row r="996" spans="1:17" ht="171">
      <c r="A996" s="2860" t="str">
        <f>'Part VII-Threshold Criteria'!A145</f>
        <v xml:space="preserve">Applicant is providing all requirements. Please refer to the Architectural Waivers.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71.25">
      <c r="A1004" s="2871"/>
      <c r="B1004" s="2106" t="s">
        <v>1806</v>
      </c>
      <c r="C1004" s="2106"/>
      <c r="D1004" s="2106"/>
      <c r="E1004" s="2106"/>
      <c r="F1004" s="2106"/>
      <c r="G1004" s="2106"/>
      <c r="H1004" s="2860" t="str">
        <f>'Part VII-Threshold Criteria'!H153</f>
        <v>Partner Engineering &amp; Science, Inc.</v>
      </c>
      <c r="I1004" s="2860"/>
      <c r="J1004" s="2860"/>
      <c r="K1004" s="2860"/>
      <c r="L1004" s="2860"/>
      <c r="M1004" s="2860"/>
      <c r="N1004" s="2860"/>
      <c r="O1004" s="2860"/>
      <c r="P1004" s="2860"/>
      <c r="Q1004" s="2860"/>
    </row>
    <row r="1005" spans="1:17" ht="15">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242.25">
      <c r="A1006" s="2860" t="str">
        <f>'Part VII-Threshold Criteria'!A155</f>
        <v xml:space="preserve">Project includes all applicable documentation and the work scope addressess all deficiences noted in the PCNA. </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299.25">
      <c r="A1013" s="2860" t="str">
        <f>'Part VII-Threshold Criteria'!A162</f>
        <v>Applicant has included the CSDP along with a location/vicinity map, site map and color photographs, and aerial photos of the site.</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5">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313.5">
      <c r="A1025" s="2860" t="str">
        <f>'Part VII-Threshold Criteria'!A174</f>
        <v>The Project is targeting bronze certification from National Green Building Standards and has a draft score sufficient to qualify for this level of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Yes</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3294</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11</v>
      </c>
      <c r="M1035" s="2898">
        <f>'DCA Underwriting Assumptions'!$Q$122</f>
        <v>0.05</v>
      </c>
      <c r="N1035" s="2106"/>
      <c r="O1035" s="2873"/>
      <c r="P1035" s="2859">
        <f>'Part VII-Threshold Criteria'!P184</f>
        <v>11</v>
      </c>
      <c r="Q1035" s="2859"/>
    </row>
    <row r="1036" spans="1:17" ht="15" customHeight="1">
      <c r="A1036" s="2871"/>
      <c r="B1036" s="2107"/>
      <c r="C1036" s="2106"/>
      <c r="D1036" s="2860" t="s">
        <v>6811</v>
      </c>
      <c r="E1036" s="2860"/>
      <c r="F1036" s="2860"/>
      <c r="G1036" s="2860"/>
      <c r="H1036" s="2860"/>
      <c r="I1036" s="2860"/>
      <c r="J1036" s="2860"/>
      <c r="K1036" s="2611"/>
      <c r="L1036" s="2897">
        <f>ROUNDUP(L1035*M1036,0)</f>
        <v>5</v>
      </c>
      <c r="M1036" s="2898">
        <f>'DCA Underwriting Assumptions'!$Q$123</f>
        <v>0.4</v>
      </c>
      <c r="N1036" s="2106"/>
      <c r="O1036" s="2873"/>
      <c r="P1036" s="2859">
        <f>'Part VII-Threshold Criteria'!P185</f>
        <v>5</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5</v>
      </c>
      <c r="M1037" s="2898">
        <f>'DCA Underwriting Assumptions'!$Q$124</f>
        <v>0.02</v>
      </c>
      <c r="N1037" s="2106"/>
      <c r="O1037" s="2873"/>
      <c r="P1037" s="2859">
        <f>'Part VII-Threshold Criteria'!P186</f>
        <v>5</v>
      </c>
      <c r="Q1037" s="2859"/>
    </row>
    <row r="1038" spans="1:17" ht="15">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 xml:space="preserve">The applicant commits to comply with all applicable accessibility codes and requirements. Please see approved waivers regarding accessibility standards due to the age of construction of the project.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Rehab of bldgs eligible for historic preservatn credits will maintain &amp; if necessary replace with matching materials, the existing or original exterior finish surfaces including front wall face, rear wall face and both side wall faces.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384.75">
      <c r="A1054" s="2860" t="str">
        <f>'Part VII-Threshold Criteria'!A203</f>
        <v xml:space="preserve">The Project will meet all architectural standards contained in the architectural manual, with the exception of approved architectural waivers, which are included in this application.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Applicant was determined to be a qualified certifying GP/Developer during the 2022 pre-application round. The Project Team received a 2023 Pre-application Project Team Qualified Determination letter from DCA dated April 25, 2023. This letter has been included in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Agree</v>
      </c>
      <c r="Q1077" s="2109"/>
    </row>
    <row r="1078" spans="1:17" ht="15">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313.5">
      <c r="A1079" s="2860" t="str">
        <f>'Part VII-Threshold Criteria'!A228</f>
        <v>The project is fully covered by a DCA LURC and 202 of the 203 units will maintain existing project-based rental assistance administered by HUD.</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3360</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3361</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114">
      <c r="A1095" s="2860" t="str">
        <f>'Part VII-Threshold Criteria'!A244</f>
        <v>Applicant has not applied for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142.5">
      <c r="A1107" s="2860" t="str">
        <f>'Part VII-Threshold Criteria'!A256</f>
        <v>No legal opinions are required as none of the above apply to this project.</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6252</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4034</v>
      </c>
      <c r="C1116" s="2106"/>
      <c r="D1116" s="2106"/>
      <c r="E1116" s="2106"/>
      <c r="F1116" s="2106"/>
      <c r="G1116" s="2106"/>
      <c r="H1116" s="2106"/>
      <c r="I1116" s="2106"/>
      <c r="J1116" s="2106"/>
      <c r="K1116" s="2106"/>
      <c r="L1116" s="2106"/>
      <c r="M1116" s="2106"/>
      <c r="N1116" s="2106"/>
      <c r="O1116" s="2106"/>
      <c r="P1116" s="2106" t="str">
        <f>'Part VII-Threshold Criteria'!P265</f>
        <v>Yes</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3380</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56.25">
      <c r="A1137" s="2860" t="str">
        <f>'Part VII-Threshold Criteria'!A286</f>
        <v xml:space="preserve">Leasing criteria provided by the applicant clearly faciliates the admission and inclusion of targeted population tenants and does not violate federal or state fair housing laws. </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proposed project plan ensures the complete, effective, efficient, and lawful allocation and utilization of the Housing Credit Program. The Project has an effective and cost-efficient site design.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Bon Air,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43</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6137</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71.25">
      <c r="A1164" s="2913" t="s">
        <v>1668</v>
      </c>
      <c r="B1164" s="2403" t="s">
        <v>3395</v>
      </c>
      <c r="C1164" s="2406"/>
      <c r="D1164" s="2406"/>
      <c r="E1164" s="2914">
        <f>'Part VIII Scoring Criteria'!E13</f>
        <v>0</v>
      </c>
      <c r="F1164" s="2913" t="str">
        <f>'Part VIII Scoring Criteria'!F13</f>
        <v>N/A to preservation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71.25">
      <c r="A1165" s="2913" t="s">
        <v>496</v>
      </c>
      <c r="B1165" s="2403" t="s">
        <v>4039</v>
      </c>
      <c r="C1165" s="2406"/>
      <c r="D1165" s="2406"/>
      <c r="E1165" s="2916">
        <f>'Part VIII Scoring Criteria'!E14</f>
        <v>0</v>
      </c>
      <c r="F1165" s="2913" t="str">
        <f>'Part VIII Scoring Criteria'!F14</f>
        <v>N/A to preservation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71.25">
      <c r="A1166" s="2913" t="s">
        <v>720</v>
      </c>
      <c r="B1166" s="2403" t="s">
        <v>3340</v>
      </c>
      <c r="C1166" s="2406"/>
      <c r="D1166" s="2406"/>
      <c r="E1166" s="2916">
        <f>'Part VIII Scoring Criteria'!E15</f>
        <v>0</v>
      </c>
      <c r="F1166" s="2913" t="str">
        <f>'Part VIII Scoring Criteria'!F15</f>
        <v>N/A to preservation application.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3396</v>
      </c>
      <c r="C1167" s="2406"/>
      <c r="D1167" s="2406"/>
      <c r="E1167" s="2916">
        <f>'Part VIII Scoring Criteria'!E16</f>
        <v>0</v>
      </c>
      <c r="F1167" s="2913" t="str">
        <f>'Part VIII Scoring Criteria'!F16</f>
        <v>N/A to preservation application.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3397</v>
      </c>
      <c r="C1168" s="2406"/>
      <c r="D1168" s="2406"/>
      <c r="E1168" s="2914" t="str">
        <f>'Part VIII Scoring Criteria'!E17</f>
        <v>n/a</v>
      </c>
      <c r="F1168" s="2913" t="str">
        <f>'Part VIII Scoring Criteria'!F17</f>
        <v>N/A to preservation application.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0</v>
      </c>
      <c r="F1169" s="2913" t="str">
        <f>'Part VIII Scoring Criteria'!F18</f>
        <v>N/A to preservation application.</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4042</v>
      </c>
      <c r="B1170" s="2403" t="s">
        <v>3263</v>
      </c>
      <c r="C1170" s="2406"/>
      <c r="D1170" s="2406"/>
      <c r="E1170" s="2914">
        <f>'Part VIII Scoring Criteria'!E19</f>
        <v>0</v>
      </c>
      <c r="F1170" s="2913" t="str">
        <f>'Part VIII Scoring Criteria'!F19</f>
        <v>N/A to preservation application.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4054</v>
      </c>
      <c r="B1171" s="2403" t="s">
        <v>4043</v>
      </c>
      <c r="C1171" s="2406"/>
      <c r="D1171" s="2406"/>
      <c r="E1171" s="2914">
        <f>'Part VIII Scoring Criteria'!E20</f>
        <v>0</v>
      </c>
      <c r="F1171" s="2913" t="str">
        <f>'Part VIII Scoring Criteria'!F20</f>
        <v>N/A to preservation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71.25">
      <c r="A1172" s="2913" t="s">
        <v>6244</v>
      </c>
      <c r="B1172" s="2403" t="s">
        <v>4044</v>
      </c>
      <c r="C1172" s="2406"/>
      <c r="D1172" s="2406"/>
      <c r="E1172" s="2914">
        <f>'Part VIII Scoring Criteria'!E21</f>
        <v>0</v>
      </c>
      <c r="F1172" s="2913" t="str">
        <f>'Part VIII Scoring Criteria'!F21</f>
        <v>N/A to preservation application.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57">
      <c r="A1173" s="2913" t="s">
        <v>6638</v>
      </c>
      <c r="B1173" s="2403" t="s">
        <v>6550</v>
      </c>
      <c r="C1173" s="2406"/>
      <c r="D1173" s="2406"/>
      <c r="E1173" s="2914">
        <f>'Part VIII Scoring Criteria'!E22</f>
        <v>0</v>
      </c>
      <c r="F1173" s="2913" t="str">
        <f>'Part VIII Scoring Criteria'!F22</f>
        <v>N/A for Other Metro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6640</v>
      </c>
      <c r="B1174" s="2403" t="s">
        <v>6639</v>
      </c>
      <c r="C1174" s="2406"/>
      <c r="D1174" s="2406"/>
      <c r="E1174" s="2914">
        <f>'Part VIII Scoring Criteria'!E23</f>
        <v>2</v>
      </c>
      <c r="F1174" s="2913" t="str">
        <f>'Part VIII Scoring Criteria'!F23</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3370</v>
      </c>
      <c r="B1175" s="2403" t="s">
        <v>6556</v>
      </c>
      <c r="C1175" s="2406"/>
      <c r="D1175" s="2406"/>
      <c r="E1175" s="2914">
        <f>'Part VIII Scoring Criteria'!E24</f>
        <v>2</v>
      </c>
      <c r="F1175" s="2913" t="str">
        <f>'Part VIII Scoring Criteria'!F24</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99.5">
      <c r="A1176" s="2913" t="s">
        <v>3374</v>
      </c>
      <c r="B1176" s="2403" t="s">
        <v>3398</v>
      </c>
      <c r="C1176" s="2406"/>
      <c r="D1176" s="2406"/>
      <c r="E1176" s="2914">
        <f>'Part VIII Scoring Criteria'!E25</f>
        <v>0</v>
      </c>
      <c r="F1176" s="2913" t="str">
        <f>'Part VIII Scoring Criteria'!F25</f>
        <v xml:space="preserve">The proposed development is not located within the boundaries of a GICH community. </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3377</v>
      </c>
      <c r="B1177" s="2403" t="s">
        <v>3399</v>
      </c>
      <c r="C1177" s="2406"/>
      <c r="D1177" s="2406"/>
      <c r="E1177" s="2914">
        <f>'Part VIII Scoring Criteria'!E26</f>
        <v>1</v>
      </c>
      <c r="F1177" s="2913" t="str">
        <f>'Part VIII Scoring Criteria'!F26</f>
        <v xml:space="preserve">Applicant has received a commitment for up to $2,143,098 in historic tax credit equity as a source of favorable financing. This LOI has been provided as evidence, along with the approved Part 1, Part 2 and Part A. </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356.25">
      <c r="A1178" s="2913" t="s">
        <v>3378</v>
      </c>
      <c r="B1178" s="2403" t="s">
        <v>3400</v>
      </c>
      <c r="C1178" s="2406"/>
      <c r="D1178" s="2406"/>
      <c r="E1178" s="2914">
        <f>'Part VIII Scoring Criteria'!E27</f>
        <v>0</v>
      </c>
      <c r="F1178" s="2913" t="str">
        <f>'Part VIII Scoring Criteria'!F27</f>
        <v>The structure is deemed historic through the approved NPS Historic Preservation Certification Application Part 1 is provided. The historic structure houses 100% of the total units.</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3</v>
      </c>
      <c r="F1179" s="2913" t="str">
        <f>'Part VIII Scoring Criteria'!F28</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6</v>
      </c>
      <c r="F1180" s="2913" t="str">
        <f>'Part VIII Scoring Criteria'!F29</f>
        <v xml:space="preserve">The property has had an average monthly occupancy over the proceeding 24 months of greater than 95%. 24 months of rent rolls and a table has been provided as evidence.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356.25">
      <c r="A1181" s="2913" t="s">
        <v>3804</v>
      </c>
      <c r="B1181" s="2403" t="s">
        <v>6554</v>
      </c>
      <c r="C1181" s="2406"/>
      <c r="D1181" s="2406"/>
      <c r="E1181" s="2914">
        <f>'Part VIII Scoring Criteria'!E30</f>
        <v>4</v>
      </c>
      <c r="F1181" s="2913" t="str">
        <f>'Part VIII Scoring Criteria'!F30</f>
        <v>The property has a HUD Section 8 PBRA Contract that covers 202 units. A copy of the HUD PBRA contract has been provided in Section 02 and in Section 52.</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2</v>
      </c>
      <c r="F1182" s="2913" t="str">
        <f>'Part VIII Scoring Criteria'!F31</f>
        <v>The property was placed in service in 2005. The 8609 and the LURC have been provided as evidence. Please note that no updated Cert of Occupancy was not issued as part of the 2004 renovation, as such the 8609 was provided in lieu of that document.</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6882</v>
      </c>
      <c r="G1185" s="2463"/>
      <c r="H1185" s="2463"/>
      <c r="I1185" s="2463"/>
      <c r="J1185" s="2198" t="s">
        <v>6141</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6647</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3814</v>
      </c>
      <c r="D1220" s="2199"/>
      <c r="E1220" s="2199"/>
      <c r="F1220" s="2199"/>
      <c r="G1220" s="2199" t="s">
        <v>3815</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1</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71.25">
      <c r="A1232" s="2406" t="str">
        <f>'Part VIII Scoring Criteria'!A81</f>
        <v>N/A to preservation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71.25">
      <c r="A1253" s="2406" t="str">
        <f>'Part VIII Scoring Criteria'!A102</f>
        <v>N/A to preservation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71.25">
      <c r="A1268" s="2406" t="str">
        <f>'Part VIII Scoring Criteria'!A117</f>
        <v>N/A to preservation application.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N/A to preservation application.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N/A to preservation application.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6256</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6221</v>
      </c>
      <c r="D1309" s="2397"/>
      <c r="E1309" s="2977" t="s">
        <v>6220</v>
      </c>
      <c r="F1309" s="2977"/>
      <c r="G1309" s="2977"/>
      <c r="H1309" s="2977"/>
      <c r="I1309" s="2342" t="s">
        <v>6895</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6219</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6216</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6217</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N/A to preservation application.</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4036</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N/A to preservation application.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6859</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N/A to preservation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3962</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71.25">
      <c r="A1356" s="2406" t="str">
        <f>'Part VIII Scoring Criteria'!A205</f>
        <v>N/A to preservation application.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3</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6615</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6616</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0</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No</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57">
      <c r="A1379" s="2406" t="str">
        <f>'Part VIII Scoring Criteria'!A228</f>
        <v>N/A for Other Metro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t="str">
        <f>'Part VIII Scoring Criteria'!I236</f>
        <v>TBE</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6695</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we are working with them to get official certification.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has a signed contract with a CORES certified 3rd party resident-services contractor, Rainbow Housing. Rainbow Housing provides resident services which support resident outcomes related to education, health, transportation access, and economic security at the proposed development. Rainbow Housing's CORE certification has been provided as evidence.</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99.5">
      <c r="A1426" s="2406" t="str">
        <f>'Part VIII Scoring Criteria'!A275</f>
        <v xml:space="preserve">The proposed development is not located within the boundaries of a GICH community. </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2143098</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3890</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2143098</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6237</v>
      </c>
      <c r="J1448" s="2994">
        <f>'Part V-Revenues &amp; Expenses'!$P$67</f>
        <v>203</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6238</v>
      </c>
      <c r="J1449" s="2996">
        <f>IF(J1448=0,0,J1446/J1448)</f>
        <v>10557.133004926109</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6239</v>
      </c>
      <c r="J1451" s="3000">
        <f>'Part VIII Scoring Criteria'!J300</f>
        <v>1</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 xml:space="preserve">Applicant has received a commitment for up to $2,143,098 in historic tax credit equity as a source of favorable financing. This LOI has been provided as evidence, along with the approved Part 1, Part 2 and Part A. </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3378</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Deemed historic via Ga DNRHPD approved NPS Part 1 Evaluation of Significance</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2</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356.25">
      <c r="A1469" s="2406" t="str">
        <f>'Part VIII Scoring Criteria'!A318</f>
        <v>The structure is deemed historic through the approved NPS Historic Preservation Certification Application Part 1 is provided. The historic structure houses 100% of the total units.</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5</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1</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project has non-DCA PBRA through the HUD HAP contract, which covers 100% of units. As part of the HUD-approved Affirmative Fair Marketing Plan, the property has been approved for disabled residents. In order to provide supportive services for individuals with disabilities, the project team has contracted with a CORES certified 3rd party resident services coordinator. The resident services coordinator provides supportive services for all individuals with disabilities residing at the property. The HUD Affirmative Fair Housing Marketing Plan has been provided as evidence of this PBRA arrangement.</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384.75">
      <c r="A1498" s="2406" t="str">
        <f>'Part VIII Scoring Criteria'!A347</f>
        <v xml:space="preserve">The property has had an average monthly occupancy over the proceeding 24 months of greater than 95%. 24 months of rent rolls and a table has been provided as evidence.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3382</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4</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356.25">
      <c r="A1511" s="2406" t="str">
        <f>'Part VIII Scoring Criteria'!A360</f>
        <v>The property has a HUD Section 8 PBRA Contract that covers 202 units. A copy of the HUD PBRA contract has been provided in Section 02 and in Section 52.</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2</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2</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09.5">
      <c r="A1520" s="2406" t="str">
        <f>'Part VIII Scoring Criteria'!A369</f>
        <v>The property was placed in service in 2005. The 8609 and the LURC have been provided as evidence. Please note that no updated Cert of Occupancy was not issued as part of the 2004 renovation, as such the 8609 was provided in lieu of that document.</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6224</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42.5">
      <c r="A1540" s="2406" t="str">
        <f>'Part VIII Scoring Criteria'!A389</f>
        <v>The proposed development is not elligible for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9% tax credit allocation and the close of financing in the first quarter of 2024. Permit applications have undergone extensive review by the local building department  and will be ready for issuance upon payment. The Project is working through the pre-construction phases with our Architect, DNA Architecture + Design, Inc. and our General Contractor, Choate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Project schedule and detailed summary of the Project team are included in the Applicant folder 51Tiebrkr.</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Bon Air Apartments (the “Project”) is a 203-unit elderly affordable housing community prominently located upon a grassy knoll in the Summerville Historic District at 2101 Walton Way, Augusta, GA, 30904, and is listed on the National Register of Historic Places. The Project has been a symbol of Augusta since it was originally constructed in 1889 and was rebuilt following a fire in 1923. It was reconstructed as a luxury hotel with vast ballrooms catering to wealthy tourists and golf professionals.  It was utilized as such until 1960 when it was closed and converted into affordable housing. The Project was most recently renovated in 2005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Bon Air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the Bon Air, the project could be in jeopardy of losing the current subsidy due to physical deficiencies, especially as the project ages over the next 10 years.    
Without a HUD Section 8 HAP Subsidy, residents would be responsible for paying their entire rent, up to 60% AMI limits, or $778 for a studio and $834 for a one bedroom. Per the DCA Relocation Workbook, 30% of the average residents’ adjusted monthly income is $228, which represents the current amount that they pay for their apartment units. Residents would face a significant rent increase of $550 for a studio and $606 for a one-bedroom. Per the DCA Relocation Workbook, the residents at the Bon Air have an average adjusted household income of $9,730 or $810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99.5%. These properties have an average of 104 units each, this means that there are approximately 7 available affordable/subsidized units in the Augusta area. Should the affordable restrictions be eliminated at the Bon Air Apartments, there would be approximately 195 displaced residents from the Bon Air.
If the displaced residents were forced to look at comparable market rate housing, they would be facing an average rent of $935 for studio units and $1012 for one-bedroom units. Per the DCA Relocation Workbook, the residents at the Bon Air have an average adjusted household income of $9,730 or $810monthly.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Bon Air would be displaced from their unit and be unable to find comparable living arrangements absent the restrictions and subsidies that they currently enjoy. It is for these reasons that comparable affordable housing options truly do not exist in Augusta, GA.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6547</v>
      </c>
      <c r="BD1570" s="3006" t="s">
        <v>6548</v>
      </c>
      <c r="BE1570" s="3006" t="s">
        <v>6549</v>
      </c>
      <c r="BF1570" s="3006">
        <v>0.09</v>
      </c>
      <c r="BG1570" s="3006">
        <v>0.04</v>
      </c>
      <c r="BH1570" s="3006">
        <v>0.04</v>
      </c>
      <c r="BI1570" s="3006" t="s">
        <v>6929</v>
      </c>
      <c r="BJ1570" s="3006" t="s">
        <v>6547</v>
      </c>
      <c r="BK1570" s="3006" t="s">
        <v>6548</v>
      </c>
      <c r="BL1570" s="3006" t="s">
        <v>6549</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4065</v>
      </c>
      <c r="H1580" s="2397" t="s">
        <v>4066</v>
      </c>
      <c r="I1580" s="2402" t="s">
        <v>4064</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6947</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4068</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4067</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Yes</v>
      </c>
      <c r="AR1583" s="2397"/>
      <c r="AS1583" s="2468" t="s">
        <v>3371</v>
      </c>
      <c r="AT1583" s="2199" t="s">
        <v>4044</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Yes</v>
      </c>
      <c r="AR1584" s="2397"/>
      <c r="AS1584" s="2468" t="s">
        <v>2080</v>
      </c>
      <c r="AT1584" s="2199" t="s">
        <v>3805</v>
      </c>
      <c r="AU1584" s="2397"/>
      <c r="AV1584" s="2397"/>
      <c r="AW1584" s="2397"/>
      <c r="AX1584" s="2397"/>
      <c r="AY1584" s="3007">
        <f>O1361</f>
        <v>3</v>
      </c>
      <c r="AZ1584" s="3007">
        <f>O1361</f>
        <v>3</v>
      </c>
      <c r="BA1584" s="3007">
        <f>O1361</f>
        <v>3</v>
      </c>
      <c r="BB1584" s="3007">
        <f>O1361</f>
        <v>3</v>
      </c>
      <c r="BC1584" s="3007">
        <f>O1361</f>
        <v>3</v>
      </c>
      <c r="BD1584" s="3007">
        <f>O1361</f>
        <v>3</v>
      </c>
      <c r="BE1584" s="3007">
        <f>O1361</f>
        <v>3</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3274</v>
      </c>
      <c r="H1586" s="2342">
        <v>2019</v>
      </c>
      <c r="I1586" s="2342" t="s">
        <v>4067</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4067</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4068</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4068</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4067</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4068</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4067</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4</v>
      </c>
      <c r="BB1596" s="3007">
        <f>O1509</f>
        <v>4</v>
      </c>
      <c r="BC1596" s="3007">
        <f>O1509</f>
        <v>4</v>
      </c>
      <c r="BD1596" s="3007">
        <f>O1509</f>
        <v>4</v>
      </c>
      <c r="BE1596" s="3007">
        <f>O1509</f>
        <v>4</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2</v>
      </c>
      <c r="BB1597" s="3007">
        <f>O1516</f>
        <v>2</v>
      </c>
      <c r="BC1597" s="3007">
        <f>O1516</f>
        <v>2</v>
      </c>
      <c r="BD1597" s="3007">
        <f>O1516</f>
        <v>2</v>
      </c>
      <c r="BE1597" s="3007">
        <f>O1516</f>
        <v>2</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4068</v>
      </c>
      <c r="I1600" s="2402" t="s">
        <v>2453</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31</v>
      </c>
      <c r="AZ1600" s="2542">
        <f>'Part VIII Scoring Criteria'!AZ449</f>
        <v>29</v>
      </c>
      <c r="BA1600" s="2542">
        <f>'Part VIII Scoring Criteria'!BA449</f>
        <v>41</v>
      </c>
      <c r="BB1600" s="2542">
        <f>'Part VIII Scoring Criteria'!BB449</f>
        <v>41</v>
      </c>
      <c r="BC1600" s="2542">
        <f>'Part VIII Scoring Criteria'!BC449</f>
        <v>43</v>
      </c>
      <c r="BD1600" s="2542">
        <f>'Part VIII Scoring Criteria'!BD449</f>
        <v>43</v>
      </c>
      <c r="BE1600" s="2542">
        <f>'Part VIII Scoring Criteria'!BE449</f>
        <v>43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3347</v>
      </c>
      <c r="H1604" s="2342" t="s">
        <v>4068</v>
      </c>
      <c r="I1604" s="2402" t="s">
        <v>2453</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4068</v>
      </c>
      <c r="I1607" s="2402" t="s">
        <v>2453</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4068</v>
      </c>
      <c r="I1608" s="2402" t="s">
        <v>2453</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4062</v>
      </c>
      <c r="H1614" s="2342" t="s">
        <v>4068</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4068</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4068</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4068</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4068</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4" zoomScale="80" zoomScaleNormal="80" workbookViewId="0">
      <selection activeCell="P24" sqref="P24:Q24"/>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Bon Air, Augusta, Richmond County</v>
      </c>
      <c r="B2" s="3103"/>
      <c r="C2" s="3103"/>
      <c r="D2" s="3103"/>
      <c r="E2" s="3103"/>
      <c r="F2" s="3103"/>
      <c r="G2" s="3103"/>
      <c r="H2" s="3103"/>
      <c r="I2" s="3103"/>
      <c r="J2" s="3103"/>
      <c r="K2" s="3103"/>
      <c r="L2" s="3103"/>
      <c r="M2" s="3103"/>
      <c r="N2" s="3103"/>
      <c r="O2" s="3103"/>
      <c r="P2" s="3103"/>
      <c r="Q2" s="3104"/>
      <c r="S2" s="3195" t="str">
        <f>$A$2</f>
        <v>PART TWO - SOURCES OF FUNDS (Proposed)  -  2023-0 Bon Air, Augusta, Richmond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6081</v>
      </c>
      <c r="G6" s="144"/>
      <c r="I6" s="3206"/>
      <c r="J6" s="3207"/>
      <c r="L6" s="1232" t="s">
        <v>2652</v>
      </c>
      <c r="M6" s="224" t="s">
        <v>1437</v>
      </c>
      <c r="Q6" s="1620"/>
      <c r="S6" s="3197"/>
      <c r="T6" s="3198"/>
      <c r="Y6" s="1742"/>
      <c r="Z6" s="1706">
        <v>6</v>
      </c>
      <c r="AZ6" s="1676"/>
    </row>
    <row r="7" spans="1:52" s="223" customFormat="1" ht="16.5" customHeight="1">
      <c r="A7" s="375"/>
      <c r="B7" s="823" t="s">
        <v>2649</v>
      </c>
      <c r="C7" s="224" t="s">
        <v>3878</v>
      </c>
      <c r="D7" s="144"/>
      <c r="E7" s="818" t="s">
        <v>2652</v>
      </c>
      <c r="F7" s="224" t="s">
        <v>6082</v>
      </c>
      <c r="I7" s="3208"/>
      <c r="J7" s="3209"/>
      <c r="L7" s="823" t="s">
        <v>2652</v>
      </c>
      <c r="M7" s="224" t="s">
        <v>514</v>
      </c>
      <c r="P7" s="1620"/>
      <c r="Q7" s="1620"/>
      <c r="S7" s="3199"/>
      <c r="T7" s="3200"/>
      <c r="Y7" s="1742"/>
      <c r="Z7" s="1706">
        <v>7</v>
      </c>
      <c r="AZ7" s="1676"/>
    </row>
    <row r="8" spans="1:52" s="223" customFormat="1" ht="16.5" customHeight="1">
      <c r="A8" s="144"/>
      <c r="B8" s="823" t="s">
        <v>2652</v>
      </c>
      <c r="C8" s="224" t="s">
        <v>6662</v>
      </c>
      <c r="F8" s="223" t="s">
        <v>6665</v>
      </c>
      <c r="H8" s="3220" t="s">
        <v>3065</v>
      </c>
      <c r="I8" s="3221"/>
      <c r="J8" s="3222"/>
      <c r="L8" s="823" t="s">
        <v>2652</v>
      </c>
      <c r="M8" s="224" t="s">
        <v>6667</v>
      </c>
      <c r="P8" s="1620"/>
      <c r="Q8" s="1620"/>
      <c r="S8" s="3199"/>
      <c r="T8" s="3200"/>
      <c r="Y8" s="1742"/>
      <c r="Z8" s="1706">
        <v>8</v>
      </c>
      <c r="AZ8" s="1676"/>
    </row>
    <row r="9" spans="1:52" s="223" customFormat="1" ht="16.5" customHeight="1">
      <c r="A9" s="375"/>
      <c r="B9" s="823" t="s">
        <v>2652</v>
      </c>
      <c r="C9" s="223" t="s">
        <v>3302</v>
      </c>
      <c r="E9" s="1235" t="s">
        <v>2652</v>
      </c>
      <c r="F9" s="3212" t="s">
        <v>6661</v>
      </c>
      <c r="G9" s="3213"/>
      <c r="H9" s="3210"/>
      <c r="I9" s="3210"/>
      <c r="J9" s="3211"/>
      <c r="L9" s="823" t="s">
        <v>2652</v>
      </c>
      <c r="M9" s="224" t="s">
        <v>3879</v>
      </c>
      <c r="Q9" s="1620"/>
      <c r="S9" s="3201"/>
      <c r="T9" s="3202"/>
      <c r="Y9" s="1742"/>
      <c r="Z9" s="1706">
        <v>9</v>
      </c>
      <c r="AZ9" s="1676"/>
    </row>
    <row r="10" spans="1:52" s="223" customFormat="1" ht="16.5" customHeight="1">
      <c r="A10" s="375"/>
      <c r="B10" s="823" t="s">
        <v>2652</v>
      </c>
      <c r="C10" s="224" t="s">
        <v>2394</v>
      </c>
      <c r="F10" s="3214" t="s">
        <v>3771</v>
      </c>
      <c r="G10" s="3215"/>
      <c r="H10" s="3215"/>
      <c r="I10" s="3215"/>
      <c r="J10" s="3216"/>
      <c r="L10" s="823" t="s">
        <v>2652</v>
      </c>
      <c r="M10" s="224" t="s">
        <v>3193</v>
      </c>
      <c r="P10" s="1620"/>
      <c r="Q10" s="1620"/>
      <c r="S10" s="3197"/>
      <c r="T10" s="3198"/>
      <c r="Y10" s="1742"/>
      <c r="Z10" s="1706">
        <v>10</v>
      </c>
      <c r="AZ10" s="1676"/>
    </row>
    <row r="11" spans="1:52" s="223" customFormat="1" ht="16.5" customHeight="1">
      <c r="A11" s="375"/>
      <c r="B11" s="823" t="s">
        <v>2652</v>
      </c>
      <c r="C11" s="224" t="s">
        <v>2395</v>
      </c>
      <c r="E11" s="1235" t="s">
        <v>2652</v>
      </c>
      <c r="F11" s="3210" t="s">
        <v>6663</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3194</v>
      </c>
      <c r="F12" s="3203" t="s">
        <v>3772</v>
      </c>
      <c r="G12" s="3204"/>
      <c r="H12" s="3223"/>
      <c r="I12" s="3223"/>
      <c r="J12" s="3224"/>
      <c r="L12" s="823" t="s">
        <v>2652</v>
      </c>
      <c r="M12" s="223" t="s">
        <v>3220</v>
      </c>
      <c r="S12" s="3199"/>
      <c r="T12" s="3200"/>
      <c r="Y12" s="1742"/>
      <c r="Z12" s="1706">
        <v>12</v>
      </c>
      <c r="AZ12" s="1676"/>
    </row>
    <row r="13" spans="1:52" s="223" customFormat="1" ht="16.5" customHeight="1">
      <c r="A13" s="375"/>
      <c r="B13" s="823" t="s">
        <v>2649</v>
      </c>
      <c r="C13" s="224" t="s">
        <v>6664</v>
      </c>
      <c r="E13" s="1232" t="s">
        <v>2652</v>
      </c>
      <c r="F13" s="224" t="s">
        <v>6666</v>
      </c>
      <c r="H13" s="3203" t="s">
        <v>3293</v>
      </c>
      <c r="I13" s="3204"/>
      <c r="J13" s="3205"/>
      <c r="L13" s="823" t="s">
        <v>2652</v>
      </c>
      <c r="M13" s="223" t="s">
        <v>6080</v>
      </c>
      <c r="S13" s="3199"/>
      <c r="T13" s="3200"/>
      <c r="Y13" s="1742"/>
      <c r="Z13" s="1706">
        <v>13</v>
      </c>
      <c r="AZ13" s="1676"/>
    </row>
    <row r="14" spans="1:52" s="223" customFormat="1" ht="16.5" customHeight="1">
      <c r="A14" s="375"/>
      <c r="B14" s="823" t="s">
        <v>2652</v>
      </c>
      <c r="C14" s="223" t="s">
        <v>2397</v>
      </c>
      <c r="E14" s="823" t="s">
        <v>2652</v>
      </c>
      <c r="F14" s="224" t="s">
        <v>3301</v>
      </c>
      <c r="L14" s="823" t="s">
        <v>2652</v>
      </c>
      <c r="M14" s="223" t="s">
        <v>6712</v>
      </c>
      <c r="S14" s="3201"/>
      <c r="T14" s="3202"/>
      <c r="Y14" s="1742"/>
      <c r="Z14" s="1706">
        <v>14</v>
      </c>
      <c r="AZ14" s="1676"/>
    </row>
    <row r="15" spans="1:52" s="223" customFormat="1" ht="16.5" customHeight="1">
      <c r="A15" s="375"/>
      <c r="B15" s="823" t="s">
        <v>2652</v>
      </c>
      <c r="C15" s="223" t="s">
        <v>3219</v>
      </c>
      <c r="E15" s="823" t="s">
        <v>2652</v>
      </c>
      <c r="F15" s="224" t="s">
        <v>6083</v>
      </c>
      <c r="L15" s="823" t="s">
        <v>2652</v>
      </c>
      <c r="M15" s="1621" t="s">
        <v>6084</v>
      </c>
      <c r="Y15" s="1742"/>
      <c r="Z15" s="1706">
        <v>15</v>
      </c>
      <c r="AZ15" s="1676"/>
    </row>
    <row r="16" spans="1:52" s="223" customFormat="1" ht="16.5" customHeight="1">
      <c r="A16" s="375"/>
      <c r="B16" s="818" t="s">
        <v>2652</v>
      </c>
      <c r="C16" s="224" t="s">
        <v>1673</v>
      </c>
      <c r="E16" s="818" t="s">
        <v>2652</v>
      </c>
      <c r="F16" s="224" t="s">
        <v>6501</v>
      </c>
      <c r="I16" s="3181"/>
      <c r="J16" s="3182"/>
      <c r="L16" s="818" t="s">
        <v>2652</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3846</v>
      </c>
      <c r="M21" s="3185"/>
      <c r="N21" s="3185" t="s">
        <v>1410</v>
      </c>
      <c r="O21" s="3185"/>
      <c r="P21" s="3185" t="s">
        <v>1523</v>
      </c>
      <c r="Q21" s="3185"/>
      <c r="S21" s="3196" t="s">
        <v>2448</v>
      </c>
      <c r="T21" s="3196"/>
      <c r="Y21" s="1742"/>
      <c r="Z21" s="1706">
        <v>21</v>
      </c>
      <c r="AZ21" s="1676" t="s">
        <v>6342</v>
      </c>
    </row>
    <row r="22" spans="1:52" s="223" customFormat="1" ht="15.75" customHeight="1">
      <c r="A22" s="144"/>
      <c r="B22" s="3225" t="s">
        <v>1486</v>
      </c>
      <c r="C22" s="3226"/>
      <c r="D22" s="3226"/>
      <c r="E22" s="821"/>
      <c r="F22" s="821"/>
      <c r="G22" s="821"/>
      <c r="H22" s="3227" t="s">
        <v>7044</v>
      </c>
      <c r="I22" s="3228"/>
      <c r="J22" s="3228"/>
      <c r="K22" s="3229"/>
      <c r="L22" s="3230">
        <v>32100000</v>
      </c>
      <c r="M22" s="3231"/>
      <c r="N22" s="3232">
        <v>0.05</v>
      </c>
      <c r="O22" s="3233"/>
      <c r="P22" s="3234">
        <v>36</v>
      </c>
      <c r="Q22" s="3235"/>
      <c r="S22" s="3197"/>
      <c r="T22" s="3198"/>
      <c r="Y22" s="1742" t="s">
        <v>6342</v>
      </c>
      <c r="Z22" s="1706">
        <v>22</v>
      </c>
      <c r="AZ22" s="1676" t="s">
        <v>6343</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6343</v>
      </c>
      <c r="Z23" s="1706">
        <v>23</v>
      </c>
      <c r="AZ23" s="1676" t="s">
        <v>6344</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6344</v>
      </c>
      <c r="Z24" s="1706">
        <v>24</v>
      </c>
      <c r="AZ24" s="1676" t="s">
        <v>6345</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6345</v>
      </c>
      <c r="Z25" s="1706">
        <v>25</v>
      </c>
      <c r="AZ25" s="1676" t="s">
        <v>6346</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6346</v>
      </c>
      <c r="Z26" s="1706">
        <v>26</v>
      </c>
      <c r="AZ26" s="1676" t="s">
        <v>6347</v>
      </c>
    </row>
    <row r="27" spans="1:52" s="223" customFormat="1" ht="15.75" customHeight="1">
      <c r="A27" s="144"/>
      <c r="B27" s="3236" t="s">
        <v>595</v>
      </c>
      <c r="C27" s="3237"/>
      <c r="D27" s="3237"/>
      <c r="E27" s="144"/>
      <c r="H27" s="3238" t="s">
        <v>7047</v>
      </c>
      <c r="I27" s="3239"/>
      <c r="J27" s="3239"/>
      <c r="K27" s="3240"/>
      <c r="L27" s="3241">
        <v>726061</v>
      </c>
      <c r="M27" s="3242"/>
      <c r="N27" s="3248"/>
      <c r="O27" s="3249"/>
      <c r="P27" s="3183"/>
      <c r="Q27" s="3183"/>
      <c r="S27" s="3199"/>
      <c r="T27" s="3200"/>
      <c r="Y27" s="1742" t="s">
        <v>6347</v>
      </c>
      <c r="Z27" s="1706">
        <v>27</v>
      </c>
      <c r="AZ27" s="1676" t="s">
        <v>6348</v>
      </c>
    </row>
    <row r="28" spans="1:52" s="223" customFormat="1" ht="15.75" customHeight="1">
      <c r="A28" s="144"/>
      <c r="B28" s="3236" t="s">
        <v>746</v>
      </c>
      <c r="C28" s="3237"/>
      <c r="D28" s="3237"/>
      <c r="E28" s="144"/>
      <c r="H28" s="3238" t="s">
        <v>7102</v>
      </c>
      <c r="I28" s="3239"/>
      <c r="J28" s="3239"/>
      <c r="K28" s="3240"/>
      <c r="L28" s="3241">
        <v>2292645.7125000004</v>
      </c>
      <c r="M28" s="3242"/>
      <c r="N28" s="144"/>
      <c r="Q28" s="144"/>
      <c r="S28" s="3201"/>
      <c r="T28" s="3202"/>
      <c r="Y28" s="1742" t="s">
        <v>6348</v>
      </c>
      <c r="Z28" s="1706">
        <v>28</v>
      </c>
      <c r="AZ28" s="1676" t="s">
        <v>6349</v>
      </c>
    </row>
    <row r="29" spans="1:52" s="223" customFormat="1" ht="15.75" customHeight="1">
      <c r="A29" s="144"/>
      <c r="B29" s="3236" t="s">
        <v>747</v>
      </c>
      <c r="C29" s="3237"/>
      <c r="D29" s="3237"/>
      <c r="E29" s="144"/>
      <c r="H29" s="3238" t="s">
        <v>7102</v>
      </c>
      <c r="I29" s="3239"/>
      <c r="J29" s="3239"/>
      <c r="K29" s="3240"/>
      <c r="L29" s="3241">
        <v>2419708.0049999999</v>
      </c>
      <c r="M29" s="3242"/>
      <c r="N29" s="144"/>
      <c r="Q29" s="144"/>
      <c r="S29" s="3197"/>
      <c r="T29" s="3198"/>
      <c r="Y29" s="1742" t="s">
        <v>6349</v>
      </c>
      <c r="Z29" s="1706">
        <v>29</v>
      </c>
      <c r="AZ29" s="1676" t="s">
        <v>6350</v>
      </c>
    </row>
    <row r="30" spans="1:52" s="223" customFormat="1" ht="15.75" customHeight="1">
      <c r="A30" s="144"/>
      <c r="B30" s="820" t="s">
        <v>232</v>
      </c>
      <c r="C30" s="144"/>
      <c r="D30" s="3256" t="s">
        <v>7045</v>
      </c>
      <c r="E30" s="3256"/>
      <c r="F30" s="3256"/>
      <c r="G30" s="3256"/>
      <c r="H30" s="3238" t="s">
        <v>7102</v>
      </c>
      <c r="I30" s="3239"/>
      <c r="J30" s="3239"/>
      <c r="K30" s="3240"/>
      <c r="L30" s="3241">
        <v>535774.43352936418</v>
      </c>
      <c r="M30" s="3242"/>
      <c r="N30" s="144"/>
      <c r="Q30" s="144"/>
      <c r="S30" s="3199"/>
      <c r="T30" s="3200"/>
      <c r="Y30" s="1742" t="s">
        <v>6350</v>
      </c>
      <c r="Z30" s="1706">
        <v>30</v>
      </c>
      <c r="AZ30" s="1676" t="s">
        <v>6351</v>
      </c>
    </row>
    <row r="31" spans="1:52" s="223" customFormat="1" ht="15.75" customHeight="1">
      <c r="A31" s="144"/>
      <c r="B31" s="820" t="s">
        <v>232</v>
      </c>
      <c r="C31" s="144"/>
      <c r="D31" s="3257" t="s">
        <v>1733</v>
      </c>
      <c r="E31" s="3257"/>
      <c r="F31" s="3257"/>
      <c r="G31" s="3257"/>
      <c r="H31" s="3238"/>
      <c r="I31" s="3239"/>
      <c r="J31" s="3239"/>
      <c r="K31" s="3240"/>
      <c r="L31" s="3241">
        <v>670000</v>
      </c>
      <c r="M31" s="3242"/>
      <c r="N31" s="144"/>
      <c r="S31" s="3199"/>
      <c r="T31" s="3200"/>
      <c r="Y31" s="1742" t="s">
        <v>6351</v>
      </c>
      <c r="Z31" s="1706">
        <v>31</v>
      </c>
      <c r="AZ31" s="1676" t="s">
        <v>6352</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6352</v>
      </c>
      <c r="Z32" s="1706">
        <v>32</v>
      </c>
      <c r="AZ32" s="1676"/>
    </row>
    <row r="33" spans="1:52" s="223" customFormat="1" ht="16.5" customHeight="1">
      <c r="A33" s="144"/>
      <c r="B33" s="222" t="s">
        <v>1221</v>
      </c>
      <c r="C33" s="144"/>
      <c r="D33" s="144"/>
      <c r="E33" s="144"/>
      <c r="F33" s="144"/>
      <c r="G33" s="144"/>
      <c r="H33" s="144"/>
      <c r="I33" s="144"/>
      <c r="L33" s="3259">
        <f>SUM(L22:L32)</f>
        <v>38744189.151029363</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38724335.425747097</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19853.725282266736</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3845</v>
      </c>
      <c r="J39" s="3185"/>
      <c r="K39" s="446" t="s">
        <v>1675</v>
      </c>
      <c r="L39" s="446" t="s">
        <v>2046</v>
      </c>
      <c r="M39" s="446" t="s">
        <v>2046</v>
      </c>
      <c r="N39" s="3185" t="s">
        <v>69</v>
      </c>
      <c r="O39" s="3185"/>
      <c r="P39" s="3266"/>
      <c r="Q39" s="3266"/>
      <c r="S39" s="3196" t="s">
        <v>2448</v>
      </c>
      <c r="T39" s="3196"/>
      <c r="Y39" s="1742"/>
      <c r="Z39" s="1706">
        <v>39</v>
      </c>
      <c r="AZ39" s="1676" t="s">
        <v>6353</v>
      </c>
    </row>
    <row r="40" spans="1:52" s="223" customFormat="1" ht="15" customHeight="1">
      <c r="A40" s="144"/>
      <c r="B40" s="3225" t="s">
        <v>2402</v>
      </c>
      <c r="C40" s="3226"/>
      <c r="D40" s="3226"/>
      <c r="E40" s="3227" t="s">
        <v>7044</v>
      </c>
      <c r="F40" s="3228"/>
      <c r="G40" s="3228"/>
      <c r="H40" s="3229"/>
      <c r="I40" s="3287">
        <v>19060000</v>
      </c>
      <c r="J40" s="3288"/>
      <c r="K40" s="654">
        <v>0.05</v>
      </c>
      <c r="L40" s="822">
        <v>17</v>
      </c>
      <c r="M40" s="822">
        <v>40</v>
      </c>
      <c r="N40" s="3272" t="s">
        <v>7046</v>
      </c>
      <c r="O40" s="3272"/>
      <c r="P40" s="3286">
        <f>IF(OR(I40&lt;=0,I40=""),"",IF(N40="Cash Flow",0,IF(N40="Amortizing",-PMT(K40/12,M40*12,I40,0,0)*12,"")))</f>
        <v>1102880.0648455757</v>
      </c>
      <c r="Q40" s="3286"/>
      <c r="S40" s="3197"/>
      <c r="T40" s="3198"/>
      <c r="Y40" s="1742" t="s">
        <v>6353</v>
      </c>
      <c r="Z40" s="1706">
        <v>40</v>
      </c>
      <c r="AZ40" s="1676" t="s">
        <v>6354</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6354</v>
      </c>
      <c r="Z41" s="1706">
        <v>41</v>
      </c>
      <c r="AZ41" s="1676" t="s">
        <v>6355</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6355</v>
      </c>
      <c r="Z42" s="1706">
        <v>42</v>
      </c>
      <c r="AZ42" s="1676" t="s">
        <v>6356</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6356</v>
      </c>
      <c r="Z43" s="1706">
        <v>43</v>
      </c>
      <c r="AZ43" s="1676" t="s">
        <v>6357</v>
      </c>
    </row>
    <row r="44" spans="1:52" s="223" customFormat="1" ht="15" customHeight="1">
      <c r="A44" s="144"/>
      <c r="B44" s="820" t="s">
        <v>3945</v>
      </c>
      <c r="C44" s="144"/>
      <c r="D44" s="824"/>
      <c r="E44" s="3238"/>
      <c r="F44" s="3239"/>
      <c r="G44" s="3239"/>
      <c r="H44" s="3240"/>
      <c r="I44" s="3269"/>
      <c r="J44" s="3270"/>
      <c r="K44" s="364"/>
      <c r="L44" s="819"/>
      <c r="M44" s="819"/>
      <c r="N44" s="3301"/>
      <c r="O44" s="3301"/>
      <c r="P44" s="3300"/>
      <c r="Q44" s="3300"/>
      <c r="S44" s="3199"/>
      <c r="T44" s="3200"/>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0.27393955922551083</v>
      </c>
      <c r="E45" s="3186" t="s">
        <v>7047</v>
      </c>
      <c r="F45" s="3187"/>
      <c r="G45" s="3187"/>
      <c r="H45" s="3188"/>
      <c r="I45" s="3273">
        <v>547879.11845102161</v>
      </c>
      <c r="J45" s="3274"/>
      <c r="K45" s="653">
        <v>0</v>
      </c>
      <c r="L45" s="652">
        <v>15</v>
      </c>
      <c r="M45" s="652">
        <v>15</v>
      </c>
      <c r="N45" s="3043" t="s">
        <v>1096</v>
      </c>
      <c r="O45" s="3044"/>
      <c r="P45" s="3275">
        <f>IF(OR(I45&lt;=0,I45=""),"",IF(N45="Cash Flow",0,IF(N45="Amortizing",-PMT(K45/12,M45*12,I45,0,0)*12,"")))</f>
        <v>0</v>
      </c>
      <c r="Q45" s="3276"/>
      <c r="S45" s="3199"/>
      <c r="T45" s="3200"/>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3407</v>
      </c>
      <c r="C47" s="144"/>
      <c r="E47" s="223" t="s">
        <v>3365</v>
      </c>
      <c r="F47" s="3284">
        <f>IF(OR($I$45="",$I$45=0,'Part VI-Pro Forma'!$S$35=0,'Part VI-Pro Forma'!$S$35=""),"",VLOOKUP($L$45,'Part VI-Pro Forma'!$Q$21:$S$40,3))</f>
        <v>5791238.1177113634</v>
      </c>
      <c r="G47" s="3285"/>
      <c r="H47" s="485" t="s">
        <v>3406</v>
      </c>
      <c r="I47" s="3284">
        <f>IF(OR($I$45="",$I$45=0,'Part VI-Pro Forma'!$R$35=0,'Part VI-Pro Forma'!$R$35=""),"",VLOOKUP($L$45,'Part VI-Pro Forma'!$Q$21:$S$35,2))</f>
        <v>547879</v>
      </c>
      <c r="J47" s="3285"/>
      <c r="K47" s="485" t="s">
        <v>3408</v>
      </c>
      <c r="L47" s="3282">
        <f>IF(OR($F$47 = 0,$F$47 =""),"",$I$47/$F$47)</f>
        <v>9.4604813144260086E-2</v>
      </c>
      <c r="M47" s="3283"/>
      <c r="N47" s="3307" t="s">
        <v>3849</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6359</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6359</v>
      </c>
      <c r="Z49" s="1706">
        <v>49</v>
      </c>
      <c r="AZ49" s="1676" t="s">
        <v>6360</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6360</v>
      </c>
      <c r="Z50" s="1706">
        <v>50</v>
      </c>
      <c r="AZ50" s="1676" t="s">
        <v>6361</v>
      </c>
    </row>
    <row r="51" spans="1:52" s="223" customFormat="1" ht="15" customHeight="1">
      <c r="A51" s="144"/>
      <c r="B51" s="3236" t="s">
        <v>746</v>
      </c>
      <c r="C51" s="3237"/>
      <c r="D51" s="3277"/>
      <c r="E51" s="3238" t="s">
        <v>7102</v>
      </c>
      <c r="F51" s="3239"/>
      <c r="G51" s="3239"/>
      <c r="H51" s="3240"/>
      <c r="I51" s="3269">
        <v>9170582.8499999996</v>
      </c>
      <c r="J51" s="3269"/>
      <c r="L51" s="3280">
        <f>'Part III-A-Uses of Funds'!$J$191*10*'Part III-A-Uses of Funds'!$N$182</f>
        <v>9171500</v>
      </c>
      <c r="M51" s="3280"/>
      <c r="N51" s="3281">
        <f>I51-L51</f>
        <v>-917.15000000037253</v>
      </c>
      <c r="O51" s="3281"/>
      <c r="P51" s="324">
        <f>I51/I61</f>
        <v>0.2253736671524012</v>
      </c>
      <c r="Q51" s="144"/>
      <c r="S51" s="3199"/>
      <c r="T51" s="3200"/>
      <c r="Y51" s="1742" t="s">
        <v>6361</v>
      </c>
      <c r="Z51" s="1706">
        <v>51</v>
      </c>
      <c r="AZ51" s="1676" t="s">
        <v>6362</v>
      </c>
    </row>
    <row r="52" spans="1:52" s="223" customFormat="1" ht="15" customHeight="1">
      <c r="A52" s="144"/>
      <c r="B52" s="3236" t="s">
        <v>747</v>
      </c>
      <c r="C52" s="3237"/>
      <c r="D52" s="3277"/>
      <c r="E52" s="3238" t="s">
        <v>7102</v>
      </c>
      <c r="F52" s="3239"/>
      <c r="G52" s="3239"/>
      <c r="H52" s="3240"/>
      <c r="I52" s="3269">
        <v>8065693.3658825429</v>
      </c>
      <c r="J52" s="3269"/>
      <c r="L52" s="3280">
        <f>'Part III-A-Uses of Funds'!$J$191*10*'Part III-A-Uses of Funds'!$Q$182</f>
        <v>8066500</v>
      </c>
      <c r="M52" s="3280"/>
      <c r="N52" s="3281">
        <f>I52-L52</f>
        <v>-806.63411745708436</v>
      </c>
      <c r="O52" s="3281"/>
      <c r="P52" s="324">
        <f>I52/I61</f>
        <v>0.19822021366894285</v>
      </c>
      <c r="Q52" s="144"/>
      <c r="S52" s="3199"/>
      <c r="T52" s="3200"/>
      <c r="Y52" s="1742" t="s">
        <v>6362</v>
      </c>
      <c r="Z52" s="1706">
        <v>52</v>
      </c>
      <c r="AZ52" s="1676" t="s">
        <v>6363</v>
      </c>
    </row>
    <row r="53" spans="1:52" s="223" customFormat="1" ht="15" customHeight="1">
      <c r="A53" s="144"/>
      <c r="B53" s="3236" t="s">
        <v>1331</v>
      </c>
      <c r="C53" s="3237"/>
      <c r="D53" s="3277"/>
      <c r="E53" s="3238" t="s">
        <v>7102</v>
      </c>
      <c r="F53" s="3239"/>
      <c r="G53" s="3239"/>
      <c r="H53" s="3240"/>
      <c r="I53" s="3269">
        <v>2143097.7341174567</v>
      </c>
      <c r="J53" s="3269"/>
      <c r="P53" s="325">
        <f>SUM(P51:P52)</f>
        <v>0.42359388082134408</v>
      </c>
      <c r="Q53" s="144"/>
      <c r="S53" s="3201"/>
      <c r="T53" s="3202"/>
      <c r="Y53" s="1742" t="s">
        <v>6363</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v>1703790.9491786221</v>
      </c>
      <c r="J56" s="3269"/>
      <c r="M56" s="301"/>
      <c r="N56" s="301"/>
      <c r="O56" s="301"/>
      <c r="P56" s="301"/>
      <c r="Q56" s="144"/>
      <c r="S56" s="3199"/>
      <c r="T56" s="3200"/>
      <c r="Y56" s="1742"/>
      <c r="Z56" s="1706">
        <v>56</v>
      </c>
      <c r="AZ56" s="1676" t="s">
        <v>6364</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6364</v>
      </c>
      <c r="Z57" s="1706">
        <v>57</v>
      </c>
      <c r="AZ57" s="1676" t="s">
        <v>6365</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6365</v>
      </c>
      <c r="Z58" s="1706">
        <v>58</v>
      </c>
      <c r="AZ58" s="1676" t="s">
        <v>6366</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6366</v>
      </c>
      <c r="Z59" s="1706">
        <v>59</v>
      </c>
      <c r="AZ59" s="1676"/>
    </row>
    <row r="60" spans="1:52" s="223" customFormat="1" ht="14.25" customHeight="1">
      <c r="A60" s="144"/>
      <c r="B60" s="246" t="s">
        <v>2048</v>
      </c>
      <c r="C60" s="144"/>
      <c r="D60" s="144"/>
      <c r="E60" s="144"/>
      <c r="F60" s="144"/>
      <c r="G60" s="144"/>
      <c r="I60" s="3310">
        <f>SUM(I40:J45)+SUM(I49:J59)</f>
        <v>40691044.017629638</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40690569.425747097</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474.5918825417757</v>
      </c>
      <c r="J62" s="3315"/>
      <c r="K62" s="144"/>
      <c r="L62" s="248"/>
      <c r="M62" s="301"/>
      <c r="N62" s="301"/>
      <c r="O62" s="301"/>
      <c r="P62" s="301"/>
      <c r="Q62" s="144"/>
      <c r="S62" s="3201"/>
      <c r="T62" s="3202"/>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5" zoomScaleNormal="100" workbookViewId="0">
      <selection activeCell="F181" sqref="F18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Bon Air, Augusta, Richmond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Bon Air, Augusta, Richmond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12500</v>
      </c>
      <c r="H9" s="3231"/>
      <c r="J9" s="3230"/>
      <c r="K9" s="3231"/>
      <c r="L9" s="828"/>
      <c r="M9" s="3230"/>
      <c r="N9" s="3231"/>
      <c r="P9" s="3230">
        <v>12500</v>
      </c>
      <c r="Q9" s="3231"/>
      <c r="S9" s="3230"/>
      <c r="T9" s="3231"/>
      <c r="V9" s="849"/>
      <c r="W9" s="3342"/>
      <c r="X9" s="3343"/>
      <c r="AZ9" s="1968"/>
      <c r="BA9" s="1706">
        <v>9</v>
      </c>
    </row>
    <row r="10" spans="1:53" s="144" customFormat="1" ht="11.25" customHeight="1">
      <c r="B10" s="144" t="s">
        <v>431</v>
      </c>
      <c r="G10" s="3241">
        <v>17500</v>
      </c>
      <c r="H10" s="3242"/>
      <c r="J10" s="3241"/>
      <c r="K10" s="3242"/>
      <c r="L10" s="828"/>
      <c r="M10" s="3241"/>
      <c r="N10" s="3242"/>
      <c r="P10" s="3241">
        <v>17500</v>
      </c>
      <c r="Q10" s="3242"/>
      <c r="S10" s="3241"/>
      <c r="T10" s="3242"/>
      <c r="V10" s="849"/>
      <c r="W10" s="3342"/>
      <c r="X10" s="3343"/>
      <c r="AZ10" s="1968"/>
      <c r="BA10" s="1706">
        <v>10</v>
      </c>
    </row>
    <row r="11" spans="1:53" s="144" customFormat="1" ht="11.25" customHeight="1">
      <c r="B11" s="144" t="s">
        <v>458</v>
      </c>
      <c r="G11" s="3241">
        <v>15000</v>
      </c>
      <c r="H11" s="3242"/>
      <c r="J11" s="3241"/>
      <c r="K11" s="3242"/>
      <c r="L11" s="828"/>
      <c r="M11" s="3241"/>
      <c r="N11" s="3242"/>
      <c r="P11" s="3241">
        <v>15000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c r="H13" s="3242"/>
      <c r="J13" s="3241"/>
      <c r="K13" s="3242"/>
      <c r="L13" s="828"/>
      <c r="M13" s="3241"/>
      <c r="N13" s="3242"/>
      <c r="P13" s="3241"/>
      <c r="Q13" s="3242"/>
      <c r="S13" s="3241"/>
      <c r="T13" s="3242"/>
      <c r="V13" s="849"/>
      <c r="W13" s="3342"/>
      <c r="X13" s="3343"/>
      <c r="AZ13" s="1968"/>
      <c r="BA13" s="1706">
        <v>13</v>
      </c>
    </row>
    <row r="14" spans="1:53" s="144" customFormat="1" ht="11.25" customHeight="1">
      <c r="B14" s="144" t="s">
        <v>183</v>
      </c>
      <c r="G14" s="3241">
        <v>20000</v>
      </c>
      <c r="H14" s="3242"/>
      <c r="J14" s="3241"/>
      <c r="K14" s="3242"/>
      <c r="L14" s="828"/>
      <c r="M14" s="3241"/>
      <c r="N14" s="3242"/>
      <c r="P14" s="3241">
        <v>20000</v>
      </c>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6273</v>
      </c>
      <c r="C15" s="3377" t="s">
        <v>7048</v>
      </c>
      <c r="D15" s="3377"/>
      <c r="E15" s="3377"/>
      <c r="F15" s="3378"/>
      <c r="G15" s="3241">
        <v>25000</v>
      </c>
      <c r="H15" s="3242"/>
      <c r="J15" s="3241"/>
      <c r="K15" s="3242"/>
      <c r="L15" s="828"/>
      <c r="M15" s="3241"/>
      <c r="N15" s="3242"/>
      <c r="P15" s="3241">
        <v>25000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6367</v>
      </c>
      <c r="BA15" s="1706">
        <v>15</v>
      </c>
    </row>
    <row r="16" spans="1:53" s="144" customFormat="1" ht="11.25" customHeight="1">
      <c r="A16" s="303" t="str">
        <f>IF(AND(G16&gt;0,OR(C16="",C16="&lt;Enter detailed description here; use Comments section if needed&gt;")),"X","")</f>
        <v/>
      </c>
      <c r="B16" s="147" t="s">
        <v>6274</v>
      </c>
      <c r="C16" s="3377" t="s">
        <v>7049</v>
      </c>
      <c r="D16" s="3377"/>
      <c r="E16" s="3377"/>
      <c r="F16" s="3378"/>
      <c r="G16" s="3241">
        <v>50000</v>
      </c>
      <c r="H16" s="3242"/>
      <c r="J16" s="3241"/>
      <c r="K16" s="3242"/>
      <c r="L16" s="828"/>
      <c r="M16" s="3241"/>
      <c r="N16" s="3242"/>
      <c r="P16" s="3241"/>
      <c r="Q16" s="3242"/>
      <c r="S16" s="3241">
        <v>50000</v>
      </c>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6368</v>
      </c>
      <c r="BA16" s="1706">
        <v>16</v>
      </c>
    </row>
    <row r="17" spans="1:53" s="144" customFormat="1" ht="11.25" customHeight="1" thickBot="1">
      <c r="A17" s="303" t="str">
        <f>IF(AND(G17&gt;0,OR(C17="",C17="&lt;Enter detailed description here; use Comments section if needed&gt;")),"X","")</f>
        <v/>
      </c>
      <c r="B17" s="147" t="s">
        <v>6275</v>
      </c>
      <c r="C17" s="3377" t="s">
        <v>6723</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6369</v>
      </c>
      <c r="BA17" s="1706">
        <v>17</v>
      </c>
    </row>
    <row r="18" spans="1:53" s="144" customFormat="1" ht="12.6" customHeight="1" thickTop="1">
      <c r="F18" s="281" t="s">
        <v>184</v>
      </c>
      <c r="G18" s="3338">
        <f>SUM(G9:G17)</f>
        <v>140000</v>
      </c>
      <c r="H18" s="3339"/>
      <c r="J18" s="3338">
        <f>SUM(J9:J17)</f>
        <v>0</v>
      </c>
      <c r="K18" s="3339"/>
      <c r="L18" s="828"/>
      <c r="M18" s="3338">
        <f>SUM(M9:M17)</f>
        <v>0</v>
      </c>
      <c r="N18" s="3339"/>
      <c r="P18" s="3338">
        <f>SUM(P9:P17)</f>
        <v>90000</v>
      </c>
      <c r="Q18" s="3339"/>
      <c r="S18" s="3338">
        <f>SUM(S9:S17)</f>
        <v>50000</v>
      </c>
      <c r="T18" s="3339"/>
      <c r="V18" s="851">
        <f>SUM(V9:V17)</f>
        <v>0</v>
      </c>
      <c r="W18" s="3351"/>
      <c r="X18" s="3352"/>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164686.82505399568</v>
      </c>
      <c r="G20" s="3230">
        <v>1525000</v>
      </c>
      <c r="H20" s="3231"/>
      <c r="J20" s="283"/>
      <c r="K20" s="280"/>
      <c r="L20" s="283"/>
      <c r="M20" s="283"/>
      <c r="N20" s="280"/>
      <c r="P20" s="283"/>
      <c r="Q20" s="280"/>
      <c r="S20" s="3230">
        <v>1525000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v>0</v>
      </c>
      <c r="T22" s="3242"/>
      <c r="V22" s="849"/>
      <c r="W22" s="3342"/>
      <c r="X22" s="3343"/>
      <c r="AZ22" s="1968"/>
      <c r="BA22" s="1706">
        <v>22</v>
      </c>
    </row>
    <row r="23" spans="1:53" s="144" customFormat="1" ht="11.25" customHeight="1" thickBot="1">
      <c r="B23" s="144" t="s">
        <v>405</v>
      </c>
      <c r="G23" s="3340">
        <v>13725000</v>
      </c>
      <c r="H23" s="3341"/>
      <c r="J23" s="283"/>
      <c r="K23" s="280"/>
      <c r="L23" s="283"/>
      <c r="M23" s="3340"/>
      <c r="N23" s="3341"/>
      <c r="P23" s="283"/>
      <c r="Q23" s="280"/>
      <c r="S23" s="3340">
        <v>13725000</v>
      </c>
      <c r="T23" s="3341"/>
      <c r="V23" s="849"/>
      <c r="W23" s="3349"/>
      <c r="X23" s="3350"/>
      <c r="AZ23" s="1968"/>
      <c r="BA23" s="1706">
        <v>23</v>
      </c>
    </row>
    <row r="24" spans="1:53" s="144" customFormat="1" ht="12.6" customHeight="1" thickTop="1">
      <c r="F24" s="281" t="s">
        <v>184</v>
      </c>
      <c r="G24" s="3338">
        <f>SUM(G20:G23)</f>
        <v>15250000</v>
      </c>
      <c r="H24" s="3339"/>
      <c r="J24" s="283"/>
      <c r="K24" s="280"/>
      <c r="L24" s="283"/>
      <c r="M24" s="3338">
        <f>SUM(M22:M23)</f>
        <v>0</v>
      </c>
      <c r="N24" s="3339"/>
      <c r="P24" s="283"/>
      <c r="Q24" s="280"/>
      <c r="S24" s="3338">
        <f>SUM(S20:S23)</f>
        <v>15250000</v>
      </c>
      <c r="T24" s="3339"/>
      <c r="V24" s="851">
        <f>SUM(V20:V23)</f>
        <v>0</v>
      </c>
      <c r="W24" s="3351"/>
      <c r="X24" s="3352"/>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37791.792656587473</v>
      </c>
      <c r="G26" s="3230">
        <v>349952</v>
      </c>
      <c r="H26" s="3231"/>
      <c r="J26" s="3230"/>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349952</v>
      </c>
      <c r="H28" s="3339"/>
      <c r="J28" s="3338">
        <f>SUM(J26:J27)</f>
        <v>0</v>
      </c>
      <c r="K28" s="3339"/>
      <c r="L28" s="283"/>
      <c r="M28" s="3338">
        <f>M26</f>
        <v>0</v>
      </c>
      <c r="N28" s="3339"/>
      <c r="P28" s="3338">
        <f>P26</f>
        <v>0</v>
      </c>
      <c r="Q28" s="3339"/>
      <c r="S28" s="3338">
        <f>SUM(S26:S27)</f>
        <v>0</v>
      </c>
      <c r="T28" s="3339"/>
      <c r="V28" s="851">
        <f>SUM(V26:V27)</f>
        <v>0</v>
      </c>
      <c r="W28" s="3351"/>
      <c r="X28" s="3352"/>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13704048</v>
      </c>
      <c r="H31" s="3242"/>
      <c r="J31" s="3241"/>
      <c r="K31" s="3242"/>
      <c r="L31" s="828"/>
      <c r="M31" s="3241"/>
      <c r="N31" s="3242"/>
      <c r="P31" s="3241">
        <v>13704048</v>
      </c>
      <c r="Q31" s="3242"/>
      <c r="S31" s="3241"/>
      <c r="T31" s="3242"/>
      <c r="V31" s="849"/>
      <c r="W31" s="3342"/>
      <c r="X31" s="3343"/>
      <c r="AZ31" s="1968"/>
      <c r="BA31" s="1706">
        <v>31</v>
      </c>
    </row>
    <row r="32" spans="1:53" s="144" customFormat="1" ht="11.25" customHeight="1">
      <c r="B32" s="144" t="s">
        <v>6090</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6088</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6089</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13704048</v>
      </c>
      <c r="H36" s="3339"/>
      <c r="J36" s="3338">
        <f>SUM(J30:J35)</f>
        <v>0</v>
      </c>
      <c r="K36" s="3339"/>
      <c r="L36" s="828"/>
      <c r="M36" s="3338">
        <f>SUM(M30:M35)</f>
        <v>0</v>
      </c>
      <c r="N36" s="3339"/>
      <c r="P36" s="3338">
        <f>SUM(P30:P35)</f>
        <v>13704048</v>
      </c>
      <c r="Q36" s="3339"/>
      <c r="S36" s="3338">
        <f>SUM(S30:S35)</f>
        <v>0</v>
      </c>
      <c r="T36" s="3339"/>
      <c r="V36" s="851">
        <f>SUM(V30:V35)</f>
        <v>0</v>
      </c>
      <c r="W36" s="3351"/>
      <c r="X36" s="3352"/>
      <c r="AZ36" s="1968" t="s">
        <v>6373</v>
      </c>
      <c r="BA36" s="1706">
        <v>36</v>
      </c>
    </row>
    <row r="37" spans="1:53" s="144" customFormat="1" ht="12" customHeight="1">
      <c r="B37" s="243" t="s">
        <v>2163</v>
      </c>
      <c r="D37" s="3384" t="s">
        <v>3225</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843240</v>
      </c>
      <c r="F38" s="1949">
        <f>IF(($G$28+$G$36)=0,0,G38/($G$28+$G$36))</f>
        <v>0.06</v>
      </c>
      <c r="G38" s="3230">
        <v>843240</v>
      </c>
      <c r="H38" s="3231"/>
      <c r="I38" s="145"/>
      <c r="J38" s="3230"/>
      <c r="K38" s="3231"/>
      <c r="L38" s="828"/>
      <c r="M38" s="3230"/>
      <c r="N38" s="3231"/>
      <c r="P38" s="3230">
        <v>843240</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281080</v>
      </c>
      <c r="F39" s="1949">
        <f>IF(($G$28+$G$36)=0,0,G39/($G$28+$G$36))</f>
        <v>0.02</v>
      </c>
      <c r="G39" s="3241">
        <v>281080</v>
      </c>
      <c r="H39" s="3242"/>
      <c r="I39" s="145"/>
      <c r="J39" s="3241"/>
      <c r="K39" s="3242"/>
      <c r="L39" s="828"/>
      <c r="M39" s="3241"/>
      <c r="N39" s="3242"/>
      <c r="P39" s="3241">
        <v>281080</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843240</v>
      </c>
      <c r="F40" s="1952">
        <f>IF(($G$28+$G$36)=0,0,G40/($G$28+$G$36))</f>
        <v>0.06</v>
      </c>
      <c r="G40" s="3340">
        <v>843240</v>
      </c>
      <c r="H40" s="3341"/>
      <c r="I40" s="145"/>
      <c r="J40" s="3340"/>
      <c r="K40" s="3341"/>
      <c r="L40" s="828"/>
      <c r="M40" s="3340"/>
      <c r="N40" s="3341"/>
      <c r="P40" s="3340">
        <v>843240</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1967560</v>
      </c>
      <c r="F41" s="1946" t="s">
        <v>184</v>
      </c>
      <c r="G41" s="3338">
        <f>SUM(G38:G40)</f>
        <v>1967560</v>
      </c>
      <c r="H41" s="3339"/>
      <c r="J41" s="3338">
        <f>SUM(J38:J40)</f>
        <v>0</v>
      </c>
      <c r="K41" s="3339"/>
      <c r="L41" s="283"/>
      <c r="M41" s="3338">
        <f>SUM(M38:M40)</f>
        <v>0</v>
      </c>
      <c r="N41" s="3339"/>
      <c r="P41" s="3338">
        <f>SUM(P38:P40)</f>
        <v>1967560</v>
      </c>
      <c r="Q41" s="3339"/>
      <c r="S41" s="3338">
        <f>SUM(S38:S40)</f>
        <v>0</v>
      </c>
      <c r="T41" s="3339"/>
      <c r="V41" s="851">
        <f>SUM(V38:V40)</f>
        <v>0</v>
      </c>
      <c r="W41" s="3351"/>
      <c r="X41" s="3352"/>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04">
        <f>G28+G36+G41</f>
        <v>16021560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77" t="s">
        <v>6723</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6376</v>
      </c>
      <c r="BA47" s="1706">
        <v>47</v>
      </c>
    </row>
    <row r="48" spans="1:53" s="144" customFormat="1" ht="12.6" customHeight="1">
      <c r="B48" s="1665" t="s">
        <v>2479</v>
      </c>
      <c r="C48" s="1666"/>
      <c r="E48" s="3396" t="s">
        <v>2478</v>
      </c>
      <c r="F48" s="1667">
        <f>C49/'Part V-Revenues &amp; Expenses'!$P$65</f>
        <v>79314.653465346535</v>
      </c>
      <c r="G48" s="1668" t="s">
        <v>2492</v>
      </c>
      <c r="H48" s="1669"/>
      <c r="I48" s="1669"/>
      <c r="J48" s="3398">
        <f>C49/'Part V-Revenues &amp; Expenses'!$P$67</f>
        <v>78923.940886699507</v>
      </c>
      <c r="K48" s="3398"/>
      <c r="L48" s="1669"/>
      <c r="M48" s="3399" t="s">
        <v>6477</v>
      </c>
      <c r="N48" s="3399"/>
      <c r="O48" s="1669"/>
      <c r="P48" s="3398">
        <f>C49/'Part V-Revenues &amp; Expenses'!$K$175</f>
        <v>76.42780136430855</v>
      </c>
      <c r="Q48" s="3398"/>
      <c r="R48" s="1669"/>
      <c r="S48" s="3400" t="s">
        <v>6479</v>
      </c>
      <c r="T48" s="3401"/>
      <c r="V48" s="852"/>
      <c r="W48" s="3392"/>
      <c r="X48" s="3393"/>
      <c r="AZ48" s="1968"/>
      <c r="BA48" s="1706">
        <v>48</v>
      </c>
    </row>
    <row r="49" spans="1:53" s="144" customFormat="1" ht="12.6" customHeight="1">
      <c r="B49" s="1714" t="s">
        <v>6490</v>
      </c>
      <c r="C49" s="1713">
        <f>G28+G36+G41+G46</f>
        <v>16021560</v>
      </c>
      <c r="E49" s="3397"/>
      <c r="F49" s="1670">
        <f>C49/'Part V-Revenues &amp; Expenses'!$P$166</f>
        <v>100.7645283018868</v>
      </c>
      <c r="G49" s="1671" t="s">
        <v>2493</v>
      </c>
      <c r="H49" s="1672"/>
      <c r="I49" s="1672"/>
      <c r="J49" s="3386">
        <f>C49/'Part V-Revenues &amp; Expenses'!$P$168</f>
        <v>100.26007509386733</v>
      </c>
      <c r="K49" s="3386"/>
      <c r="L49" s="1672"/>
      <c r="M49" s="3387" t="s">
        <v>6478</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1602156</v>
      </c>
      <c r="F55" s="1756">
        <f>G55/C49</f>
        <v>0.1</v>
      </c>
      <c r="G55" s="3388">
        <v>1602156</v>
      </c>
      <c r="H55" s="3389"/>
      <c r="I55" s="144"/>
      <c r="J55" s="3388"/>
      <c r="K55" s="3389"/>
      <c r="L55" s="828"/>
      <c r="M55" s="3388"/>
      <c r="N55" s="3389"/>
      <c r="O55" s="144"/>
      <c r="P55" s="3388">
        <f>G55</f>
        <v>1602156</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6299</v>
      </c>
      <c r="C57" s="1666"/>
      <c r="E57" s="3481" t="s">
        <v>6300</v>
      </c>
      <c r="F57" s="1667">
        <f>B58/'Part V-Revenues &amp; Expenses'!$P$65</f>
        <v>87246.118811881184</v>
      </c>
      <c r="G57" s="1668" t="s">
        <v>2492</v>
      </c>
      <c r="H57" s="1669"/>
      <c r="I57" s="1669"/>
      <c r="J57" s="3398">
        <f>B58/'Part V-Revenues &amp; Expenses'!$P$67</f>
        <v>86816.334975369464</v>
      </c>
      <c r="K57" s="3398"/>
      <c r="L57" s="1669"/>
      <c r="M57" s="3399" t="s">
        <v>6477</v>
      </c>
      <c r="N57" s="3399"/>
      <c r="O57" s="1669"/>
      <c r="P57" s="3398">
        <f>B58/'Part V-Revenues &amp; Expenses'!$K$175</f>
        <v>84.070581500739394</v>
      </c>
      <c r="Q57" s="3398"/>
      <c r="R57" s="1669"/>
      <c r="S57" s="3400" t="s">
        <v>6479</v>
      </c>
      <c r="T57" s="3401"/>
      <c r="V57" s="852"/>
      <c r="W57" s="3392"/>
      <c r="X57" s="3393"/>
      <c r="AZ57" s="1968"/>
      <c r="BA57" s="1706">
        <v>54</v>
      </c>
    </row>
    <row r="58" spans="1:53" s="144" customFormat="1" ht="12.6" customHeight="1">
      <c r="B58" s="3479">
        <f>C49+G55</f>
        <v>17623716</v>
      </c>
      <c r="C58" s="3480"/>
      <c r="E58" s="3482"/>
      <c r="F58" s="1670">
        <f>B58/'Part V-Revenues &amp; Expenses'!$P$166</f>
        <v>110.84098113207547</v>
      </c>
      <c r="G58" s="1671" t="s">
        <v>2493</v>
      </c>
      <c r="H58" s="1672"/>
      <c r="I58" s="1672"/>
      <c r="J58" s="3386">
        <f>B58/'Part V-Revenues &amp; Expenses'!$P$168</f>
        <v>110.28608260325407</v>
      </c>
      <c r="K58" s="3386"/>
      <c r="L58" s="1672"/>
      <c r="M58" s="3387" t="s">
        <v>6478</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331000</v>
      </c>
      <c r="H63" s="3242"/>
      <c r="J63" s="3241"/>
      <c r="K63" s="3242"/>
      <c r="L63" s="828"/>
      <c r="M63" s="3241"/>
      <c r="N63" s="3242"/>
      <c r="P63" s="3241">
        <v>146745.91121495326</v>
      </c>
      <c r="Q63" s="3242"/>
      <c r="S63" s="3241">
        <v>184254.08878504674</v>
      </c>
      <c r="T63" s="3242"/>
      <c r="V63" s="853"/>
      <c r="W63" s="3342"/>
      <c r="X63" s="3343"/>
      <c r="AZ63" s="1968"/>
      <c r="BA63" s="1706">
        <v>63</v>
      </c>
    </row>
    <row r="64" spans="1:53" s="144" customFormat="1" ht="12" customHeight="1">
      <c r="B64" s="144" t="s">
        <v>2167</v>
      </c>
      <c r="G64" s="3241">
        <v>1713906.9057470993</v>
      </c>
      <c r="H64" s="3242"/>
      <c r="J64" s="3241"/>
      <c r="K64" s="3242"/>
      <c r="L64" s="828"/>
      <c r="M64" s="3241"/>
      <c r="N64" s="3242"/>
      <c r="P64" s="3241">
        <v>1713906.9057470993</v>
      </c>
      <c r="Q64" s="3242"/>
      <c r="S64" s="3241"/>
      <c r="T64" s="3242"/>
      <c r="V64" s="853"/>
      <c r="W64" s="3342"/>
      <c r="X64" s="3343"/>
      <c r="AZ64" s="1968"/>
      <c r="BA64" s="1706">
        <v>64</v>
      </c>
    </row>
    <row r="65" spans="1:53" s="144" customFormat="1" ht="12" customHeight="1">
      <c r="B65" s="144" t="s">
        <v>2168</v>
      </c>
      <c r="G65" s="3241">
        <v>31250</v>
      </c>
      <c r="H65" s="3242"/>
      <c r="J65" s="3241"/>
      <c r="K65" s="3242"/>
      <c r="L65" s="828"/>
      <c r="M65" s="3241"/>
      <c r="N65" s="3242"/>
      <c r="P65" s="3241">
        <v>13854.410046728972</v>
      </c>
      <c r="Q65" s="3242"/>
      <c r="S65" s="3241">
        <v>17395.589953271028</v>
      </c>
      <c r="T65" s="3242"/>
      <c r="V65" s="853"/>
      <c r="W65" s="3342"/>
      <c r="X65" s="3343"/>
      <c r="AZ65" s="1968" t="s">
        <v>6377</v>
      </c>
      <c r="BA65" s="1706">
        <v>65</v>
      </c>
    </row>
    <row r="66" spans="1:53" s="144" customFormat="1" ht="12" customHeight="1">
      <c r="B66" s="144" t="s">
        <v>2450</v>
      </c>
      <c r="G66" s="3241">
        <v>150000</v>
      </c>
      <c r="H66" s="3242"/>
      <c r="J66" s="3241"/>
      <c r="K66" s="3242"/>
      <c r="L66" s="828"/>
      <c r="M66" s="3241"/>
      <c r="N66" s="3242"/>
      <c r="P66" s="3241">
        <v>150000</v>
      </c>
      <c r="Q66" s="3242"/>
      <c r="S66" s="3241"/>
      <c r="T66" s="3242"/>
      <c r="V66" s="853"/>
      <c r="W66" s="3342"/>
      <c r="X66" s="3343"/>
      <c r="AZ66" s="1968" t="s">
        <v>6378</v>
      </c>
      <c r="BA66" s="1706">
        <v>66</v>
      </c>
    </row>
    <row r="67" spans="1:53" s="144" customFormat="1" ht="12" customHeight="1">
      <c r="B67" s="144" t="s">
        <v>676</v>
      </c>
      <c r="G67" s="3241"/>
      <c r="H67" s="3242"/>
      <c r="J67" s="3241"/>
      <c r="K67" s="3242"/>
      <c r="L67" s="828"/>
      <c r="M67" s="3241"/>
      <c r="N67" s="3242"/>
      <c r="P67" s="3241"/>
      <c r="Q67" s="3242"/>
      <c r="S67" s="3241"/>
      <c r="T67" s="3242"/>
      <c r="V67" s="853"/>
      <c r="W67" s="3342"/>
      <c r="X67" s="3343"/>
      <c r="AZ67" s="1968" t="s">
        <v>6379</v>
      </c>
      <c r="BA67" s="1706">
        <v>67</v>
      </c>
    </row>
    <row r="68" spans="1:53" s="144" customFormat="1" ht="12" customHeight="1">
      <c r="B68" s="144" t="s">
        <v>2169</v>
      </c>
      <c r="G68" s="3241">
        <v>112150.92</v>
      </c>
      <c r="H68" s="3242"/>
      <c r="J68" s="3241"/>
      <c r="K68" s="3242"/>
      <c r="L68" s="828"/>
      <c r="M68" s="3241"/>
      <c r="N68" s="3242"/>
      <c r="P68" s="3241">
        <v>112150.92</v>
      </c>
      <c r="Q68" s="3242"/>
      <c r="S68" s="3241"/>
      <c r="T68" s="3242"/>
      <c r="V68" s="853"/>
      <c r="W68" s="3342"/>
      <c r="X68" s="3343"/>
      <c r="AZ68" s="1968"/>
      <c r="BA68" s="1706">
        <v>68</v>
      </c>
    </row>
    <row r="69" spans="1:53" s="144" customFormat="1" ht="12" customHeight="1">
      <c r="B69" s="144" t="s">
        <v>1200</v>
      </c>
      <c r="G69" s="3241">
        <v>80000</v>
      </c>
      <c r="H69" s="3242"/>
      <c r="J69" s="3241"/>
      <c r="K69" s="3242"/>
      <c r="L69" s="828"/>
      <c r="M69" s="3241"/>
      <c r="N69" s="3242"/>
      <c r="P69" s="3241">
        <v>80000</v>
      </c>
      <c r="Q69" s="3242"/>
      <c r="S69" s="3241"/>
      <c r="T69" s="3242"/>
      <c r="V69" s="853"/>
      <c r="W69" s="3342"/>
      <c r="X69" s="3343"/>
      <c r="AZ69" s="1968"/>
      <c r="BA69" s="1706">
        <v>69</v>
      </c>
    </row>
    <row r="70" spans="1:53" s="144" customFormat="1" ht="12" customHeight="1">
      <c r="B70" s="287" t="s">
        <v>1085</v>
      </c>
      <c r="D70" s="285"/>
      <c r="E70" s="285"/>
      <c r="F70" s="286"/>
      <c r="G70" s="3241">
        <v>160215.6</v>
      </c>
      <c r="H70" s="3242"/>
      <c r="I70" s="145"/>
      <c r="J70" s="3241"/>
      <c r="K70" s="3242"/>
      <c r="L70" s="828"/>
      <c r="M70" s="3241"/>
      <c r="N70" s="3242"/>
      <c r="P70" s="3241">
        <v>160215.6</v>
      </c>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6278</v>
      </c>
      <c r="C71" s="3408" t="s">
        <v>6723</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6279</v>
      </c>
      <c r="C72" s="3406" t="s">
        <v>6723</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2578523.4257470993</v>
      </c>
      <c r="H73" s="3339"/>
      <c r="J73" s="3338">
        <f>SUM(J61:J72)</f>
        <v>0</v>
      </c>
      <c r="K73" s="3339"/>
      <c r="L73" s="283"/>
      <c r="M73" s="3338">
        <f>SUM(M61:M72)</f>
        <v>0</v>
      </c>
      <c r="N73" s="3339"/>
      <c r="P73" s="3338">
        <f>SUM(P61:P72)</f>
        <v>2376873.7470087819</v>
      </c>
      <c r="Q73" s="3339"/>
      <c r="S73" s="3338">
        <f>SUM(S61:S72)</f>
        <v>201649.67873831777</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240287</v>
      </c>
      <c r="H75" s="3231"/>
      <c r="J75" s="3230"/>
      <c r="K75" s="3231"/>
      <c r="L75" s="828"/>
      <c r="M75" s="3230"/>
      <c r="N75" s="3231"/>
      <c r="P75" s="3230">
        <v>240287</v>
      </c>
      <c r="Q75" s="3231"/>
      <c r="S75" s="3230"/>
      <c r="T75" s="3231"/>
      <c r="V75" s="849"/>
      <c r="W75" s="3342"/>
      <c r="X75" s="3343"/>
      <c r="AZ75" s="1968"/>
      <c r="BA75" s="1706">
        <v>75</v>
      </c>
    </row>
    <row r="76" spans="1:53" s="144" customFormat="1" ht="12" customHeight="1">
      <c r="B76" s="144" t="s">
        <v>451</v>
      </c>
      <c r="G76" s="3241">
        <v>80188</v>
      </c>
      <c r="H76" s="3242"/>
      <c r="J76" s="3241"/>
      <c r="K76" s="3242"/>
      <c r="L76" s="828"/>
      <c r="M76" s="3241"/>
      <c r="N76" s="3242"/>
      <c r="P76" s="3241">
        <v>80188</v>
      </c>
      <c r="Q76" s="3242"/>
      <c r="S76" s="3241"/>
      <c r="T76" s="3242"/>
      <c r="V76" s="849"/>
      <c r="W76" s="3342"/>
      <c r="X76" s="3343"/>
      <c r="AZ76" s="1968"/>
      <c r="BA76" s="1706">
        <v>76</v>
      </c>
    </row>
    <row r="77" spans="1:53" s="144" customFormat="1" ht="12" customHeight="1">
      <c r="B77" s="144" t="s">
        <v>1061</v>
      </c>
      <c r="D77" s="247"/>
      <c r="E77" s="844"/>
      <c r="F77" s="393"/>
      <c r="G77" s="3241"/>
      <c r="H77" s="3242"/>
      <c r="J77" s="3241"/>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c r="K78" s="3242"/>
      <c r="L78" s="828"/>
      <c r="M78" s="3241"/>
      <c r="N78" s="3242"/>
      <c r="P78" s="3241"/>
      <c r="Q78" s="3242"/>
      <c r="S78" s="3241"/>
      <c r="T78" s="3242"/>
      <c r="V78" s="849"/>
      <c r="W78" s="3342"/>
      <c r="X78" s="3343"/>
      <c r="AZ78" s="1968"/>
      <c r="BA78" s="1706">
        <v>78</v>
      </c>
    </row>
    <row r="79" spans="1:53" s="144" customFormat="1" ht="12" customHeight="1">
      <c r="B79" s="144" t="s">
        <v>1063</v>
      </c>
      <c r="G79" s="3241"/>
      <c r="H79" s="3242"/>
      <c r="J79" s="3241"/>
      <c r="K79" s="3242"/>
      <c r="L79" s="828"/>
      <c r="M79" s="3241"/>
      <c r="N79" s="3242"/>
      <c r="P79" s="3241"/>
      <c r="Q79" s="3242"/>
      <c r="S79" s="3241"/>
      <c r="T79" s="3242"/>
      <c r="V79" s="849"/>
      <c r="W79" s="3342"/>
      <c r="X79" s="3343"/>
      <c r="AZ79" s="1968" t="s">
        <v>6380</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6381</v>
      </c>
      <c r="BA80" s="1706">
        <v>80</v>
      </c>
    </row>
    <row r="81" spans="1:53" s="144" customFormat="1" ht="12" customHeight="1">
      <c r="B81" s="144" t="s">
        <v>452</v>
      </c>
      <c r="G81" s="3241">
        <v>144000</v>
      </c>
      <c r="H81" s="3242"/>
      <c r="J81" s="3241"/>
      <c r="K81" s="3242"/>
      <c r="L81" s="828"/>
      <c r="M81" s="3241"/>
      <c r="N81" s="3242"/>
      <c r="P81" s="3241">
        <v>144000</v>
      </c>
      <c r="Q81" s="3242"/>
      <c r="S81" s="3241"/>
      <c r="T81" s="3242"/>
      <c r="V81" s="849"/>
      <c r="W81" s="3342"/>
      <c r="X81" s="3343"/>
      <c r="AZ81" s="744"/>
      <c r="BA81" s="1706">
        <v>81</v>
      </c>
    </row>
    <row r="82" spans="1:53" s="144" customFormat="1" ht="12" customHeight="1">
      <c r="B82" s="144" t="s">
        <v>453</v>
      </c>
      <c r="G82" s="3241">
        <v>150000</v>
      </c>
      <c r="H82" s="3242"/>
      <c r="J82" s="3241"/>
      <c r="K82" s="3242"/>
      <c r="L82" s="828"/>
      <c r="M82" s="3241"/>
      <c r="N82" s="3242"/>
      <c r="P82" s="3241">
        <v>150000</v>
      </c>
      <c r="Q82" s="3242"/>
      <c r="S82" s="3241"/>
      <c r="T82" s="3242"/>
      <c r="V82" s="849"/>
      <c r="W82" s="3342"/>
      <c r="X82" s="3343"/>
      <c r="AZ82" s="1968"/>
      <c r="BA82" s="1706">
        <v>82</v>
      </c>
    </row>
    <row r="83" spans="1:53" s="144" customFormat="1" ht="12" customHeight="1">
      <c r="B83" s="144" t="s">
        <v>1899</v>
      </c>
      <c r="G83" s="3241"/>
      <c r="H83" s="3242"/>
      <c r="J83" s="3241"/>
      <c r="K83" s="3242"/>
      <c r="L83" s="828"/>
      <c r="M83" s="3241"/>
      <c r="N83" s="3242"/>
      <c r="P83" s="3241"/>
      <c r="Q83" s="3242"/>
      <c r="S83" s="3241"/>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6280</v>
      </c>
      <c r="C85" s="3377" t="s">
        <v>6723</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614475</v>
      </c>
      <c r="H86" s="3339"/>
      <c r="J86" s="3338">
        <f>SUM(J75:J85)</f>
        <v>0</v>
      </c>
      <c r="K86" s="3339"/>
      <c r="L86" s="283"/>
      <c r="M86" s="3338">
        <f>SUM(M75:M85)</f>
        <v>0</v>
      </c>
      <c r="N86" s="3339"/>
      <c r="P86" s="3338">
        <f>SUM(P75:P85)</f>
        <v>614475</v>
      </c>
      <c r="Q86" s="3339"/>
      <c r="S86" s="3338">
        <f>SUM(S75:S85)</f>
        <v>0</v>
      </c>
      <c r="T86" s="3339"/>
      <c r="V86" s="851">
        <f>SUM(V75:V85)</f>
        <v>0</v>
      </c>
      <c r="W86" s="3351"/>
      <c r="X86" s="3352"/>
      <c r="AZ86" s="1968" t="s">
        <v>6382</v>
      </c>
      <c r="BA86" s="1706">
        <v>86</v>
      </c>
    </row>
    <row r="87" spans="1:53" ht="12" customHeight="1">
      <c r="A87" s="144"/>
      <c r="B87" s="243" t="s">
        <v>1193</v>
      </c>
      <c r="C87" s="144"/>
      <c r="D87" s="690" t="s">
        <v>3230</v>
      </c>
      <c r="E87" s="763">
        <f>G92/'Part V-Revenues &amp; Expenses'!$P$67</f>
        <v>69.458128078817737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14100</v>
      </c>
      <c r="H88" s="3231"/>
      <c r="J88" s="3230"/>
      <c r="K88" s="3231"/>
      <c r="L88" s="828"/>
      <c r="M88" s="3230"/>
      <c r="N88" s="3231"/>
      <c r="P88" s="3230">
        <f>G88</f>
        <v>14100</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2649</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2649</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14100</v>
      </c>
      <c r="H92" s="3339"/>
      <c r="J92" s="3338">
        <f>SUM(J88:J91)</f>
        <v>0</v>
      </c>
      <c r="K92" s="3339"/>
      <c r="L92" s="283"/>
      <c r="M92" s="3338">
        <f>SUM(M88:M91)</f>
        <v>0</v>
      </c>
      <c r="N92" s="3339"/>
      <c r="P92" s="3338">
        <f>SUM(P88:P91)</f>
        <v>14100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30">
        <v>17500</v>
      </c>
      <c r="H97" s="3231"/>
      <c r="J97" s="3410"/>
      <c r="K97" s="3410"/>
      <c r="L97" s="828"/>
      <c r="M97" s="3410"/>
      <c r="N97" s="3410"/>
      <c r="P97" s="3410"/>
      <c r="Q97" s="3410"/>
      <c r="S97" s="3230">
        <v>17500</v>
      </c>
      <c r="T97" s="3231"/>
      <c r="V97" s="849"/>
      <c r="W97" s="3342"/>
      <c r="X97" s="3343"/>
      <c r="AZ97" s="1968" t="s">
        <v>6384</v>
      </c>
      <c r="BA97" s="1706">
        <v>97</v>
      </c>
    </row>
    <row r="98" spans="1:53" s="144" customFormat="1" ht="12" customHeight="1">
      <c r="B98" s="144" t="s">
        <v>1199</v>
      </c>
      <c r="G98" s="3241">
        <v>31250</v>
      </c>
      <c r="H98" s="3242"/>
      <c r="J98" s="3410"/>
      <c r="K98" s="3410"/>
      <c r="L98" s="828"/>
      <c r="M98" s="3410"/>
      <c r="N98" s="3410"/>
      <c r="P98" s="3410"/>
      <c r="Q98" s="3410"/>
      <c r="S98" s="3241">
        <v>31250</v>
      </c>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6281</v>
      </c>
      <c r="C102" s="3377" t="s">
        <v>6723</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48750</v>
      </c>
      <c r="H103" s="3339"/>
      <c r="J103" s="3410"/>
      <c r="K103" s="3410"/>
      <c r="L103" s="283"/>
      <c r="M103" s="3410"/>
      <c r="N103" s="3410"/>
      <c r="P103" s="3410"/>
      <c r="Q103" s="3410"/>
      <c r="S103" s="3338">
        <f>SUM(S97:S102)</f>
        <v>48750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6705</v>
      </c>
      <c r="AA105" s="236" t="s">
        <v>6647</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203</v>
      </c>
      <c r="AZ106" s="1968" t="s">
        <v>6385</v>
      </c>
      <c r="BA106" s="1706">
        <v>106</v>
      </c>
    </row>
    <row r="107" spans="1:53" s="144" customFormat="1" ht="12.6" customHeight="1">
      <c r="B107" s="144" t="s">
        <v>3320</v>
      </c>
      <c r="G107" s="3241">
        <v>13500</v>
      </c>
      <c r="H107" s="3242"/>
      <c r="J107" s="283"/>
      <c r="K107" s="283"/>
      <c r="L107" s="290"/>
      <c r="M107" s="283"/>
      <c r="N107" s="283"/>
      <c r="P107" s="283"/>
      <c r="Q107" s="283"/>
      <c r="S107" s="3241">
        <v>13500</v>
      </c>
      <c r="T107" s="3242"/>
      <c r="V107" s="849"/>
      <c r="W107" s="3342"/>
      <c r="X107" s="3343"/>
      <c r="Y107" s="3331"/>
      <c r="Z107" s="301"/>
      <c r="AA107" s="225" t="s">
        <v>6710</v>
      </c>
      <c r="AB107" s="147"/>
      <c r="AC107" s="147"/>
      <c r="AD107" s="147"/>
      <c r="AF107" s="1936" t="s">
        <v>6711</v>
      </c>
      <c r="AZ107" s="1968" t="s">
        <v>6386</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 customHeight="1">
      <c r="B109" s="144" t="s">
        <v>702</v>
      </c>
      <c r="E109" s="3411">
        <f>AF111+AF115</f>
        <v>162400</v>
      </c>
      <c r="F109" s="3412"/>
      <c r="G109" s="3241">
        <v>162400</v>
      </c>
      <c r="H109" s="3242"/>
      <c r="I109" s="3346" t="str">
        <f>IF(E109&gt;G109,"WARNING!  LIHTC Compliance Fee proposed is below minimum required.","")</f>
        <v/>
      </c>
      <c r="J109" s="3347"/>
      <c r="K109" s="3347"/>
      <c r="L109" s="3347"/>
      <c r="M109" s="3347"/>
      <c r="N109" s="3347"/>
      <c r="O109" s="3347"/>
      <c r="P109" s="3347"/>
      <c r="Q109" s="3347"/>
      <c r="R109" s="3348"/>
      <c r="S109" s="3241">
        <v>162400</v>
      </c>
      <c r="T109" s="3242"/>
      <c r="V109" s="849"/>
      <c r="W109" s="3342"/>
      <c r="X109" s="3343"/>
      <c r="Y109" s="3331"/>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41">
        <v>4500</v>
      </c>
      <c r="H110" s="3242"/>
      <c r="I110" s="3346"/>
      <c r="J110" s="3347"/>
      <c r="K110" s="3347"/>
      <c r="L110" s="3347"/>
      <c r="M110" s="3347"/>
      <c r="N110" s="3347"/>
      <c r="O110" s="3347"/>
      <c r="P110" s="3347"/>
      <c r="Q110" s="3347"/>
      <c r="R110" s="3348"/>
      <c r="S110" s="3241">
        <v>4500</v>
      </c>
      <c r="T110" s="3242"/>
      <c r="V110" s="849"/>
      <c r="W110" s="3342"/>
      <c r="X110" s="3343"/>
      <c r="Y110" s="3331"/>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6277</v>
      </c>
      <c r="C112" s="3408" t="s">
        <v>6723</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06" t="s">
        <v>6723</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203</v>
      </c>
      <c r="AF113" s="1934">
        <f>IF($AD$105="Income Averaging",AD113*'DCA Underwriting Assumptions'!$Q$61,AD113*'DCA Underwriting Assumptions'!$Q$60)</f>
        <v>162400</v>
      </c>
      <c r="AZ113" s="1968" t="s">
        <v>6388</v>
      </c>
      <c r="BA113" s="1706">
        <v>113</v>
      </c>
    </row>
    <row r="114" spans="1:53" s="144" customFormat="1" ht="12.6" customHeight="1" thickTop="1">
      <c r="F114" s="281" t="s">
        <v>184</v>
      </c>
      <c r="G114" s="3338">
        <f>SUM(G105:G113)</f>
        <v>286800</v>
      </c>
      <c r="H114" s="3339"/>
      <c r="J114" s="283"/>
      <c r="K114" s="283"/>
      <c r="L114" s="828"/>
      <c r="M114" s="283"/>
      <c r="N114" s="283"/>
      <c r="P114" s="283"/>
      <c r="Q114" s="283"/>
      <c r="S114" s="3338">
        <f>SUM(S105:S113)</f>
        <v>286800</v>
      </c>
      <c r="T114" s="3339"/>
      <c r="V114" s="851">
        <f>SUM(V105:V113)</f>
        <v>0</v>
      </c>
      <c r="W114" s="3465"/>
      <c r="X114" s="3466"/>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203</v>
      </c>
      <c r="AF115" s="1935">
        <f>SUM(AF113:AF114)</f>
        <v>162400</v>
      </c>
      <c r="AZ115" s="1959"/>
      <c r="BA115" s="1706">
        <v>115</v>
      </c>
    </row>
    <row r="116" spans="1:53" s="144" customFormat="1" ht="12.6" customHeight="1">
      <c r="B116" s="144" t="s">
        <v>267</v>
      </c>
      <c r="G116" s="3230">
        <v>35000</v>
      </c>
      <c r="H116" s="3231"/>
      <c r="J116" s="3410"/>
      <c r="K116" s="3410"/>
      <c r="L116" s="828"/>
      <c r="M116" s="3410"/>
      <c r="N116" s="3410"/>
      <c r="P116" s="3410"/>
      <c r="Q116" s="3410"/>
      <c r="S116" s="3230">
        <v>35000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6277</v>
      </c>
      <c r="C119" s="3377" t="s">
        <v>6723</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35000</v>
      </c>
      <c r="H120" s="3339"/>
      <c r="J120" s="3410"/>
      <c r="K120" s="3410"/>
      <c r="L120" s="828"/>
      <c r="M120" s="3410"/>
      <c r="N120" s="3410"/>
      <c r="P120" s="3410"/>
      <c r="Q120" s="3410"/>
      <c r="S120" s="3338">
        <f>SUM(S116:S119)</f>
        <v>35000</v>
      </c>
      <c r="T120" s="3339"/>
      <c r="V120" s="851">
        <f>SUM(V116:V119)</f>
        <v>0</v>
      </c>
      <c r="W120" s="3351"/>
      <c r="X120" s="3352"/>
      <c r="AC120" s="3362" t="s">
        <v>3924</v>
      </c>
      <c r="AD120" s="3362" t="s">
        <v>3925</v>
      </c>
      <c r="AE120" s="3376" t="s">
        <v>3928</v>
      </c>
      <c r="AF120" s="3368" t="s">
        <v>3926</v>
      </c>
      <c r="AG120" s="3376" t="s">
        <v>3917</v>
      </c>
      <c r="AH120" s="3488" t="s">
        <v>6744</v>
      </c>
      <c r="AI120" s="3488"/>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63"/>
      <c r="AD121" s="3363"/>
      <c r="AE121" s="3170"/>
      <c r="AF121" s="3369"/>
      <c r="AG121" s="3376"/>
      <c r="AH121" s="3488"/>
      <c r="AI121" s="3488"/>
      <c r="AK121" s="44"/>
      <c r="AZ121" s="1959" t="s">
        <v>6390</v>
      </c>
      <c r="BA121" s="1706">
        <v>121</v>
      </c>
    </row>
    <row r="122" spans="1:53" s="144" customFormat="1" ht="12.6" customHeight="1">
      <c r="B122" s="144" t="s">
        <v>1724</v>
      </c>
      <c r="F122" s="323">
        <f>IF($G$127=0,0,G122/$G$127)</f>
        <v>1</v>
      </c>
      <c r="G122" s="3413">
        <v>2000000</v>
      </c>
      <c r="H122" s="3413"/>
      <c r="J122" s="3414"/>
      <c r="K122" s="3415"/>
      <c r="L122" s="282"/>
      <c r="M122" s="3414"/>
      <c r="N122" s="3415"/>
      <c r="P122" s="3414">
        <f>G122</f>
        <v>2000000</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7">
        <f>'DCA Underwriting Assumptions'!$Q$74</f>
        <v>2000000</v>
      </c>
      <c r="AH122" s="3489">
        <f>MIN(AF122,AG122)</f>
        <v>2000000</v>
      </c>
      <c r="AI122" s="3490"/>
      <c r="AZ122" s="1959"/>
      <c r="BA122" s="1706">
        <v>122</v>
      </c>
    </row>
    <row r="123" spans="1:53" s="144" customFormat="1" ht="12.6" customHeight="1">
      <c r="B123" s="144" t="s">
        <v>3413</v>
      </c>
      <c r="F123" s="949">
        <v>1452121</v>
      </c>
      <c r="G123" s="241" t="s">
        <v>6724</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3500000</v>
      </c>
      <c r="AG125" s="3370">
        <f>'DCA Underwriting Assumptions'!$Q$75</f>
        <v>3500000</v>
      </c>
      <c r="AH125" s="3489">
        <f>MIN(AF125,AG125)</f>
        <v>3500000</v>
      </c>
      <c r="AI125" s="3490"/>
      <c r="AZ125" s="1959"/>
      <c r="BA125" s="1706">
        <v>125</v>
      </c>
    </row>
    <row r="126" spans="1:53" s="144" customFormat="1" ht="12.6"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2000000</v>
      </c>
      <c r="F127" s="281" t="s">
        <v>184</v>
      </c>
      <c r="G127" s="3338">
        <f>SUM(G122:G126)</f>
        <v>2000000</v>
      </c>
      <c r="H127" s="3416"/>
      <c r="J127" s="3338">
        <f>SUM(J122:J126)</f>
        <v>0</v>
      </c>
      <c r="K127" s="3416"/>
      <c r="L127" s="828"/>
      <c r="M127" s="3338">
        <f>SUM(M122:M126)</f>
        <v>0</v>
      </c>
      <c r="N127" s="3416"/>
      <c r="P127" s="3338">
        <f>SUM(P122:P126)</f>
        <v>2000000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1685000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230"/>
      <c r="H129" s="3231"/>
      <c r="J129" s="291"/>
      <c r="K129" s="291"/>
      <c r="L129" s="291"/>
      <c r="M129" s="291"/>
      <c r="N129" s="291"/>
      <c r="P129" s="291"/>
      <c r="Q129" s="291"/>
      <c r="S129" s="3230"/>
      <c r="T129" s="3231"/>
      <c r="V129" s="849"/>
      <c r="W129" s="3342"/>
      <c r="X129" s="3343"/>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324780.34208109998</v>
      </c>
      <c r="G130" s="3241"/>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1201000.7165849879</v>
      </c>
      <c r="G131" s="3241">
        <v>1207205</v>
      </c>
      <c r="H131" s="3242"/>
      <c r="J131" s="765" t="str">
        <f>IF(E131&gt;G131,"WARNING! ODR proposed is below minimum - add comment.","")</f>
        <v/>
      </c>
      <c r="K131" s="290"/>
      <c r="L131" s="290"/>
      <c r="M131" s="290"/>
      <c r="N131" s="290"/>
      <c r="P131" s="290"/>
      <c r="Q131" s="290"/>
      <c r="S131" s="3241">
        <f>G131</f>
        <v>1207205</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6393</v>
      </c>
      <c r="BA132" s="1706">
        <v>132</v>
      </c>
    </row>
    <row r="133" spans="1:53" s="144" customFormat="1" ht="12.6" customHeight="1">
      <c r="B133" s="144" t="s">
        <v>1171</v>
      </c>
      <c r="E133" s="658" t="s">
        <v>3138</v>
      </c>
      <c r="F133" s="365">
        <f>IF('Part V-Revenues &amp; Expenses'!$P$67=0,0,G133/'Part V-Revenues &amp; Expenses'!$P$67)</f>
        <v>0</v>
      </c>
      <c r="G133" s="3241"/>
      <c r="H133" s="3242"/>
      <c r="J133" s="3230"/>
      <c r="K133" s="3231"/>
      <c r="L133" s="828"/>
      <c r="M133" s="3230"/>
      <c r="N133" s="3231"/>
      <c r="P133" s="3230"/>
      <c r="Q133" s="3231"/>
      <c r="S133" s="3241"/>
      <c r="T133" s="3242"/>
      <c r="V133" s="849"/>
      <c r="W133" s="3342"/>
      <c r="X133" s="3343"/>
      <c r="AZ133" s="1968" t="s">
        <v>6394</v>
      </c>
      <c r="BA133" s="1706">
        <v>133</v>
      </c>
    </row>
    <row r="134" spans="1:53" s="144" customFormat="1" ht="12.6" customHeight="1" thickBot="1">
      <c r="A134" s="303" t="str">
        <f>IF(AND(G134&gt;0,OR(C134="",C134="&lt;Enter detailed description here; use Comments section if needed&gt;")),"X","")</f>
        <v/>
      </c>
      <c r="B134" s="147" t="s">
        <v>6277</v>
      </c>
      <c r="C134" s="3377" t="s">
        <v>6723</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1207205</v>
      </c>
      <c r="H135" s="3339"/>
      <c r="J135" s="3338">
        <f>SUM(J133:J134)</f>
        <v>0</v>
      </c>
      <c r="K135" s="3339"/>
      <c r="L135" s="828"/>
      <c r="M135" s="3338">
        <f>SUM(M133:M134)</f>
        <v>0</v>
      </c>
      <c r="N135" s="3339"/>
      <c r="P135" s="3338">
        <f>SUM(P133:P134)</f>
        <v>0</v>
      </c>
      <c r="Q135" s="3339"/>
      <c r="S135" s="3338">
        <f>SUM(S129:S134)</f>
        <v>1207205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892000</v>
      </c>
      <c r="H142" s="3231"/>
      <c r="J142" s="3230"/>
      <c r="K142" s="3231"/>
      <c r="L142" s="282"/>
      <c r="M142" s="3230"/>
      <c r="N142" s="3231"/>
      <c r="P142" s="3230">
        <f>G142</f>
        <v>892000</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6277</v>
      </c>
      <c r="C143" s="3377" t="s">
        <v>6723</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892000</v>
      </c>
      <c r="H144" s="3339"/>
      <c r="J144" s="3338">
        <f>SUM(J142:J143)</f>
        <v>0</v>
      </c>
      <c r="K144" s="3339"/>
      <c r="L144" s="828"/>
      <c r="M144" s="3338">
        <f>SUM(M142:M143)</f>
        <v>0</v>
      </c>
      <c r="N144" s="3339"/>
      <c r="P144" s="3338">
        <f>SUM(P142:P143)</f>
        <v>892000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486">
        <f>G18+G24+G28+G36+G41+G46+G55+G73+G86+G92+G103+G114+G120+G127+G135+G144</f>
        <v>40690569.425747097</v>
      </c>
      <c r="H146" s="3487"/>
      <c r="J146" s="3486">
        <f>J18+J24+J28+J36+J41+J46+J55+J73+J86+J92+J103+J114+J120+J127+J135+J144</f>
        <v>0</v>
      </c>
      <c r="K146" s="3487"/>
      <c r="M146" s="3486">
        <f>M18+M24+M28+M36+M41+M46+M55+M73+M86+M92+M103+M114+M120+M127+M135+M144</f>
        <v>0</v>
      </c>
      <c r="N146" s="3487"/>
      <c r="P146" s="3486">
        <f>P18+P24+P28+P36+P41+P46+P55+P73+P86+P92+P103+P114+P120+P127+P135+P144</f>
        <v>23261212.747008782</v>
      </c>
      <c r="Q146" s="3487"/>
      <c r="S146" s="3486">
        <f>S18+S24+S28+S36+S41+S46+S55+S73+S86+S92+S103+S114+S120+S127+S135+S144</f>
        <v>17079404.678738318</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200446.15480663595</v>
      </c>
      <c r="E148" s="3483"/>
      <c r="F148" s="390" t="s">
        <v>2487</v>
      </c>
      <c r="G148" s="3484">
        <f>IF('Part V-Revenues &amp; Expenses'!$K$175=0,0,G146/'Part V-Revenues &amp; Expenses'!$K$175)</f>
        <v>194.10661368004148</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v>2857463.6454899423</v>
      </c>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2857463.6454899423</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0</v>
      </c>
      <c r="N162" s="3337"/>
      <c r="P162" s="3334">
        <f>P146</f>
        <v>23261212.747008782</v>
      </c>
      <c r="Q162" s="3335"/>
      <c r="R162" s="3469" t="s">
        <v>3775</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2857463.6454899423</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0</v>
      </c>
      <c r="N164" s="3354"/>
      <c r="P164" s="3355">
        <f>P162-P163</f>
        <v>20403749.10151884</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c r="K165" s="3422"/>
      <c r="M165" s="3423"/>
      <c r="N165" s="3423"/>
      <c r="P165" s="3421">
        <v>1</v>
      </c>
      <c r="Q165" s="3422"/>
      <c r="R165" s="3470" t="s">
        <v>3205</v>
      </c>
      <c r="S165" s="3471"/>
      <c r="T165" s="3472"/>
      <c r="U165" s="1170"/>
      <c r="V165" s="849"/>
      <c r="W165" s="3342"/>
      <c r="X165" s="3343"/>
      <c r="AZ165" s="1968"/>
      <c r="BA165" s="1706">
        <v>165</v>
      </c>
    </row>
    <row r="166" spans="1:53" s="144" customFormat="1" ht="14.1" customHeight="1">
      <c r="B166" s="144" t="s">
        <v>1903</v>
      </c>
      <c r="J166" s="3355">
        <f>J164*J165</f>
        <v>0</v>
      </c>
      <c r="K166" s="3356"/>
      <c r="M166" s="3334">
        <f>+M164</f>
        <v>0</v>
      </c>
      <c r="N166" s="3335"/>
      <c r="P166" s="3355">
        <f>P164*P165</f>
        <v>20403749.10151884</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0</v>
      </c>
      <c r="N168" s="3356"/>
      <c r="P168" s="3355">
        <f>P166*P167</f>
        <v>20403749.10151884</v>
      </c>
      <c r="Q168" s="3356"/>
      <c r="V168" s="849"/>
      <c r="W168" s="3342"/>
      <c r="X168" s="3343"/>
      <c r="AZ168" s="1968"/>
      <c r="BA168" s="1706">
        <v>168</v>
      </c>
    </row>
    <row r="169" spans="1:53" s="144" customFormat="1" ht="14.1" customHeight="1">
      <c r="B169" s="144" t="s">
        <v>1896</v>
      </c>
      <c r="J169" s="3421"/>
      <c r="K169" s="3422"/>
      <c r="M169" s="3421"/>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0</v>
      </c>
      <c r="N170" s="3427"/>
      <c r="P170" s="3426">
        <f>P168*P169</f>
        <v>1836337.4191366956</v>
      </c>
      <c r="Q170" s="3427"/>
      <c r="V170" s="856"/>
      <c r="W170" s="3349"/>
      <c r="X170" s="3350"/>
      <c r="AZ170" s="1968"/>
      <c r="BA170" s="1706">
        <v>170</v>
      </c>
    </row>
    <row r="171" spans="1:53" s="144" customFormat="1" ht="14.1" customHeight="1" thickBot="1">
      <c r="B171" s="243" t="s">
        <v>1339</v>
      </c>
      <c r="J171" s="3314">
        <f>ROUNDDOWN(J170+M170+P170,0)</f>
        <v>1836337</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34">
        <f>G146</f>
        <v>40690569.425747097</v>
      </c>
      <c r="K176" s="3452"/>
      <c r="L176" s="3335"/>
      <c r="N176" s="3431" t="s">
        <v>6718</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22906888.683296073</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17783680.742451023</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2649</v>
      </c>
      <c r="V179" s="849"/>
      <c r="W179" s="3342"/>
      <c r="X179" s="3343"/>
      <c r="AZ179" s="1968"/>
      <c r="BA179" s="1706">
        <v>179</v>
      </c>
    </row>
    <row r="180" spans="1:53" s="144" customFormat="1" ht="14.1" customHeight="1">
      <c r="B180" s="144" t="s">
        <v>1210</v>
      </c>
      <c r="J180" s="3353">
        <f>J178/10</f>
        <v>1778368.0742451022</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1.56</v>
      </c>
      <c r="K182" s="3441"/>
      <c r="L182" s="3442"/>
      <c r="M182" s="248" t="s">
        <v>1212</v>
      </c>
      <c r="N182" s="3443">
        <v>0.83</v>
      </c>
      <c r="O182" s="3444"/>
      <c r="P182" s="248" t="s">
        <v>570</v>
      </c>
      <c r="Q182" s="3443">
        <v>0.73</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1139979</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45">
        <v>1105000</v>
      </c>
      <c r="K187" s="3446"/>
      <c r="L187" s="3447"/>
      <c r="Q187" s="147" t="s">
        <v>6249</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45">
        <v>1105000</v>
      </c>
      <c r="K189" s="3446"/>
      <c r="L189" s="3447"/>
      <c r="M189" s="3430" t="str">
        <f>IF(J187=0,"",IF(J189&gt;J187,"Request can't exceed Maximum - REVISE (Try Round Down)!",""))</f>
        <v/>
      </c>
      <c r="N189" s="3430"/>
      <c r="O189" s="3430"/>
      <c r="P189" s="3430"/>
      <c r="Q189" s="241" t="s">
        <v>6545</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60">
        <f>IF(J189="",0,+MIN(J187,J189))</f>
        <v>1105000</v>
      </c>
      <c r="K191" s="3461"/>
      <c r="L191" s="3462"/>
      <c r="M191" s="3430"/>
      <c r="N191" s="3430"/>
      <c r="O191" s="3430"/>
      <c r="P191" s="3430"/>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3229</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9" sqref="H9:H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Bon Air  -  Augusta  -  Richmond,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3278</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PCNA</v>
      </c>
      <c r="B9" s="3511"/>
      <c r="C9" s="3511"/>
      <c r="D9" s="3512"/>
      <c r="F9" s="3516" t="s">
        <v>7053</v>
      </c>
      <c r="G9" s="726"/>
      <c r="H9" s="3516" t="s">
        <v>7109</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25000</v>
      </c>
      <c r="C12" s="735" t="s">
        <v>1665</v>
      </c>
      <c r="D12" s="734">
        <f>'Part III-A-Uses of Funds'!$J$15+'Part III-A-Uses of Funds'!$M$15+'Part III-A-Uses of Funds'!$P$15</f>
        <v>25000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Historical Consultant Report</v>
      </c>
      <c r="B14" s="3511"/>
      <c r="C14" s="3511"/>
      <c r="D14" s="3512"/>
      <c r="F14" s="3517" t="s">
        <v>7054</v>
      </c>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50000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L8" sqref="L8:M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Bon Air, Augusta, Richmond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6739</v>
      </c>
      <c r="I3" s="3538" t="str">
        <f>VLOOKUP('Part I-Project Identification'!$J$26,'DCA Underwriting Assumptions'!$G$141:$H$300,2)</f>
        <v>Local PHA</v>
      </c>
      <c r="J3" s="3539"/>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7050</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44256</v>
      </c>
      <c r="J8" s="3535"/>
      <c r="K8" s="5" t="s">
        <v>505</v>
      </c>
      <c r="L8" s="3525" t="s">
        <v>7051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1291</v>
      </c>
      <c r="E12" s="3528"/>
      <c r="F12" s="207"/>
      <c r="G12" s="207" t="s">
        <v>416</v>
      </c>
      <c r="H12" s="804"/>
      <c r="I12" s="1266">
        <v>0</v>
      </c>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c r="G13" s="208" t="s">
        <v>416</v>
      </c>
      <c r="H13" s="803"/>
      <c r="I13" s="1267"/>
      <c r="J13" s="1267">
        <v>0</v>
      </c>
      <c r="K13" s="1267"/>
      <c r="L13" s="1268"/>
      <c r="M13" s="1268"/>
      <c r="O13" s="3540" t="s">
        <v>3277</v>
      </c>
      <c r="P13" s="3540"/>
      <c r="Q13" s="3540"/>
    </row>
    <row r="14" spans="1:25" s="6" customFormat="1" ht="12" customHeight="1">
      <c r="B14" s="1275" t="s">
        <v>1493</v>
      </c>
      <c r="C14" s="1276"/>
      <c r="D14" s="3547" t="s">
        <v>1291</v>
      </c>
      <c r="E14" s="3548"/>
      <c r="F14" s="208"/>
      <c r="G14" s="208" t="s">
        <v>416</v>
      </c>
      <c r="H14" s="203"/>
      <c r="I14" s="1267"/>
      <c r="J14" s="1267"/>
      <c r="K14" s="1267"/>
      <c r="L14" s="1268"/>
      <c r="M14" s="1268"/>
      <c r="O14" s="3540"/>
      <c r="P14" s="3540"/>
      <c r="Q14" s="3540"/>
    </row>
    <row r="15" spans="1:25" s="6" customFormat="1" ht="12" customHeight="1">
      <c r="B15" s="1277" t="s">
        <v>440</v>
      </c>
      <c r="C15" s="1278"/>
      <c r="D15" s="1277" t="s">
        <v>1491</v>
      </c>
      <c r="E15" s="204"/>
      <c r="F15" s="208"/>
      <c r="G15" s="208" t="s">
        <v>416</v>
      </c>
      <c r="H15" s="802"/>
      <c r="I15" s="1267"/>
      <c r="J15" s="1267"/>
      <c r="K15" s="1267"/>
      <c r="L15" s="1268"/>
      <c r="M15" s="1268"/>
      <c r="O15" s="3540"/>
      <c r="P15" s="3540"/>
      <c r="Q15" s="3540"/>
    </row>
    <row r="16" spans="1:25" s="6" customFormat="1" ht="12" customHeight="1">
      <c r="B16" s="1279" t="s">
        <v>3271</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3272</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3273</v>
      </c>
      <c r="C18" s="1276"/>
      <c r="D18" s="1275" t="s">
        <v>1491</v>
      </c>
      <c r="E18" s="801"/>
      <c r="F18" s="208"/>
      <c r="G18" s="208"/>
      <c r="H18" s="203"/>
      <c r="I18" s="1267"/>
      <c r="J18" s="1267"/>
      <c r="K18" s="1267"/>
      <c r="L18" s="1268"/>
      <c r="M18" s="1268"/>
      <c r="O18" s="3540"/>
      <c r="P18" s="3540"/>
      <c r="Q18" s="3540"/>
    </row>
    <row r="19" spans="1:25" s="6" customFormat="1" ht="12" customHeight="1">
      <c r="B19" s="1277" t="s">
        <v>1292</v>
      </c>
      <c r="C19" s="1278"/>
      <c r="D19" s="1283" t="s">
        <v>3076</v>
      </c>
      <c r="E19" s="1265" t="s">
        <v>2652</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t="s">
        <v>906</v>
      </c>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52" t="s">
        <v>906</v>
      </c>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3277</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3271</v>
      </c>
      <c r="C33" s="1274"/>
      <c r="D33" s="1273" t="s">
        <v>1491</v>
      </c>
      <c r="E33" s="801"/>
      <c r="F33" s="208"/>
      <c r="G33" s="208"/>
      <c r="H33" s="803"/>
      <c r="I33" s="1267"/>
      <c r="J33" s="1267"/>
      <c r="K33" s="1267"/>
      <c r="L33" s="1268"/>
      <c r="M33" s="1268"/>
      <c r="O33" s="3540"/>
      <c r="P33" s="3540"/>
      <c r="Q33" s="3540"/>
    </row>
    <row r="34" spans="1:19" s="6" customFormat="1" ht="12" customHeight="1">
      <c r="B34" s="1279" t="s">
        <v>3272</v>
      </c>
      <c r="C34" s="1274"/>
      <c r="D34" s="1273" t="s">
        <v>1491</v>
      </c>
      <c r="E34" s="801"/>
      <c r="F34" s="208"/>
      <c r="G34" s="208"/>
      <c r="H34" s="803"/>
      <c r="I34" s="1267"/>
      <c r="J34" s="1267"/>
      <c r="K34" s="1267"/>
      <c r="L34" s="1268"/>
      <c r="M34" s="1268"/>
      <c r="O34" s="3540"/>
      <c r="P34" s="3540"/>
      <c r="Q34" s="3540"/>
    </row>
    <row r="35" spans="1:19" s="6" customFormat="1" ht="12" customHeight="1">
      <c r="B35" s="1280" t="s">
        <v>3273</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7052</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Lauren Valdez</cp:lastModifiedBy>
  <cp:lastPrinted>2023-05-18T03:29:11Z</cp:lastPrinted>
  <dcterms:created xsi:type="dcterms:W3CDTF">2005-09-15T20:51:37Z</dcterms:created>
  <dcterms:modified xsi:type="dcterms:W3CDTF">2023-05-19T19:18:47Z</dcterms:modified>
</cp:coreProperties>
</file>